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<sst xmlns="http://schemas.openxmlformats.org/spreadsheetml/2006/main" count="40835" uniqueCount="16325">
  <si>
    <t>Uploaded Date</t>
  </si>
  <si>
    <t>Channel</t>
  </si>
  <si>
    <t>Video URL</t>
  </si>
  <si>
    <t>Video Title</t>
  </si>
  <si>
    <t>Description</t>
  </si>
  <si>
    <t>Base URL</t>
  </si>
  <si>
    <t>Divider1</t>
  </si>
  <si>
    <t>Divider2</t>
  </si>
  <si>
    <t>Folder separator</t>
  </si>
  <si>
    <t>Youtube id</t>
  </si>
  <si>
    <t>End URL</t>
  </si>
  <si>
    <t>Transcript Link</t>
  </si>
  <si>
    <t>2023 06 26</t>
  </si>
  <si>
    <t>NASA Johnson</t>
  </si>
  <si>
    <t>https://youtu.be/WEa88ZZWAEQ</t>
  </si>
  <si>
    <t>CHAPEA Mission 1 Crew Ingress</t>
  </si>
  <si>
    <t>Four volunteer participants enter the ground-based, simulated Mars habitat at NASA’s Johnson Space Center in Houston, Texas, on June 25, 2023, to begin a 378-day mission. The mission is the first of three planned one-year Mars surface simulations, called CHAPEA (Crew Health and Performance Exploration Analog). Researchers will simulate the challenges of a human mission to Mars, including resource limitations, equipment failures, communication delays, and other environmental stressors. Learn more at www.nasa.gov/chapea.</t>
  </si>
  <si>
    <t>https://files.afu.se/Downloads/Transcripts/0%20-%20Government/USA%20-%20NASA%20Johnson/</t>
  </si>
  <si>
    <t xml:space="preserve"> - </t>
  </si>
  <si>
    <t>_</t>
  </si>
  <si>
    <t>/</t>
  </si>
  <si>
    <t>WEa88ZZWAEQ</t>
  </si>
  <si>
    <t xml:space="preserve"> - transcript (automated).pdf</t>
  </si>
  <si>
    <t>2023 06 21</t>
  </si>
  <si>
    <t>https://youtu.be/kfffvezaQQI</t>
  </si>
  <si>
    <t>Roscosmos Cosmonauts to Conduct Spacewalk Outside the Space Station</t>
  </si>
  <si>
    <t>This computer-generated animation is a depiction of a scheduled spacewalk by Roscosmos cosmonauts Sergey Prokopyev and Dmitri Petelin outside the International Space Station to remove experiment hardware and install communications hardware. The spacewalk, scheduled for June 22nd, will be the seventh for Prokopyev and the fifth for Petelin, and the 266th spacewalk in support of station maintenance and upgrades.</t>
  </si>
  <si>
    <t>kfffvezaQQI</t>
  </si>
  <si>
    <t>2023 06 15</t>
  </si>
  <si>
    <t>https://youtu.be/umBk3MLmABU</t>
  </si>
  <si>
    <t>Space to Ground  On a Roll  June 16, 2023</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</si>
  <si>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</si>
  <si>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umBk3MLmABU</t>
  </si>
  <si>
    <t>https://youtu.be/F96y_A3DUZY</t>
  </si>
  <si>
    <t>UAE Astronaut Candidate Training Highlight Reel</t>
  </si>
  <si>
    <t>UAE astronaut candidates Nora AlMatrooshi and Mohammad AlMulla of the Mohammed Bin Rashid Space Centre work to complete various training exercises. This includes wilderness survival training in Fort Novosel (formerly known as Fort Rucker) in Alabama, and suiting up at the Neutral Buoyancy Laboratory at NASA’s Johnson Space Center in Houston. AlMatrooshi and AlMulla were selected in 2021 class of astronaut candidates alongside 10 of their NASA classmates. They are set to graduate in early 2024 as flight eligible astronauts.
Join NASA as we go forward to the Moon and on to Mars -- discover the latest on Earth, the Solar System and beyond with a weekly update in your inbox.
Subscribe at: www.nasa.gov/subscribe</t>
  </si>
  <si>
    <t>F96y_A3DUZY</t>
  </si>
  <si>
    <t>2023 06 09</t>
  </si>
  <si>
    <t>https://youtu.be/lg_Fz1nPI-s</t>
  </si>
  <si>
    <t>Space to Ground  Looking for Answers  June 9, 2023</t>
  </si>
  <si>
    <t>lg_Fz1nPI-s</t>
  </si>
  <si>
    <t>https://youtu.be/VbK8GR7vWcI</t>
  </si>
  <si>
    <t>NASA Extracts Oxygen From Lunar Soil Simulant</t>
  </si>
  <si>
    <t>Resources like oxygen are crucial building blocks in NASA’s plans to establish a long-term presence on the lunar surface. In addition to using oxygen for breathing, it can also be used as a propellant for transportation, helping lunar visitors stay longer and venture farther.
During a recent test, scientists at NASA’s Johnson Space Center in Houston successfully extracted oxygen from simulated lunar soil. Lunar soil refers to the fine-grained material covering the Moon’s surface. 
This was the first time that this extraction has been done in a vacuum environment, paving the way for astronauts to one day extract and use resources to “live off the land” in a lunar environment.
https://www.nasa.gov/feature/nasa-successfully-extracts-oxygen-from-lunar-soil-simulant/
Join NASA as we go forward to the Moon and on to Mars -- discover the latest on Earth, the Solar System and beyond with a weekly update in your inbox.
Subscribe at: www.nasa.gov/subscribe</t>
  </si>
  <si>
    <t>VbK8GR7vWcI</t>
  </si>
  <si>
    <t>2023 06 02</t>
  </si>
  <si>
    <t>https://youtu.be/4UOFD7i4Gx4</t>
  </si>
  <si>
    <t>Space to Ground  Storm Watch  June 2, 2023</t>
  </si>
  <si>
    <t>4UOFD7i4Gx4</t>
  </si>
  <si>
    <t>2023 06 01</t>
  </si>
  <si>
    <t>https://youtu.be/L1m-QF0elDs</t>
  </si>
  <si>
    <t>ASTRONAUTS TO CONDUCT SPACEWALKS FOR ADDITIONAL SOLAR ARRAY INSTALLATIONS</t>
  </si>
  <si>
    <t>Expedition 69 astronauts Steve Bowen and Woody Hoburg are scheduled to conduct a pair of spacewalks June 9 and 15 to install the next pair of ISS Roll Out Solar Arrays (IROSAs) on the starboard truss of the International Space Station. The arrays will augment power capability on the station to accommodate increased commercial and scientific research on the complex.</t>
  </si>
  <si>
    <t>L1m-QF0elDs</t>
  </si>
  <si>
    <t>2023 05 25</t>
  </si>
  <si>
    <t>https://youtu.be/sWyxXByejys</t>
  </si>
  <si>
    <t>Space to Ground  A Full House  May 26,2023</t>
  </si>
  <si>
    <t>sWyxXByejys</t>
  </si>
  <si>
    <t>2023 05 19</t>
  </si>
  <si>
    <t>https://youtu.be/S0lE1qOoObE</t>
  </si>
  <si>
    <t>Space to Ground  Springing Into Flight  May 19, 2023</t>
  </si>
  <si>
    <t>S0lE1qOoObE</t>
  </si>
  <si>
    <t>2023 05 18</t>
  </si>
  <si>
    <t>https://youtu.be/v7sS4vVtHpI</t>
  </si>
  <si>
    <t>America’s Future  Commercial Space Destinations</t>
  </si>
  <si>
    <t>As NASA transitions from the space station and sets its sights on the Moon, America will maintain leadership in LEO by enabling a new generation of commercial partnerships... 
Through the Commercial LEO Development Program, NASA is working with industry partners to develop the first generation of commercial space destinations.  
This new orbital economy will allow the U.S. to maintain a continuous human presence in space, while enabling new opportunities for commercial partners – to discover scientific breakthroughs, stimulate commerce, and share the experience of spaceflight for generations to come. 
https://www.nasa.gov/leo-economy/low-earth-orbit-economy</t>
  </si>
  <si>
    <t>v7sS4vVtHpI</t>
  </si>
  <si>
    <t>2023 05 12</t>
  </si>
  <si>
    <t>https://youtu.be/TnkzAx-efu4</t>
  </si>
  <si>
    <t>Space to Ground  Dragon Shuffle  May 12, 2023</t>
  </si>
  <si>
    <t>TnkzAx-efu4</t>
  </si>
  <si>
    <t>2023 05 10</t>
  </si>
  <si>
    <t>https://youtu.be/h3JyyWKnHNI</t>
  </si>
  <si>
    <t>Russian Spacewalk 58 Animation - May 23, 2023</t>
  </si>
  <si>
    <t>Roscosmos cosmonauts Sergey Prokopyev and Dmitri Petelin conducted a spacewalk outside the International Space Station May 12 to assist in the deployment and activation of a radiator on the Nauka Multipurpose Laboratory Module that was installed in April. It was the 263rd spacewalk in support of space station assembly, maintenance and upgrades, the 6th for Prokopyev and the 4th for Petelin.
Join NASA as we go forward to the Moon and on to Mars -- discover the latest on Earth, the Solar System and beyond with a weekly update in your inbox.
Subscribe at: www.nasa.gov/subscribe</t>
  </si>
  <si>
    <t>h3JyyWKnHNI</t>
  </si>
  <si>
    <t>2023 05 05</t>
  </si>
  <si>
    <t>https://youtu.be/hoozjAACXWY</t>
  </si>
  <si>
    <t>Space to Ground  On The Move  May 5, 2023</t>
  </si>
  <si>
    <t>hoozjAACXWY</t>
  </si>
  <si>
    <t>2023 05 02</t>
  </si>
  <si>
    <t>https://youtu.be/f_BVxjAEVfA</t>
  </si>
  <si>
    <t>Roscosmos Cosmonauts Prepare to Conduct Spacewalk</t>
  </si>
  <si>
    <t>This computer-generated animation is a depiction of a scheduled spacewalk by Roscosmos cosmonauts Sergey Prokopyev and Dmitri Petelin outside the International Space Station to assist in the movement of an experiment airlock from the Rassvet module to the Nauka Multipurpose Laboratory Module. The spacewalk, scheduled to take place on May 3rd, will be the fifth in Prokopyev’s career and the third for Petelin.</t>
  </si>
  <si>
    <t>f_BVxjAEVfA</t>
  </si>
  <si>
    <t>https://youtu.be/gp_38ckItoE</t>
  </si>
  <si>
    <t>Artemis II Announcement in 4k</t>
  </si>
  <si>
    <t>Meet the four astronauts who will take a trip around the Moon aboard the Orion spacecraft on their approximately 10-day Artemis II mission, the first crewed flight test and a critical step toward establishing a long-term human presence on the Moon. 
NASA and CSA (Canadian Space Agency) will reveal the three NASA astronauts and one CSA astronaut during an event at 11 a.m. EDT (10 a.m. CDT) on Monday, April 3, from NASA Johnson Space Center’s Ellington Field in Houston. This is a 4k version of the event.</t>
  </si>
  <si>
    <t>gp_38ckItoE</t>
  </si>
  <si>
    <t>2023 04 28</t>
  </si>
  <si>
    <t>https://youtu.be/LuPWd5jGsEM</t>
  </si>
  <si>
    <t>Space to Ground  Checkmate  April 28, 2023</t>
  </si>
  <si>
    <t>LuPWd5jGsEM</t>
  </si>
  <si>
    <t>2023 04 24</t>
  </si>
  <si>
    <t>https://youtu.be/xuXEv4tUkXQ</t>
  </si>
  <si>
    <t>ASTRONAUTS PREPARE STATION FOR SOLAR ARRAY UPGRADES</t>
  </si>
  <si>
    <t>On April 28, NASA astronaut Steve Bowen (EV1) and UAE (United Arab Emirates) astronaut Sultan Alneyadi (EV2) will conduct a spacewalk to continue installation of hardware to support future power system upgrades outside the International Space Station. This will be the 261st spacewalk in support of space station assembly, maintenance, and upgrades. It will be the eighth spacewalk for Bowen and the first for Alneyadi, also the first for any UAE astronaut. This computer-generated animation of the spacewalk is narrated by ISS Expedition 69 Spacewalk Officer Sandy Fletcher.  
Visit nasa.gov/live for a schedule of all upcoming events, and follow along with space station updates at blogs.nasa.gov/spacestation. 
____________________________________________
FOLLOW THE SPACE STATION!
Twitter: https://twitter.com/Space_Station
Facebook: https://www.facebook.com/ISS
Instagram: https://instagram.com/iss/</t>
  </si>
  <si>
    <t>xuXEv4tUkXQ</t>
  </si>
  <si>
    <t>2023 04 21</t>
  </si>
  <si>
    <t>https://youtu.be/UOT4VwhVukA</t>
  </si>
  <si>
    <t>Earth in 4K – Space Station Expedition 67-68 Edition</t>
  </si>
  <si>
    <t>The people who’ve been to Earth orbit for the rare opportunity to see our home planet from a whole different angle say this blue marble in space is really quite beautiful and awe-inspiring when seen from 250 miles straight up.  Here’s your chance to see if you agree: these ultra-high definition video scenes, captured between March 2022 and March 2023 during the International Space Station’s Expeditions 67 and 68, let you imagine yourself as a station crew member with an hour off duty and nothing better to do than look out the window as the world, literally, passes by.
HD Download: https://images.nasa.gov/details/jsc2023m000111_Earth_in_4K_Space_Station_Expedition_67_68_Edition
Join NASA as we go forward to the Moon and on to Mars -- discover the latest on Earth, the Solar System and beyond with a weekly update in your inbox. Subscribe at: www.nasa.gov/subscribe
_______________________________________
FOLLOW THE SPACE STATION!
Twitter: https://twitter.com/Space_Station
Facebook: https://www.facebook.com/ISS
Instagram: https://instagram.com/iss/</t>
  </si>
  <si>
    <t>UOT4VwhVukA</t>
  </si>
  <si>
    <t>https://youtu.be/t0NmI0m5v1g</t>
  </si>
  <si>
    <t>The Ballad of the Overview Effect   Down to Earth</t>
  </si>
  <si>
    <t>In preparation for Earth Day, view our beautiful planet from above, with commentary from NASA astronauts.</t>
  </si>
  <si>
    <t>t0NmI0m5v1g</t>
  </si>
  <si>
    <t>https://youtu.be/gfGTS_1bLEk</t>
  </si>
  <si>
    <t>Space to Ground  Making a Global Impact  April 21, 2023</t>
  </si>
  <si>
    <t>gfGTS_1bLEk</t>
  </si>
  <si>
    <t>2023 04 14</t>
  </si>
  <si>
    <t>https://youtu.be/YSPdZX6OrL8</t>
  </si>
  <si>
    <t>Space to Ground  Packing Up  April 14, 2023</t>
  </si>
  <si>
    <t>YSPdZX6OrL8</t>
  </si>
  <si>
    <t>2023 04 07</t>
  </si>
  <si>
    <t>https://youtu.be/tIP-gnyIga0</t>
  </si>
  <si>
    <t>NASA Groundlink  Q&amp;A with Crew Isolated in HERA Habitat (C6M4)</t>
  </si>
  <si>
    <t>Crew members Sandra Herrmann and Katie Koube, from HERA Campaign 6 Mission 4, answer questions from students all over the world. NASA’s “Groundlink” series connects students with crew currently inside NASA’s Human Exploration Research Analog, or HERA, a habitat here on Earth. Through simulation of long-term human space travel, these crew are on a mission to help scientists learn more about how isolation, confinement, and remote conditions will affect astronauts on Artemis missions to the Moon and on future missions to Mars.
Similar to educational Downlinks, which connect students with astronauts aboard the International Space Station, Groundlinks give students the opportunity to ask HERA crew their questions. Through the crew’s answers, students can learn more about how NASA prepares humans to live and work in space.
Students can submit questions to analog crew members on HERA’s website: https://www.nasa.gov/analogs/hera
NASA's Human Research Program pursues methods and technologies to support safe, productive human space travel. Through science conducted in laboratories, ground-based analogs, and the International Space Station, this team scrutinizes how spaceflight affects human bodies and behaviors. Such research drives NASA's quest to innovate ways that keep astronauts healthy and mission-ready as space travel expands to the Moon, Mars, and beyond. 
Learn more about how NASA innovates for the benefit of humanity at: https://www.nasa.gov/hrp
Get the latest from NASA weekly: www.nasa.gov/subscribe</t>
  </si>
  <si>
    <t>tIP-gnyIga0</t>
  </si>
  <si>
    <t>https://youtu.be/HLI-TNbyyTE</t>
  </si>
  <si>
    <t>Space to Ground  Before the Moon  April 7, 2023</t>
  </si>
  <si>
    <t>HLI-TNbyyTE</t>
  </si>
  <si>
    <t>2023 04 03</t>
  </si>
  <si>
    <t>https://youtu.be/4HLIQWwrrzg</t>
  </si>
  <si>
    <t>Victor Glover Artemis II Crew Announcement Resource Reel</t>
  </si>
  <si>
    <t>On April 3, 2023, Victor Glover was announced as the pilot for the Artemis II mission. Artemis II will be NASA’s first crewed flight test of the Space Launch System rocket and Orion spacecraft around the Moon to verify today’s capabilities for humans to explore deep space and pave the way for long-term exploration and science on the lunar surface.  This resource reel includes interview footage and B-roll recorded in 2023, training footage, and highlights from his mission to the International Space Station in 2020 and 2021.
Download available at: https://images.nasa.gov/details/jsc2023m000094-Victor_Glover_Artemis_II_Crew_Announcement_Resource_Reel</t>
  </si>
  <si>
    <t>4HLIQWwrrzg</t>
  </si>
  <si>
    <t>https://youtu.be/0vUA3XCpZIE</t>
  </si>
  <si>
    <t>Christina Koch Artemis II Crew Announcement Resource Reel</t>
  </si>
  <si>
    <t>On April 3, 2023, Christina Koch was announced as a mission specialist for the Artemis II mission. Artemis II will be NASA’s first crewed flight test of the Space Launch System rocket and Orion spacecraft around the Moon to verify today’s capabilities for humans to explore deep space and pave the way for long-term exploration and science on the lunar surface. This resource reel includes interview footage and b-roll recorded in 2023 as well as highlights from her mission to the International Space Station in 2019 and 2020.
Download available  at: https://images.nasa.gov/details/jsc2023m000095_Christina_Koch_Artemis_II_Crew_Announcement_Resource_Reel-social</t>
  </si>
  <si>
    <t>0vUA3XCpZIE</t>
  </si>
  <si>
    <t>https://youtu.be/ciWAQlH2nu0</t>
  </si>
  <si>
    <t>Reid Wiseman Artemis II Crew Announcement Resource Reel</t>
  </si>
  <si>
    <t>On April 3, 2023, Reid Wiseman was announced as the commander for the Artemis II mission. Artemis II will be NASA’s first crewed flight test of the Space Launch System rocket and Orion spacecraft around the Moon to verify today’s capabilities for humans to explore deep space and pave the way for long-term exploration and science on the lunar surface. This resource reel includes interview footage and B-roll recorded in 2023 as well as highlights from his mission to the International Space Station in 2014.
Download available at:
https://images.nasa.gov/details/jsc2023m000093_Artemis_II_Reid_Wiseman_Resource_Reel</t>
  </si>
  <si>
    <t>ciWAQlH2nu0</t>
  </si>
  <si>
    <t>https://youtu.be/7nMlsS4-Lko</t>
  </si>
  <si>
    <t>Jeremy Hansen Artemis II Crew Announcement Resource Reel</t>
  </si>
  <si>
    <t>On April 3, 2023, Jeremy Hansen was announced as a mission specialist for the Artemis II mission. Artemis II will be NASA’s first crewed flight test of the Space Launch System rocket and Orion spacecraft around the Moon to verify today’s capabilities for humans to explore deep space and pave the way for long-term exploration and science on the lunar surface. This resource reel includes interview footage and b-roll recorded in 2023,  astronaut training footage, and mission support footage.
Download video at images.nasa.gov:  https://images.nasa.gov/details/jsc2023m000096_Jeremy%20Hansen%20Artemis%20II%20Crew%20Announcement%20Resource%20Reel_1080p</t>
  </si>
  <si>
    <t>7nMlsS4-Lko</t>
  </si>
  <si>
    <t>2023 03 30</t>
  </si>
  <si>
    <t>https://youtu.be/7wJvq_dEl4A</t>
  </si>
  <si>
    <t>Space to Ground  Setting the Stage  March 31, 2023</t>
  </si>
  <si>
    <t>7wJvq_dEl4A</t>
  </si>
  <si>
    <t>2023 03 23</t>
  </si>
  <si>
    <t>https://youtu.be/RcbveeLCN7Q</t>
  </si>
  <si>
    <t>Space to Ground  It's All About Science  March 24, 2023</t>
  </si>
  <si>
    <t>RcbveeLCN7Q</t>
  </si>
  <si>
    <t>2023 03 17</t>
  </si>
  <si>
    <t>https://youtu.be/31-TonIy88A</t>
  </si>
  <si>
    <t>Space to Ground  Past, Present, Future  March 17, 2023</t>
  </si>
  <si>
    <t>31-TonIy88A</t>
  </si>
  <si>
    <t>2023 03 16</t>
  </si>
  <si>
    <t>https://youtu.be/aLIt84-vVt4</t>
  </si>
  <si>
    <t>Homecoming    Down to Earth - S2 E8</t>
  </si>
  <si>
    <t>In the final episode featuring astronaut Victor Glover and his daughter, Corinne, they discuss the excitement of returning to Earth from an extended mission on the International Space Station.</t>
  </si>
  <si>
    <t>aLIt84-vVt4</t>
  </si>
  <si>
    <t>2023 03 09</t>
  </si>
  <si>
    <t>https://youtu.be/_qY9GpPGIbs</t>
  </si>
  <si>
    <t>Space to Ground  Wrapping Up  March 10, 2023</t>
  </si>
  <si>
    <t>_qY9GpPGIbs</t>
  </si>
  <si>
    <t>2023 03 07</t>
  </si>
  <si>
    <t>https://youtu.be/EbZF7wk4x-Q</t>
  </si>
  <si>
    <t>Students from the Caribbean and Central America Speak to the International Space Station</t>
  </si>
  <si>
    <t>During this event, students from the Caribbean and Central America had the opportunity to speak with Astronaut Josh Cassada to learn about natural disaster research and monitoring, as seen from the unique perspective of the International Space Station. More than 400 questions were submitted by schools in the region. The selected questions were related to climate change and monitoring hazard events such as hurricanes, volcanic eruptions, tsunamis, and coastal erosion.
Learn more about the Amateur Radio on the International Space Station (ARISS) program at https://www.ariss.org/.
This event is part of the Disaster Fighters campaign, an initiative sponsored by the World Bank, GFDRR, United Nations Office for Disaster Risk Reduction, CDEMA, CEPREDENAC, PACIFICO, and NASA Disasters Program, among other organizations. The campaign and video were produced by the team at Pacifico Risk Communications: Emiliano Rodriguez Nuesch, Malena Albertoni, Alejo Santos, Nancy Núñez, Rodrigo Gonzalez Alvarado and Diego Voloschin. The contact was made possible by the IK1SLD ARISS HamTV Telebridge Ground Station located in Casale Monferrato, Italy.
_______________________________________
FOLLOW THE SPACE STATION!
Twitter: https://twitter.com/Space_Station
Facebook: https://www.facebook.com/ISS
Instagram: https://instagram.com/iss/
Get the latest from NASA weekly: www.nasa.gov/subscribe</t>
  </si>
  <si>
    <t>EbZF7wk4x-Q</t>
  </si>
  <si>
    <t>2023 03 03</t>
  </si>
  <si>
    <t>https://youtu.be/m3x_XD6WVwk</t>
  </si>
  <si>
    <t>Space to Ground  Night Launch  March 3, 2023</t>
  </si>
  <si>
    <t>m3x_XD6WVwk</t>
  </si>
  <si>
    <t>2023 02 24</t>
  </si>
  <si>
    <t>https://youtu.be/SiE0OAFtPuw</t>
  </si>
  <si>
    <t>Meet Steve Bowen, Crew-6 Commander</t>
  </si>
  <si>
    <t>The first submarine officer ever selected to be a NASA astronaut, who flew on three space shuttle missions in less than two and a half years, is the commander of NASA’s SpaceX Crew-6 mission to the International Space Station.  Meet Steve Bowen, a Massachusetts native and graduate of the U.S. Naval Academy, and hear him talk about his childhood and a Navy career that led to three construction trips to space (and seven spacewalks!), and his excitement about returning to the space station to take part in the science mission that is paving the way for future exploration beyond low Earth orbit.
_______________________________________
FOLLOW THE SPACE STATION!
Twitter: https://twitter.com/Space_Station
Facebook: https://www.facebook.com/ISS
Instagram: https://instagram.com/iss/</t>
  </si>
  <si>
    <t>SiE0OAFtPuw</t>
  </si>
  <si>
    <t>https://youtu.be/QzpQJnoG0cI</t>
  </si>
  <si>
    <t>Meet Woody Hoburg, Crew-6 Pilot</t>
  </si>
  <si>
    <t>Teen model rocket maker.  Rock climber and aircraft designer.  MIT student and later professor.  And now, pilot of NASA’s Crew-6 mission to the International Space Station.  A childhood dream of flying in space is about to come true for Pennsylvania native Woody Hoburg; join him for a look at his incredible path of aeronautics and engineering and computer science and robotics – and time as an EMT with Yosemite Search and Rescue – that has brought him to a launch pad in Florida for the culmination of a dream of a lifetime.
_______________________________________
FOLLOW THE SPACE STATION!
Twitter: https://twitter.com/Space_Station
Facebook: https://www.facebook.com/ISS
Instagram: https://instagram.com/iss/</t>
  </si>
  <si>
    <t>QzpQJnoG0cI</t>
  </si>
  <si>
    <t>https://youtu.be/tf5X4Qp2kX4</t>
  </si>
  <si>
    <t>Space to Ground  4 for 6  Feb. 24, 2023</t>
  </si>
  <si>
    <t>tf5X4Qp2kX4</t>
  </si>
  <si>
    <t>2023 02 17</t>
  </si>
  <si>
    <t>https://youtu.be/eURrB55Tt_c</t>
  </si>
  <si>
    <t>Space to Ground  A Grip on the Future  Feb. 17, 2023</t>
  </si>
  <si>
    <t>eURrB55Tt_c</t>
  </si>
  <si>
    <t>2023 02 15</t>
  </si>
  <si>
    <t>https://youtu.be/ZE2cDHAx6fk</t>
  </si>
  <si>
    <t>New Eyes   Down to Earth - S2 E7</t>
  </si>
  <si>
    <t>In this episode of Down to Earth, astronaut Victor Glover sits down with his daughter, Corinne, to discuss the important lessons he took away from his time in space.</t>
  </si>
  <si>
    <t>ZE2cDHAx6fk</t>
  </si>
  <si>
    <t>2023 02 10</t>
  </si>
  <si>
    <t>https://youtu.be/UeD7TW7vC5c</t>
  </si>
  <si>
    <t>Space to Ground  Multifaceted Module  Feb. 10, 2023</t>
  </si>
  <si>
    <t>UeD7TW7vC5c</t>
  </si>
  <si>
    <t>2023 02 03</t>
  </si>
  <si>
    <t>https://youtu.be/-MM2AAHcMsc</t>
  </si>
  <si>
    <t>Space to Ground  Flame On  02 03 2023</t>
  </si>
  <si>
    <t>-MM2AAHcMsc</t>
  </si>
  <si>
    <t>2023 02 01</t>
  </si>
  <si>
    <t>https://youtu.be/dCK_DXW3hgk</t>
  </si>
  <si>
    <t>Orion spacecraft breaks records on Artemis I mission around the Moon</t>
  </si>
  <si>
    <t>On Nov. 16, 2022, NASA's Orion spacecraft left Earth for a record-breaking mission – Artemis I. Over the course of 25.5 days, Orion performed two lunar flybys, coming within 80 miles of the lunar surface. At its farthest distance during the mission, Orion traveled nearly 270,000 miles from our home planet, more than 1,000 times farther than where the International Space Station orbits Earth, to intentionally stress systems before flying crew on Artemis II.
During the flight test, Orion stayed in space longer than any spacecraft designed for astronauts has done without docking to a space station. While in a distant lunar orbit, Orion surpassed the record for distance traveled by a spacecraft designed to carry humans, previously set during Apollo 13.
Upon re-entry, Orion performed a skip entry technique that enables the spacecraft to splashdown accurately and consistently at the selected landing site. The spacecraft endured temperatures about half as hot as the surface of the Sun at about 5,000 degrees Fahrenheit. Within about 20 minutes, Orion slowed from nearly 25,000 mph to about 16 mph for its 11 parachute-assisted splashdown on Dec. 11.</t>
  </si>
  <si>
    <t>dCK_DXW3hgk</t>
  </si>
  <si>
    <t>2023 01 31</t>
  </si>
  <si>
    <t>https://youtu.be/2WsEVnBD1C0</t>
  </si>
  <si>
    <t>OKLAHOMA STUDENTS DISCUSS LIFE IN SPACE WITH SPACE STATION ASTRONAUT</t>
  </si>
  <si>
    <t>Aboard the International Space Station, NASA Expedition 68 Flight Engineer Nicole Mann answered pre-recorded questions about life and work on the orbiting laboratory during an in-flight event Jan. 31 with students who are a part of the Choctaw Nation of Oklahoma. Mann is the first Native American woman to fly in space for NASA and is in the midst of a science mission living and working aboard the microgravity laboratory to advance scientific knowledge and demonstrate new technologies. Such research benefits people on Earth and lays the groundwork for future human exploration through the agency’s Artemis missions, which will send astronauts to the Moon to prepare for future expeditions to Mars.</t>
  </si>
  <si>
    <t>2WsEVnBD1C0</t>
  </si>
  <si>
    <t>2023 01 27</t>
  </si>
  <si>
    <t>https://youtu.be/yJ6J_--hzGs</t>
  </si>
  <si>
    <t>2022 Annual Highlights of Results from the International Space Station</t>
  </si>
  <si>
    <t>For over 20 years, the International Space Station has conducted research in microgravity to develop technologies, unlock biological phenomena, and more! In 2022 the station’s unique laboratory enabled measurements of the Earth’s surface temperature, paved the way in experimental quantum physics, and conducted hundreds of experiments across scientific disciplines.
The Annual Highlights of Results from the International Space Station publication shares some of the space station’s outstanding achievements of 2022. The full publication is available for download at https://www.nasa.gov/stationresultsresourcelibrary
FOLLOW THE SPACE STATION!
Twitter: https://twitter.com/Space_Station
Facebook: https://www.facebook.com/ISS
Instagram: https://instagram.com/iss/
Get the latest from NASA delivered every week. Subscribe here: www.nasa.gov/subscribe</t>
  </si>
  <si>
    <t>yJ6J_--hzGs</t>
  </si>
  <si>
    <t>https://youtu.be/tHCMuoZNT9s</t>
  </si>
  <si>
    <t>Space to Ground  Crew-6  01 27 2023</t>
  </si>
  <si>
    <t>tHCMuoZNT9s</t>
  </si>
  <si>
    <t>2023 01 20</t>
  </si>
  <si>
    <t>https://youtu.be/q_Vzkxi49Tc</t>
  </si>
  <si>
    <t>Space to Ground  First Timers  01 20 2023</t>
  </si>
  <si>
    <t>q_Vzkxi49Tc</t>
  </si>
  <si>
    <t>2023 01 17</t>
  </si>
  <si>
    <t>https://youtu.be/P1OuYsjEUlA</t>
  </si>
  <si>
    <t>U.S. Spacewalk 84 Animation - January 20, 2023</t>
  </si>
  <si>
    <t>Expedition 68 astronauts Nicole Mann of NASA and Koichi Wakata of the Japan Aerospace Exploration Agency (JAXA) will step outside the International Space Station for a six-and-a-half hour spacewalk to conduct preparation work for upcoming solar array upgrades for the station’s 1A and 1B power channels. The current solar arrays which were designed for a 15-year service life are functioning well, but have begun to show signs of degradation, as expected. The first pair of solar arrays were deployed in December 2000 and have been powering the station for more than 20 years. The new ISS Roll-Out Solar Arrays (IROSAs) will be positioned in front of six of the current arrays, increasing the station’s total available power from 160 kilowatts to up to 215 kilowatts.
Learn more about the research being conducted on the space station: https://www.nasa.gov/iss-science</t>
  </si>
  <si>
    <t>P1OuYsjEUlA</t>
  </si>
  <si>
    <t>2023 01 13</t>
  </si>
  <si>
    <t>https://youtu.be/NjwWBJsDOMs</t>
  </si>
  <si>
    <t>Space to Ground  The Work Continues  01 13 2023</t>
  </si>
  <si>
    <t>NjwWBJsDOMs</t>
  </si>
  <si>
    <t>2023 01 06</t>
  </si>
  <si>
    <t>https://youtu.be/tmyDcWE4DQg</t>
  </si>
  <si>
    <t>Space to Ground  New Year, New Food  01 06 2023</t>
  </si>
  <si>
    <t>tmyDcWE4DQg</t>
  </si>
  <si>
    <t>2023 01 04</t>
  </si>
  <si>
    <t>https://youtu.be/ebtTgwxAnZk</t>
  </si>
  <si>
    <t>JETT (Joint Extravehicular Activity and Human Surface Mobility Program Test Team ) Feature</t>
  </si>
  <si>
    <t>The Joint Extravehicular Activity and Human Surface Mobility Program Test Team (JETT) is a specialized group that develops, integrates, and executes tests and analog missions that enable the Artemis Campaign Development (ACD) mission.
JETT3 is the final test in the JETT integrated test plan series for 2022, which is a fully integrated mission scale test to ensure successful surface operations and technology development for Artemis III. JETT is led out of NASA’s Johnson Space Center in Houston. The group is sponsored by Johnson’s Extravehicular Activity &amp; Human Surface Mobility Program (EHP) in collaboration with the Science Mission Directorate (SMD).</t>
  </si>
  <si>
    <t>ebtTgwxAnZk</t>
  </si>
  <si>
    <t>2022 12 28</t>
  </si>
  <si>
    <t>https://youtu.be/58LtbqqUGWc</t>
  </si>
  <si>
    <t>Best Space Station Science Images of 2022</t>
  </si>
  <si>
    <t>The International Space Station continues its scientific journey orbiting over 200 miles above the Earth’s surface. This past year, spacecraft carried crew from around the world to and from the space station, where they participated in and supported hundreds of scientific investigations and technology demonstrations. From deploying CubeSats to studying fluid dynamics in space, the orbiting lab expanded its legacy of science and discovery for the benefit of humanity. Look back at some of the best photos of breakthrough science the crew members conducted in 2022: https://go.nasa.gov/3FVGTlX
____________________________________________
FOLLOW THE SPACE STATION!
Twitter: https://twitter.com/Space_Station
Facebook: https://www.facebook.com/ISS
Instagram: https://instagram.com/iss/
Join NASA as we go forward to the Moon and on to Mars -- discover the latest on Earth, the Solar System and beyond with a weekly update in your inbox.
Subscribe at: www.nasa.gov/subscribe</t>
  </si>
  <si>
    <t>58LtbqqUGWc</t>
  </si>
  <si>
    <t>2022 12 21</t>
  </si>
  <si>
    <t>https://youtu.be/KDBHBTi4wJQ</t>
  </si>
  <si>
    <t>Happy Holidays from the International Space Station!</t>
  </si>
  <si>
    <t>NASA Astronauts Frank Rubio, Nicole Mann, Josh Cassada, and JAXA astronaut Koichi Wakata share some of their favorite holiday traditions from back home, and a few from space.</t>
  </si>
  <si>
    <t>KDBHBTi4wJQ</t>
  </si>
  <si>
    <t>https://youtu.be/-ZsXNCNp-GE</t>
  </si>
  <si>
    <t>JSC Year in Review 2022</t>
  </si>
  <si>
    <t>-ZsXNCNp-GE</t>
  </si>
  <si>
    <t>2022 12 20</t>
  </si>
  <si>
    <t>https://youtu.be/ty-ZMomNhis</t>
  </si>
  <si>
    <t>Space to Ground  2022</t>
  </si>
  <si>
    <t>2022 was another transformational year on the International Space Station. We broke some records, welcomed new space travelers, and took a major step at expanding the space fleet!  Thanks to everyone around the world that makes the work done on the Space Station possible.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</si>
  <si>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ty-ZMomNhis</t>
  </si>
  <si>
    <t>2022 12 16</t>
  </si>
  <si>
    <t>https://youtu.be/Kgu3KETBGHw</t>
  </si>
  <si>
    <t>Space to Ground  What's Past is Prologue  12 16 2022</t>
  </si>
  <si>
    <t>Kgu3KETBGHw</t>
  </si>
  <si>
    <t>2022 12 11</t>
  </si>
  <si>
    <t>https://youtu.be/kZ20H8sHo9w</t>
  </si>
  <si>
    <t>Artemis I Mission Highlights</t>
  </si>
  <si>
    <t>From launch to splashdown, NASA’s Orion spacecraft completed its first deep-space mission with a splashdown in the Pacific Ocean, west of Baja California, at 9:40 a.m. PST (12:40 p.m. EST) Sunday. The record-breaking Artemis mission traveled more than 1.4 million miles on a path around the Moon and returned safely to Earth. Splashdown was the final milestone of the Artemis I mission, which began with a successful liftoff of NASA’s Space Launch System (SLS) rocket Nov. 16, from Launch Pad 39B at NASA’s Kennedy Space Center in Florida. Over the course of 25.5 days, NASA tested Orion in the harsh environment of deep space before flying astronauts on Artemis II. During the mission, Orion performed two lunar flybys, coming within 80 miles of the lunar surface. At its farthest distance during the mission, Orion traveled nearly 270,000 miles from our home planet, more than 1,000 times farther than where the International Space Station orbits Earth, to intentionally stress systems before flying crew. Prior to entering the Earth’s atmosphere, the crew module separated from its service module, which is the spacecraft’s propulsive powerhouse provided by ESA (European Space Agency). During re-entry, Orion endured temperatures of about 5,000 degrees Fahrenheit, half as hot as the surface of the Sun. Within about 20 minutes, Orion slowed from nearly 25,000 mph to about 20 mph for its parachute-assisted splashdown. During the flight test, Orion stayed in space longer than any spacecraft designed for astronauts without docking to a space station. While in a distant lunar orbit, Orion surpassed the record for distance traveled by a spacecraft designed to carry humans, previously set during Apollo 13.
Select music courtesy of Gothic Storm Publishing</t>
  </si>
  <si>
    <t>kZ20H8sHo9w</t>
  </si>
  <si>
    <t>2022 12 09</t>
  </si>
  <si>
    <t>https://youtu.be/fcc7C0FPNwc</t>
  </si>
  <si>
    <t>Artemis All Access – Updates on Orion’s Journey in Space – 12 9 22</t>
  </si>
  <si>
    <t>Artemis All Access – Episode 6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Download imagery in high-resolution here: https://go.nasa.gov/3K1voda
Select music courtesy of Gothic Storm Publishing    
Follow the mission: 
Blog: https://blogs.nasa.gov/artemis/
Live footage from the Orion spacecraft: https://go.nasa.gov/ArtemisLive
Twitter: https://twitter.com/NASAArtemis
Instagram: https://www.instagram.com/nasaartemis
Facebook: https://www.facebook.com/NASAArtemis
Get the latest from NASA weekly: www.nasa.gov/subscribe</t>
  </si>
  <si>
    <t>fcc7C0FPNwc</t>
  </si>
  <si>
    <t>https://youtu.be/HIjS3gahze4</t>
  </si>
  <si>
    <t>Parachutes  Bringing Orion Home</t>
  </si>
  <si>
    <t>After Orion enters the Earth’s atmosphere at the conclusion of its 25.5-day mission, the spacecraft will rely on its rigorously tested parachute system to slow its speed and allow for a gentle splashdown. Koki Machin, chief engineer of Orion’s parachute assembly system, describes the process and the path to certification of the system.
Follow the mission: 
Twitter: https://twitter.com/NASAArtemis
Instagram: https://www.instagram.com/nasaartemis
Facebook: https://www.facebook.com/NASAArtemis
Get the latest from NASA weekly: www.nasa.gov/subscribe</t>
  </si>
  <si>
    <t>HIjS3gahze4</t>
  </si>
  <si>
    <t>https://youtu.be/oFNlkNwM3A0</t>
  </si>
  <si>
    <t>Space to Ground  The Power of Teamwork  12 09 2022</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</si>
  <si>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Select music courtesy of Gothic Storm Publishing
Video produced at the NASA Johnson Space Center</t>
  </si>
  <si>
    <t>oFNlkNwM3A0</t>
  </si>
  <si>
    <t>2022 12 08</t>
  </si>
  <si>
    <t>https://youtu.be/plhnzQ8NAso</t>
  </si>
  <si>
    <t>Mission Control Houston During Artemis I Launch</t>
  </si>
  <si>
    <t>Flight controllers monitor NASA’s Artemis I launch and ascent into space on Wednesday, Nov. 16, in the Christopher C. Kraft Jr. Mission Control Center at NASA’s Johnson Space Center in Houston, Texas. Led by Artemis I ascent and entry flight director Judd Frieling, the team of flight controllers supported their respective console disciplines as the uncrewed Orion spacecraft lifted off at 1:47 a.m. EST atop the Space Launch System rocket from Launch Complex 39B in Florida.
Follow the mission at https://blogs.nasa.gov/artemis/ and get the latest from NASA weekly at www.nasa.gov/subscribe
Select music courtesy of Gothic Storm Publishing</t>
  </si>
  <si>
    <t>plhnzQ8NAso</t>
  </si>
  <si>
    <t>2022 12 07</t>
  </si>
  <si>
    <t>https://youtu.be/3V4CGKLqZkQ</t>
  </si>
  <si>
    <t>Explore the Orion Crew Capsule with Astronaut Randy Bresnik</t>
  </si>
  <si>
    <t>The focus of the flight of Artemis I is to test Orion’s systems ahead of crewed missions.  Starting with Artemis II, human crew members will be on board. You may be thinking, “what is it like inside?”  I’m glad you asked… follow along as NASA astronaut Randy Bresnik guides us through the interior of the Orion spacecraft and a close up look at elements that will support a crew on humankind’s next trip to the Moon.
Follow the mission: 
Twitter: https://twitter.com/NASAArtemis
Instagram: https://www.instagram.com/nasaartemis
Facebook: https://www.facebook.com/NASAArtemis
Get the latest from NASA weekly: www.nasa.gov/subscribe</t>
  </si>
  <si>
    <t>3V4CGKLqZkQ</t>
  </si>
  <si>
    <t>https://youtu.be/bgFSLWU4gs0</t>
  </si>
  <si>
    <t>Artemis All Access – Updates on Orion’s Journey in Space – 12 7 22</t>
  </si>
  <si>
    <t>Artemis All Access – Episode 5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Download imagery in high-resolution here: https://go.nasa.gov/3K1voda
Select music courtesy of Gothic Storm Publishing    
Follow the mission: 
Blog: https://blogs.nasa.gov/artemis/
Live footage from the Orion spacecraft: https://go.nasa.gov/ArtemisLive
Twitter: https://twitter.com/NASAArtemis
Instagram: https://www.instagram.com/nasaartemis
Facebook: https://www.facebook.com/NASAArtemis
Get the latest from NASA weekly: www.nasa.gov/subscribe</t>
  </si>
  <si>
    <t>bgFSLWU4gs0</t>
  </si>
  <si>
    <t>2022 12 06</t>
  </si>
  <si>
    <t>https://youtu.be/RvJnTnJxwZk</t>
  </si>
  <si>
    <t>Simulating a New Mission to the Moon</t>
  </si>
  <si>
    <t>While designers and engineers develop new spacecraft, astronauts who will fly the missions and the specialists who support their spaceflights get themselves ready the old fashioned way: practice, practice, practice. NASA teams have used simulations to prepare for every human spaceflight America has ever flown; take a closer look at today’s Mission Control Houston training team as they prepare for the Artemis flights that will return Americans to the surface of the Moon.
Follow the mission: 
Twitter: https://twitter.com/NASAArtemis
Instagram: https://www.instagram.com/nasaartemis
Facebook: https://www.facebook.com/NASAArtemis
Get the latest from NASA weekly: www.nasa.gov/subscribe</t>
  </si>
  <si>
    <t>RvJnTnJxwZk</t>
  </si>
  <si>
    <t>2022 12 05</t>
  </si>
  <si>
    <t>https://youtu.be/e1wKVLKeel0</t>
  </si>
  <si>
    <t>Flight Directors of Artemis I</t>
  </si>
  <si>
    <t>Artemis I, the first flight of a human-rated spacecraft to orbit the Moon in almost 50 years, is being controlled at NASA’s Johnson Space Center in Houston by specialists who have trained for years to execute this vital test flight in the Artemis program to return American astronauts to the Moon. They’re doing that work under the leadership and guidance of flight directors who built the mission plan and now have the responsibility to execute that plan safely and successfully. Join Rick LaBrode and Judd Frieling for a quick explanation of the roles and the mission goals they’re executing right now.
Follow the mission: 
Twitter: https://twitter.com/NASAArtemis
Instagram: https://www.instagram.com/nasaartemis
Facebook: https://www.facebook.com/NASAArtemis
Get the latest from NASA weekly: www.nasa.gov/subscribe</t>
  </si>
  <si>
    <t>e1wKVLKeel0</t>
  </si>
  <si>
    <t>2022 12 02</t>
  </si>
  <si>
    <t>https://youtu.be/Srbp4gAUj4Y</t>
  </si>
  <si>
    <t>Astronauts Reading Fan Mail %233</t>
  </si>
  <si>
    <t>It's the most wonderful time of the year — time to read our Fan Mail! 💌
Happy Holiday season from the Astronaut Corps! Enjoy the 2022 edition of astronauts reading fan mail featuring Jeanette Epps, Kayla Barron, Kjell Lindgren, Megan McArthur, Zena Cardman, Reid Wiseman, and Anil Menon.</t>
  </si>
  <si>
    <t>Srbp4gAUj4Y</t>
  </si>
  <si>
    <t>https://youtu.be/n0r6oQtJJ4M</t>
  </si>
  <si>
    <t>Artemis All Access – Updates on Orion’s Journey in Space – 12 2 22</t>
  </si>
  <si>
    <t>Artemis All Access – Episode 4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Download imagery in high-resolution here: https://go.nasa.gov/3K1voda
Select music courtesy of Gothic Storm Publishing    
Follow the mission: 
Blog: https://blogs.nasa.gov/artemis/
Live footage from the Orion spacecraft: https://go.nasa.gov/ArtemisLive
Twitter: https://twitter.com/NASAArtemis
Instagram: https://www.instagram.com/nasaartemis
Facebook: https://www.facebook.com/NASAArtemis
Get the latest from NASA weekly: www.nasa.gov/subscribe</t>
  </si>
  <si>
    <t>n0r6oQtJJ4M</t>
  </si>
  <si>
    <t>https://youtu.be/Bv3tUfCGkBE</t>
  </si>
  <si>
    <t>Space to Ground  Power Preparations  12 02 2022</t>
  </si>
  <si>
    <t>Bv3tUfCGkBE</t>
  </si>
  <si>
    <t>2022 11 29</t>
  </si>
  <si>
    <t>https://youtu.be/rKtfgtYaQ3M</t>
  </si>
  <si>
    <t>Artemis All Access – Updates on Orion’s Journey in Space – 11 29 22</t>
  </si>
  <si>
    <t>Artemis All Access – Episode 3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Download imagery in high-resolution here: https://go.nasa.gov/3K1voda
Select music courtesy of Gothic Storm Publishing    
Follow the mission: 
Blog: https://blogs.nasa.gov/artemis/
Live footage from the Orion spacecraft: https://go.nasa.gov/ArtemisLive
Twitter: https://twitter.com/NASAArtemis
Instagram: https://www.instagram.com/nasaartemis
Facebook: https://www.facebook.com/NASAArtemis
Get the latest from NASA weekly: www.nasa.gov/subscribe</t>
  </si>
  <si>
    <t>rKtfgtYaQ3M</t>
  </si>
  <si>
    <t>2022 11 23</t>
  </si>
  <si>
    <t>https://youtu.be/ERa0b7nzj-M</t>
  </si>
  <si>
    <t>Russian Spacewalk 56 - Nov. 23, 2022</t>
  </si>
  <si>
    <t>Outside the International Space Station, Roscosmos cosmonauts Sergey Prokopyev and Dmitri Petelin of the Expedition 68 crew conducted a spacewalk on November 25 to relocate a radiator from the Rassvet module to Nauka. It was the 256th spacewalk in support of station maintenance and upgrades, the fourth for Prokopyev and the second for Petelin.
Join NASA as we go forward to the Moon and on to Mars -- discover the latest on Earth, the Solar System and beyond with a weekly update in your inbox.
Subscribe at: www.nasa.gov/subscribe</t>
  </si>
  <si>
    <t>ERa0b7nzj-M</t>
  </si>
  <si>
    <t>https://youtu.be/-C_0ZzHheJk</t>
  </si>
  <si>
    <t>Artemis All Access – Updates on Orion's Journey in Space - 11 23 2022</t>
  </si>
  <si>
    <t>Artemis All Access - Episode 2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Download imagery in high-resolution here: https://go.nasa.gov/3K1voda
Select music courtesy of Gothic Storm Publishing    
Follow the mission: 
Blog: https://blogs.nasa.gov/artemis/
Live footage from the Orion spacecraft: https://go.nasa.gov/ArtemisLive
Twitter: https://twitter.com/NASAArtemis
Instagram: https://www.instagram.com/nasaartemis
Facebook: https://www.facebook.com/NASAArtemis
Get the latest from NASA weekly: www.nasa.gov/subscribe</t>
  </si>
  <si>
    <t>-C_0ZzHheJk</t>
  </si>
  <si>
    <t>https://youtu.be/a2JKH3licUo</t>
  </si>
  <si>
    <t>Space to Ground  It's a Feast  11 23 2022</t>
  </si>
  <si>
    <t>a2JKH3licUo</t>
  </si>
  <si>
    <t>2022 11 22</t>
  </si>
  <si>
    <t>https://youtu.be/jXLZakQWa6A</t>
  </si>
  <si>
    <t>Earth Rise as Seen from Orion Spacecraft</t>
  </si>
  <si>
    <t>Nov. 21, 2022 – Earth rises from behind the Moon in this video captured by a camera on one of Orion’s solar array wings. The video was taken at 8:05 a.m. EST on flight day six of the 25.5 day Artemis I mission, shortly after the outbound powered flyby and six minutes after the spacecraft regained connection with NASA’s Deep Space Network.</t>
  </si>
  <si>
    <t>jXLZakQWa6A</t>
  </si>
  <si>
    <t>2022 11 19</t>
  </si>
  <si>
    <t>https://youtu.be/ziPITyCd1yA</t>
  </si>
  <si>
    <t>Fly me to the Moon</t>
  </si>
  <si>
    <t>One day before the first launch attempt of Artemis I the team kicked off the countdown with a song! Members of Orion, Space Launch System, Exploration Ground Systems, ESA, NASA and our industry partners came together to celebrate our upcoming launch.</t>
  </si>
  <si>
    <t>ziPITyCd1yA</t>
  </si>
  <si>
    <t>2022 11 18</t>
  </si>
  <si>
    <t>https://youtu.be/CA3papkjb6Y</t>
  </si>
  <si>
    <t>Artemis All Access – Updates on Orion's Journey in Space - 11 18 2022</t>
  </si>
  <si>
    <t>Artemis All Access - Episode 1
Artemis All Access is your look at the latest in Artemis I, the people and technology behind the mission, and what is coming up next. This uncrewed flight test around the Moon will pave the way for a crewed flight test and future human lunar exploration as part of Artemis.  Learn more about the mission and track the Orion spacecraft’s current position at www.nasa.gov/trackartemis/ and on Twitter at @NASA_Orion. Live coverage of major events will air on NASA Television, the NASA app, and the agency’s website at www.nasa.gov/live 
Select music courtesy of Gothic Storm Publishing    
Follow the mission: 
Twitter: https://twitter.com/NASAArtemis
Instagram: https://www.instagram.com/nasaartemis
Facebook: https://www.facebook.com/NASAArtemis
Get the latest from NASA weekly: www.nasa.gov/subscribe</t>
  </si>
  <si>
    <t>CA3papkjb6Y</t>
  </si>
  <si>
    <t>https://youtu.be/PhvGz9KOq8I</t>
  </si>
  <si>
    <t>Space to Ground  Dual Excursions  11 18 2022</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</si>
  <si>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Select music courtesy of Gothic Storm Publishing           
________________________________________
FOLLOW THE SPACE STATION!
Twitter: https://twitter.com/Space_Station
Facebook: https://www.facebook.com/ISS
Instagram: https://instagram.com/iss/
Video produced at the NASA Johnson Space Center</t>
  </si>
  <si>
    <t>PhvGz9KOq8I</t>
  </si>
  <si>
    <t>2022 11 17</t>
  </si>
  <si>
    <t>https://youtu.be/Dnp-yqdUGNM</t>
  </si>
  <si>
    <t>Gateway Overview Video</t>
  </si>
  <si>
    <t>Dnp-yqdUGNM</t>
  </si>
  <si>
    <t>2022 11 16</t>
  </si>
  <si>
    <t>https://youtu.be/IC9Ejde89rQ</t>
  </si>
  <si>
    <t>Russian Spacewalk 55 Animation - November 16, 2022</t>
  </si>
  <si>
    <t>Roscosmos cosmonauts Sergey Prokopyev and Dmitri Petelin conducted a spacewalk outside the Poisk module of the International Space Station to prepare a radiator for its relocation from the Rassvet module to the Nauka Multipurpose Laboratory Module. The radiator and an associated airlock launched in 2010 on Rassvet on a space shuttle mission will continue the outfitting of the Nauka module for future use as both a research facility and a second airlock for Russian-segment based spacewalks.
Voice over by Mitchell Harger, EVA Integration and Operations Lead
Join NASA as we go forward to the Moon and on to Mars -- discover the latest on Earth, the Solar System and beyond with a weekly update in your inbox.
Subscribe at: www.nasa.gov/subscribe</t>
  </si>
  <si>
    <t>IC9Ejde89rQ</t>
  </si>
  <si>
    <t>2022 11 11</t>
  </si>
  <si>
    <t>https://youtu.be/YMQUJMuh6sU</t>
  </si>
  <si>
    <t>Space to Ground  Spacewalk Season  11 11 2022</t>
  </si>
  <si>
    <t>YMQUJMuh6sU</t>
  </si>
  <si>
    <t>2022 11 04</t>
  </si>
  <si>
    <t>https://youtu.be/iBgs_XLv1ng</t>
  </si>
  <si>
    <t>Space to Ground  Scientific Ride  11 04 2022</t>
  </si>
  <si>
    <t>iBgs_XLv1ng</t>
  </si>
  <si>
    <t>2022 10 28</t>
  </si>
  <si>
    <t>https://youtu.be/LqmS_mYDnpM</t>
  </si>
  <si>
    <t>Space to Ground  Taking Stock  10 28 2022</t>
  </si>
  <si>
    <t>LqmS_mYDnpM</t>
  </si>
  <si>
    <t>2022 10 21</t>
  </si>
  <si>
    <t>https://youtu.be/AeHvv4kCSk8</t>
  </si>
  <si>
    <t>Space to Ground  Flawless Splashdown  10 21 2022</t>
  </si>
  <si>
    <t>AeHvv4kCSk8</t>
  </si>
  <si>
    <t>2022 10 14</t>
  </si>
  <si>
    <t>https://youtu.be/vnCkV-vZk3I</t>
  </si>
  <si>
    <t>Space to Ground  A Full House  10 14 2022</t>
  </si>
  <si>
    <t>vnCkV-vZk3I</t>
  </si>
  <si>
    <t>2022 10 11</t>
  </si>
  <si>
    <t>https://youtu.be/I9FLyL68It0</t>
  </si>
  <si>
    <t>Giant Leaps Start Here - NASA's Johnson Space Center</t>
  </si>
  <si>
    <t>The first word uttered by astronauts in space before history is made – big or small – is “Houston…” NASA’s Johnson Space Center has served as the iconic setting to some of humankind’s greatest achievements. For nearly 60 years, as part of NASA’s nationwide team, Johnson has led the world in human space exploration. Today, we push forward to the Moon. Tomorrow, we leap to greater heights and new destinations. There is history to be made. Giant Leaps Start Here!</t>
  </si>
  <si>
    <t>I9FLyL68It0</t>
  </si>
  <si>
    <t>2022 10 07</t>
  </si>
  <si>
    <t>https://youtu.be/56yo70bavDE</t>
  </si>
  <si>
    <t>Space to Ground  Einstein's Happiest Thought  10 07 2022</t>
  </si>
  <si>
    <t>56yo70bavDE</t>
  </si>
  <si>
    <t>2022 10 05</t>
  </si>
  <si>
    <t>https://youtu.be/2alomhpjEew</t>
  </si>
  <si>
    <t>Meet Nicole Mann, Crew-5 Commander</t>
  </si>
  <si>
    <t>A Marine combat pilot, a mechanical engineer, and a first-time space flyer – just some of the ways to describe Nicole Mann, commander of NASA’s next SpaceX Crew Dragon mission to the International Space Station.  Hear her describe her California childhood, her path from Naval Academy to pilot to astronaut, and how she expects this mission to contribute to the evolution of human possibilities.
_______________________________________
FOLLOW THE SPACE STATION!
Twitter: https://twitter.com/Space_Station
Facebook: https://www.facebook.com/ISS
Instagram: https://instagram.com/iss/</t>
  </si>
  <si>
    <t>2alomhpjEew</t>
  </si>
  <si>
    <t>https://youtu.be/OPQOGS8XRnU</t>
  </si>
  <si>
    <t>Meet Josh Cassada, Crew-5 Pilot</t>
  </si>
  <si>
    <t>He’s already a particle physicist and a Navy combat pilot, but this is a first for Josh Cassada: his first trip to space.  The pilot on NASA’s SpaceX Crew-5 mission to the International Space Station explains how his varied background led him to become an astronaut, and talks about his hopes for this mission to contribute to the next generation of exploration and science.
_______________________________________
FOLLOW THE SPACE STATION!
Twitter: https://twitter.com/Space_Station
Facebook: https://www.facebook.com/ISS
Instagram: https://instagram.com/iss/</t>
  </si>
  <si>
    <t>OPQOGS8XRnU</t>
  </si>
  <si>
    <t>2022 09 30</t>
  </si>
  <si>
    <t>https://youtu.be/X7G0BKKB12E</t>
  </si>
  <si>
    <t>Space to Ground  Assuming Command  09 30 2020</t>
  </si>
  <si>
    <t>X7G0BKKB12E</t>
  </si>
  <si>
    <t>2022 09 29</t>
  </si>
  <si>
    <t>https://youtu.be/0vU9x0QK-7s</t>
  </si>
  <si>
    <t>A Phone Call to Space</t>
  </si>
  <si>
    <t>Aboard the International Space Station, NASA Expedition 67 Flight Engineers Kjell Lindgren, Bob Hines and Jessica Watkins, as well as ESA (European Space Agency) Flight Engineer Samantha Cristoforetti, answered questions about life and work on the orbiting laboratory, as well as all the exciting reasons to work at NASA during an in-flight event August 22, 2022 with NASA interns calling from the Mission Control Center at NASA’s Johnson Space Center in Houston. The four crew members are in the midst of a science mission living and working aboard the microgravity laboratory to advance scientific knowledge and demonstrate new technologies for future human and robotic exploration missions as part of NASA’s Moon and Mars exploration approach, including lunar missions through NASA’s Artemis program. 
Join NASA as we go forward to the Moon and on to Mars -- discover the latest on Earth, the Solar System and beyond with a weekly update in your inbox.
Subscribe at: www.nasa.gov/subscribe</t>
  </si>
  <si>
    <t>0vU9x0QK-7s</t>
  </si>
  <si>
    <t>2022 09 23</t>
  </si>
  <si>
    <t>https://youtu.be/M4g8Cq01XbE</t>
  </si>
  <si>
    <t>Space to Ground  Flying Turtles  09 23 2022</t>
  </si>
  <si>
    <t>M4g8Cq01XbE</t>
  </si>
  <si>
    <t>2022 09 20</t>
  </si>
  <si>
    <t>https://youtu.be/Etq7LodNJnM</t>
  </si>
  <si>
    <t>The 60th Anniversary Commemoration of President John F. Kennedy’s Speech at Rice University</t>
  </si>
  <si>
    <t>Watch the coverage of the 60th anniversary commemoration of President John F. Kennedy’s speech at Rice University rallying the nation to land humans on the Moon and returning them safely to Earth.</t>
  </si>
  <si>
    <t>Etq7LodNJnM</t>
  </si>
  <si>
    <t>https://youtu.be/mHzK41IHwr4</t>
  </si>
  <si>
    <t>Leaving Home   Down to Earth - S2 E6</t>
  </si>
  <si>
    <t>In this episode of Down to Earth, astronaut Victor Glover sits down with his daughter to discuss what it's like to be separated from your family on a mission to the International Space Station.
_______________________________________
FOLLOW THE SPACE STATION!
Twitter: https://twitter.com/Space_Station
Facebook: https://www.facebook.com/ISS
Instagram: https://instagram.com/iss/</t>
  </si>
  <si>
    <t>mHzK41IHwr4</t>
  </si>
  <si>
    <t>2022 09 19</t>
  </si>
  <si>
    <t>https://youtu.be/qLYIAWlsG7U</t>
  </si>
  <si>
    <t>Astronaut Moments with NASA Astronaut Frank Rubio</t>
  </si>
  <si>
    <t>NASA astronaut Frank Rubio, along with Roscosmos cosmonauts Sergey Prokopyev and Dmitri Petelin, is scheduled to launch to the space station Wednesday, Sept. 21, 2022 aboard the Soyuz MS-22 spacecraft from the Baikonur Cosmodrome in Kazakhstan. He will be a flight engineer and member of the Expedition 68 station crew.
The Miami, Florida native graduated from the U.S. Military Academy and earned a doctor of medicine degree from the Uniformed Services University of the Health Sciences in Bethesda, Maryland. Prior to attending medical school, he served as a UH-60 Blackhawk helicopter pilot and flew more than 1,100 hours, including more than 600 hours of combat and imminent danger time during deployments to Bosnia, Afghanistan, and Iraq. Rubio is a board-certified family physician and flight surgeon. 
Find Rubio’s biography at https://www.nasa.gov/astronauts/biographies/frank-rubio/biography</t>
  </si>
  <si>
    <t>qLYIAWlsG7U</t>
  </si>
  <si>
    <t>2022 09 16</t>
  </si>
  <si>
    <t>https://youtu.be/00jNOM1YbIg</t>
  </si>
  <si>
    <t>Space to Ground  Windows to the World</t>
  </si>
  <si>
    <t>00jNOM1YbIg</t>
  </si>
  <si>
    <t>2022 09 09</t>
  </si>
  <si>
    <t>https://youtu.be/7lnGeGucACo</t>
  </si>
  <si>
    <t>Space to Ground  For the Progress of All  09 09 2022</t>
  </si>
  <si>
    <t>7lnGeGucACo</t>
  </si>
  <si>
    <t>2022 09 08</t>
  </si>
  <si>
    <t>https://youtu.be/Qk27MINlDhw</t>
  </si>
  <si>
    <t>Behind-the-Scenes aboard a T-38 Jet flying over Artemis I Launch Pad</t>
  </si>
  <si>
    <t>NASA photographer Josh Valcarcel took a ride with NASA Astronauts and astronaut candidates in the back seat of a T-38 jet in this behind-the-scenes view. The group was traveling to NASA’s Kennedy Space Center in Florida to see the Space Launch System rocket and Orion spacecraft on Launch Complex 39B before the launch of the Artemis I mission. While Artemis I is an uncrewed flight test, its journey to the Moon and back will provide valuable data so astronauts can safely launch to the Moon aboard Artemis II.</t>
  </si>
  <si>
    <t>Qk27MINlDhw</t>
  </si>
  <si>
    <t>2022 09 01</t>
  </si>
  <si>
    <t>https://youtu.be/y81sbuvUTaQ</t>
  </si>
  <si>
    <t>Space to Ground  Outfitting the Arm  09 01 2022</t>
  </si>
  <si>
    <t>y81sbuvUTaQ</t>
  </si>
  <si>
    <t>2022 08 26</t>
  </si>
  <si>
    <t>https://youtu.be/rae5VG_ivao</t>
  </si>
  <si>
    <t>Space to Ground  Paving the Way  08 26 2022</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</si>
  <si>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
Select music courtesy of Gothic Storm Publishing</t>
  </si>
  <si>
    <t>rae5VG_ivao</t>
  </si>
  <si>
    <t>2022 08 23</t>
  </si>
  <si>
    <t>https://youtu.be/nrclYTzoARA</t>
  </si>
  <si>
    <t>From Station to Artemis  Enabling the Next Steps of Exploration</t>
  </si>
  <si>
    <t>For over two decades, the International Space Station has enabled thousands of microgravity studies in low-Earth orbit. Many of these experiments have helped us better prepare for deep space exploration, including the Artemis I mission. By combining the findings we can get in lunar orbit and results from science conducted aboard Earth’s orbiting laboratory, humanity is getting closer to Mars than ever before. Learn more at https://www.nasa.gov/iss-science.</t>
  </si>
  <si>
    <t>nrclYTzoARA</t>
  </si>
  <si>
    <t>2022 08 22</t>
  </si>
  <si>
    <t>https://youtu.be/st1zPqUPbzU</t>
  </si>
  <si>
    <t>Back to School with NASA Astronaut Megan McArthur</t>
  </si>
  <si>
    <t>Starting a new school year can be both exciting and intimidating. Megan McArthur shares how starting new school year can be just like her first time in Astronaut training. Have a mindset for success, be curious, don’t be afraid to ask questions, and take NASA with you. NASA STEM Engagement.
https://www.nasa.gov/stem/nextgenstem/index.html</t>
  </si>
  <si>
    <t>st1zPqUPbzU</t>
  </si>
  <si>
    <t>2022 08 19</t>
  </si>
  <si>
    <t>https://youtu.be/JBHB7Mrvuhg</t>
  </si>
  <si>
    <t>Space to Ground  A Critical Steppingstone  08 19 2022</t>
  </si>
  <si>
    <t>JBHB7Mrvuhg</t>
  </si>
  <si>
    <t>2022 08 16</t>
  </si>
  <si>
    <t>https://youtu.be/OTbm3nAD3eY</t>
  </si>
  <si>
    <t>Depiction of the August 17th ISS Expedition 67 Russian Spacewalk</t>
  </si>
  <si>
    <t>This computer animation is a depiction of the spacewalk that will take place outside of the International Space Station by Expedition 67 Commander Oleg Artemyev of Roscosmos and Flight Engineer Denis Matveev on Aug. 17 to continue outfitting hardware on the Nauka multipurpose laboratory module, including the installation of cameras on the European Robotic Arm elbow. Nauka and the European robotic arm launched last July from the Baikonur Cosmodrome in Kazakhstan. The spacewalk will be the 252nd spacewalk in support of space station assembly, maintenance, and upgrades, the seventh in Artemyev’s career, and the third for Matveev.</t>
  </si>
  <si>
    <t>OTbm3nAD3eY</t>
  </si>
  <si>
    <t>2022 08 12</t>
  </si>
  <si>
    <t>https://youtu.be/tRtiw8Tz-Lk</t>
  </si>
  <si>
    <t>Space to Ground  Space Gardening  08 12 2022</t>
  </si>
  <si>
    <t>tRtiw8Tz-Lk</t>
  </si>
  <si>
    <t>2022 08 08</t>
  </si>
  <si>
    <t>https://youtu.be/yQNEKTOL_oA</t>
  </si>
  <si>
    <t>Earth from Space in 4K – Expedition 65 Edition</t>
  </si>
  <si>
    <t>The people who get to see the Earth from space marvel at its beauty, the colors, the fragility they feel about the planet 250 miles below them.  Now it’s your turn: this ultra-high definition video, captured during the International Space Station’s Expedition 65, allows you an extended, appreciative gawk at the home planet in all its glory.  Hit play, and go into orbit mode.
This footage was shot from the International Space Station between April 17, 2021 – Oct. 17, 2021.
HD download: https://archive.org/details/jsc2022m000172_Earth_in_4K_Expedition_65_Edition
_______________________________________
FOLLOW THE SPACE STATION!
Twitter: https://twitter.com/Space_Station
Facebook: https://www.facebook.com/ISS
Instagram: https://instagram.com/iss/</t>
  </si>
  <si>
    <t>yQNEKTOL_oA</t>
  </si>
  <si>
    <t>2022 08 05</t>
  </si>
  <si>
    <t>https://youtu.be/uL36x4n5wLQ</t>
  </si>
  <si>
    <t>Space to Ground  The Gateway Connection  08 05 2022</t>
  </si>
  <si>
    <t>uL36x4n5wLQ</t>
  </si>
  <si>
    <t>2022 07 29</t>
  </si>
  <si>
    <t>https://youtu.be/W-N4U30kSoY</t>
  </si>
  <si>
    <t>Space to Ground  Decades of Results  07 29 2022</t>
  </si>
  <si>
    <t>W-N4U30kSoY</t>
  </si>
  <si>
    <t>2022 07 28</t>
  </si>
  <si>
    <t>https://youtu.be/7vPGdmQR944</t>
  </si>
  <si>
    <t>We Belong Here</t>
  </si>
  <si>
    <t>When individuals can bring their full, authentic self to the workplace, our entire NASA
workforce benefits. A decade ago, we established the Out &amp; Allied Employee Resource Group 
to leverage the strengths &amp; unique experiences of the employees of the LGBTQ+ community.</t>
  </si>
  <si>
    <t>7vPGdmQR944</t>
  </si>
  <si>
    <t>2022 07 26</t>
  </si>
  <si>
    <t>https://youtu.be/Pme6SrG_-ZA</t>
  </si>
  <si>
    <t>Gateway Buildup Animation</t>
  </si>
  <si>
    <t>Animation of the assembly of Gateway elements in sequential order.</t>
  </si>
  <si>
    <t>Pme6SrG_-ZA</t>
  </si>
  <si>
    <t>2022 07 22</t>
  </si>
  <si>
    <t>https://youtu.be/o5DpMYDJ22o</t>
  </si>
  <si>
    <t>15 Benefits of Space Station Research</t>
  </si>
  <si>
    <t>The first decade of the International Space Station was the decade of construction. The second decade moved from initial studies to fully using the capabilities of the orbiting laboratory. We have now entered the decade of results. With more than 20 years of experiments conducted on station, more breakthroughs are materializing than ever before.
Explore 15 of the ways the space station is benefiting humanity:https://go.nasa.gov/3ODzYPm</t>
  </si>
  <si>
    <t>o5DpMYDJ22o</t>
  </si>
  <si>
    <t>https://youtu.be/IomdsbwYPrI</t>
  </si>
  <si>
    <t>International Space Station Benefits for Humanity 2022</t>
  </si>
  <si>
    <t>The 2022 edition of the International Space Station Benefits for Humanity publication is now available. This updated edition is packed with numerous benefits of the microgravity laboratory highlighting the groundbreaking discoveries helping society, technologies tested for future space exploration, new scientific breakthroughs, and contributions to the growing low-Earth orbit (LEO) economy.
View the full Benefits for Humanity 2022 publication here: https://www.nasa.gov/stationbenefits</t>
  </si>
  <si>
    <t>IomdsbwYPrI</t>
  </si>
  <si>
    <t>https://youtu.be/P0qzVV6r3sE</t>
  </si>
  <si>
    <t>Space to Ground  Double Dragons  07 22 2022</t>
  </si>
  <si>
    <t>P0qzVV6r3sE</t>
  </si>
  <si>
    <t>2022 07 15</t>
  </si>
  <si>
    <t>https://youtu.be/yMqMREkFfXA</t>
  </si>
  <si>
    <t>Space to Ground  Something Incredible  07 15 2022</t>
  </si>
  <si>
    <t>yMqMREkFfXA</t>
  </si>
  <si>
    <t>2022 07 08</t>
  </si>
  <si>
    <t>https://youtu.be/f3QEex_8LZQ</t>
  </si>
  <si>
    <t>Space to Ground  Cargo Countdown  07 08 2022</t>
  </si>
  <si>
    <t>f3QEex_8LZQ</t>
  </si>
  <si>
    <t>2022 07 06</t>
  </si>
  <si>
    <t>https://youtu.be/cLRaP4SVvCc</t>
  </si>
  <si>
    <t>Spacesuits for Artemis  Moon Dust and Mobility</t>
  </si>
  <si>
    <t>Exploration is dirty work! Advanced spacesuits will protect the first woman and person of color on the Moon from the harsh lunar environment. Lunar soil isn’t simple dust like what we have on Earth; it is irregular, sharp, and fine and it creates challenges for spacesuit engineers. Find out how NASA research and development are shaping spacesuits for the Artemis generation.</t>
  </si>
  <si>
    <t>cLRaP4SVvCc</t>
  </si>
  <si>
    <t>2022 07 01</t>
  </si>
  <si>
    <t>https://youtu.be/HUkP9E5-5ds</t>
  </si>
  <si>
    <t>Space to Ground  Halftime Report  07 01 2022</t>
  </si>
  <si>
    <t>HUkP9E5-5ds</t>
  </si>
  <si>
    <t>2022 06 24</t>
  </si>
  <si>
    <t>https://youtu.be/1TPn-lFIYE4</t>
  </si>
  <si>
    <t>A New Chapter   Down to Earth - S2 E5</t>
  </si>
  <si>
    <t>In this week's episode of Down to Earth, NASA astronauts Chris Cassidy and Warren "Woody" Hoburg discuss the NASA and SpaceX Demo-2 mission, human spaceflight history, and the challenges of spacewalking.
_______________________________________
FOLLOW THE SPACE STATION!
Twitter: https://twitter.com/Space_Station
Facebook: https://www.facebook.com/ISS
Instagram: https://instagram.com/iss/</t>
  </si>
  <si>
    <t>1TPn-lFIYE4</t>
  </si>
  <si>
    <t>https://youtu.be/mscfcvlkbDk</t>
  </si>
  <si>
    <t>SpaceCast Weekly - June 24, 2022</t>
  </si>
  <si>
    <t>SpaceCast Weekly is a NASA Television broadcast from the Johnson Space Center in Houston featuring stories about NASA’s work in human spaceflight, including the International Space Station and its crews and scientific research activities, and the development of Orion and the Space Launch System, the next generation American spacecraft being built to take humans farther into space than they’ve ever gone before.
Join NASA as we go forward to the Moon and on to Mars -- discover the latest on Earth, the Solar System and beyond with a weekly update in your inbox.
Subscribe at: www.nasa.gov/subscribe</t>
  </si>
  <si>
    <t>mscfcvlkbDk</t>
  </si>
  <si>
    <t>https://youtu.be/G_FYCymbO4w</t>
  </si>
  <si>
    <t>Space to Ground  Wearable Wireless  06 24 2022</t>
  </si>
  <si>
    <t>G_FYCymbO4w</t>
  </si>
  <si>
    <t>2022 06 22</t>
  </si>
  <si>
    <t>https://youtu.be/8U2BPtYyvW8</t>
  </si>
  <si>
    <t>STEMonstrations  Simple Machines</t>
  </si>
  <si>
    <t>Watch NASA astronaut Shane Kimbrough as he discusses the six types of simple machines and shows  simple and compound machines currently in use aboard the International Space Station. Do you think microgravity affects how simple machines are used in space? Learn how simple and compound machines play an integral role in an astronaut’s mission 250 miles above Earth.
Be sure to check out https://www.nasa.gov/stemonstrations for more videos like this along with their corresponding Classroom Connection lesson plans.</t>
  </si>
  <si>
    <t>8U2BPtYyvW8</t>
  </si>
  <si>
    <t>2022 06 17</t>
  </si>
  <si>
    <t>https://youtu.be/mtmsHpo-H9Q</t>
  </si>
  <si>
    <t>Space to Ground  One Million Hours  06 17 2022</t>
  </si>
  <si>
    <t>mtmsHpo-H9Q</t>
  </si>
  <si>
    <t>2022 06 10</t>
  </si>
  <si>
    <t>https://youtu.be/DzqFaQ8rZDE</t>
  </si>
  <si>
    <t>Adapt   Down to Earth - S2 E4</t>
  </si>
  <si>
    <t>This week on Down to Earth: Conversations, former NASA astronaut Chris Cassidy and astronaut Warren "Woody" Hoburg  explore what it's like to adapt to life on station.
_______________________________________
FOLLOW THE SPACE STATION!
Twitter: https://twitter.com/Space_Station
Facebook: https://www.facebook.com/ISS
Instagram: https://instagram.com/iss/</t>
  </si>
  <si>
    <t>DzqFaQ8rZDE</t>
  </si>
  <si>
    <t>https://youtu.be/OuiMC5oTY7A</t>
  </si>
  <si>
    <t>Space to Ground  The To-Do List  06 10 2022</t>
  </si>
  <si>
    <t>OuiMC5oTY7A</t>
  </si>
  <si>
    <t>2022 06 06</t>
  </si>
  <si>
    <t>https://youtu.be/Or7ZiVvj2cE</t>
  </si>
  <si>
    <t>Going Outside  Exploring the Future</t>
  </si>
  <si>
    <t>What will it take to get humanity further into the cosmos… the suits they wear, of course! From the surface of the Moon to the Space Station, American astronauts have been suiting up to explore for over fifty years. With Mars on the horizon, the next generation of spacesuits will propel us to a new future of learning, exploration, and discovery.
https://www.nasa.gov/suitup</t>
  </si>
  <si>
    <t>Or7ZiVvj2cE</t>
  </si>
  <si>
    <t>2022 06 03</t>
  </si>
  <si>
    <t>https://youtu.be/_2SvDVkZDhU</t>
  </si>
  <si>
    <t>Space to Ground  The Study of Dust  06 03 2022</t>
  </si>
  <si>
    <t>_2SvDVkZDhU</t>
  </si>
  <si>
    <t>https://youtu.be/Ah-jnpya4-s</t>
  </si>
  <si>
    <t>Orion’s Journey - Part 1  Leaving Earth</t>
  </si>
  <si>
    <t>Getting to the Moon isn’t as simple as flying straight there! Learn more about how NASA’s Orion spacecraft will journey to the Moon.</t>
  </si>
  <si>
    <t>Ah-jnpya4-s</t>
  </si>
  <si>
    <t>https://youtu.be/qxRwx6klbeg</t>
  </si>
  <si>
    <t>Orion’s Journey - Part 2  Entering Distant Retrograde Orbit (DRO)</t>
  </si>
  <si>
    <t>On Artemis I, once Orion reaches the Moon, the spacecraft will travel in a distant retrograde orbit, or DRO. Learn more about Orion’s special path.</t>
  </si>
  <si>
    <t>qxRwx6klbeg</t>
  </si>
  <si>
    <t>https://youtu.be/t0XhcsWoAPM</t>
  </si>
  <si>
    <t>Orion’s Journey - Part 3  Returning Home</t>
  </si>
  <si>
    <t>Orion will leave distant retrograde orbit, or DRO, and come back to Earth, splashing down in the Pacific Ocean. Learn more about how Orion returns home after its mission.</t>
  </si>
  <si>
    <t>t0XhcsWoAPM</t>
  </si>
  <si>
    <t>2022 05 27</t>
  </si>
  <si>
    <t>https://youtu.be/EZxmX_E2zs8</t>
  </si>
  <si>
    <t>Space to Ground  Starliner  05 27 2022</t>
  </si>
  <si>
    <t>EZxmX_E2zs8</t>
  </si>
  <si>
    <t>2022 05 23</t>
  </si>
  <si>
    <t>https://youtu.be/Mn6GRKISsoE</t>
  </si>
  <si>
    <t>The Miracle Planet   Down to Earth - S2 E3</t>
  </si>
  <si>
    <t>In this week’s episode of Down to Earth: Conversations, Suni and Adrien discuss protecting our planet’s environment and give their closing thoughts on their conversation. 
_______________________________________
FOLLOW THE SPACE STATION!
Twitter: https://twitter.com/Space_Station
Facebook: https://www.facebook.com/ISS
Instagram: https://instagram.com/iss/</t>
  </si>
  <si>
    <t>Mn6GRKISsoE</t>
  </si>
  <si>
    <t>2022 05 20</t>
  </si>
  <si>
    <t>https://youtu.be/Bqjoq-Jfb2c</t>
  </si>
  <si>
    <t>NASA Johnson's Astromaterials Laboratory</t>
  </si>
  <si>
    <t>For more than 50 years, NASA astronauts and scientists have explored the Earth and sky, searching for ways to study the elements and materials that make up the Solar System. NASA’s Astromaterials Research and Exploration Science Division, or ARES is responsible to preserve lunar and other samples for current and future scientific research. The samples are protected inside secure and environmentally controlled vaults. As part of the agency’s Artemis program, NASA is preparing to go back to the Moon, this time to the South Pole. Astronauts will bring back more samples for current and future generations to study.</t>
  </si>
  <si>
    <t>Bqjoq-Jfb2c</t>
  </si>
  <si>
    <t>https://youtu.be/xasnaNpgq04</t>
  </si>
  <si>
    <t>Space to Ground  Flight Test  05 20 2022</t>
  </si>
  <si>
    <t>xasnaNpgq04</t>
  </si>
  <si>
    <t>2022 05 13</t>
  </si>
  <si>
    <t>https://youtu.be/WDVubcoZCP4</t>
  </si>
  <si>
    <t>Space to Ground  Science Season  05 13 2022</t>
  </si>
  <si>
    <t>WDVubcoZCP4</t>
  </si>
  <si>
    <t>2022 05 06</t>
  </si>
  <si>
    <t>https://youtu.be/7Yaiw9ISxG0</t>
  </si>
  <si>
    <t>Sensory Overload   Down to Earth - S2 E2</t>
  </si>
  <si>
    <t>In episode two of Down to Earth: Conversations, astronaut Sunita Williams and environmental studies student Adrien Prouty explore what it's like to conduct a spacewalk on the International Space Station.
_______________________________________
FOLLOW THE SPACE STATION!
Twitter: https://twitter.com/Space_Station
Facebook: https://www.facebook.com/ISS
Instagram: https://instagram.com/iss/</t>
  </si>
  <si>
    <t>7Yaiw9ISxG0</t>
  </si>
  <si>
    <t>https://youtu.be/2PADmY5Gq04</t>
  </si>
  <si>
    <t>Space to Ground  Place of No Return  05 06 2022</t>
  </si>
  <si>
    <t>2PADmY5Gq04</t>
  </si>
  <si>
    <t>2022 05 04</t>
  </si>
  <si>
    <t>https://youtu.be/Z_ndJHT4qOw</t>
  </si>
  <si>
    <t>Change of Command of International Space Station Takes Place</t>
  </si>
  <si>
    <t>Aboard the International Space Station, NASA astronaut Tom Marshburn handed over command of the International Space Station to Roscosmos cosmonaut Oleg Artemyev during a change of command ceremony May 4. Farewell remarks also took place ahead of Crew-3 undocking and splashdown following their six-month mission aboard the orbital outpost. Marshburn and Artemyev are in the midst of long duration missions living and working aboard the microgravity laboratory to advance scientific knowledge and demonstrate new technologies for future human and robotic exploration missions</t>
  </si>
  <si>
    <t>Z_ndJHT4qOw</t>
  </si>
  <si>
    <t>2022 04 29</t>
  </si>
  <si>
    <t>https://youtu.be/xQ7wCF582cg</t>
  </si>
  <si>
    <t>Space to Ground  Fantastic Four  04 29 2022</t>
  </si>
  <si>
    <t>xQ7wCF582cg</t>
  </si>
  <si>
    <t>2022 04 28</t>
  </si>
  <si>
    <t>https://youtu.be/6M05OWIVg4c</t>
  </si>
  <si>
    <t>Expedition 67 - International Space Station Russian Spacewalk 53 - April 28, 2022</t>
  </si>
  <si>
    <t>Outside the International Space Station, Expedition 67 cosmonauts Oleg Artemyev and Denis Matveev conducted their second spacewalk in as many weeks to release launch restraints on the European Robotic Arm (ERA) mounted on the Nauka Multipurpose Module. The arm, which will be used to move people and payloads around the Russian segment of the station, moved a short distance away from grapple points on Nauka, release its twin end effectors one at a time in an initial test of its mobility. It is the 250th spacewalk in support of station, assembly, maintenance and upgrades, the fifth for Artemyev and the second for Matveev.
Get the latest from NASA delivered every week. Subscribe here: www.nasa.gov/subscribe</t>
  </si>
  <si>
    <t>6M05OWIVg4c</t>
  </si>
  <si>
    <t>https://youtu.be/TImANes5Bzk</t>
  </si>
  <si>
    <t>NASA's SpaceX Crew-4 Flight Day 2 Highlights</t>
  </si>
  <si>
    <t>NASA’s SpaceX Crew-4 astronauts docked autonomously to the forward port of the International Space Station’s Harmony module at 7:37 p.m. EDT Wednesday, April 27. NASA astronauts Kjell Lindgren, Robert Hines, and Jessica Watkins, along with ESA (European Space Agency) astronaut Samantha Cristoforetti, arrived after a one-day journey to begin a six-month science mission on the space station. Following docking Lindgren, Hines, Watkins, and Cristoforetti joined the Expedition 67 crew of NASA astronauts Tom Marshburn, Raja Chari, Kayla Barron, and ESA astronaut Matthias Maurer, as well as Roscosmos cosmonauts Oleg Artemyev, Sergey Korsakov, and Denis Matveev.</t>
  </si>
  <si>
    <t>TImANes5Bzk</t>
  </si>
  <si>
    <t>2022 04 27</t>
  </si>
  <si>
    <t>https://youtu.be/S2Zt190EaNk</t>
  </si>
  <si>
    <t>Meet Jessica Watkins, Crew-4 Mission Specialist</t>
  </si>
  <si>
    <t>A belief that exploration expands the boundaries of who we are as people, and unites us all at the same time, is why Jessica Watkins is so excited for her first spaceflight on NASA’s SpaceX Crew-4 mission to the International Space Station.  Join her for the story of how her childhood interest in being an astronaut, and finding her passion for geology in college, led her to being chosen as an astronaut and now to becoming the first Black woman to be a long-duration station crew member.
_______________________________________
FOLLOW THE SPACE STATION!
Twitter: https://twitter.com/Space_Station
Facebook: https://www.facebook.com/ISS
Instagram: https://instagram.com/iss/
Video Credits
Director: Sami Aziz
Producer: Gary Jordan
Editor: Jason Clemons
Cinematographer: Charles Clendaniel
Sound Mixer: Greg Wiseman</t>
  </si>
  <si>
    <t>S2Zt190EaNk</t>
  </si>
  <si>
    <t>https://youtu.be/DHP5CTsDk-s</t>
  </si>
  <si>
    <t>Meet Bob Hines, Crew-4 Pilot</t>
  </si>
  <si>
    <t>It was an innate desire to explore that led Bob Hines into the Air Force, and now has him poised for his first trip to space as the pilot on NASA’s SpaceX Crew-4 mission to the International Space Station.  Hear the story of his childhood in an Army family and his desire to fly, which led Hines to become a test pilot and later a research pilot for NASA before he was chosen as an astronaut, and now has him on the cusp of having a lifelong dream come true.
_______________________________________
FOLLOW THE SPACE STATION!
Twitter: https://twitter.com/Space_Station
Facebook: https://www.facebook.com/ISS
Instagram: https://instagram.com/iss/
Video Credits
Director: Sami Aziz
Producer: Gary Jordan
Editor/Sound Mixer: Jamie Quinn
Cinematographer: Charles Clendaniel</t>
  </si>
  <si>
    <t>DHP5CTsDk-s</t>
  </si>
  <si>
    <t>https://youtu.be/IJoSZPh6lqI</t>
  </si>
  <si>
    <t>Meet Samantha Cristoforetti, Crew-4 Mission Specialist</t>
  </si>
  <si>
    <t>From an adventurous childhood in the Italian Alps to her trailblazing role as one of the first women in the Italian air force, European Space Agency astronaut Samantha Cristoforetti has been exploring most of her life and is ready for more, as a mission specialist on NASA’s SpaceX Crew-4 mission to the International Space Station.  Watch and listen to her story of childhood dreams of spaceflight, and traveling the world to complete her high school and college education, led her to the military and ultimately to becoming an astronaut, and now the opportunity for a second trip to the “outpost of humanity up there in space.”
_______________________________________
FOLLOW THE SPACE STATION!
Twitter: https://twitter.com/Space_Station
Facebook: https://www.facebook.com/ISS
Instagram: https://instagram.com/iss/
Video Credits
Director: Sami Aziz
Producer: Gary Jordan
Editor/Sound Mixer: Jamie Quinn
Cinematographer: Charles Clendaniel</t>
  </si>
  <si>
    <t>IJoSZPh6lqI</t>
  </si>
  <si>
    <t>https://youtu.be/4A-Q8r3o3cI</t>
  </si>
  <si>
    <t>Meet Kjell Lindgren, Crew-4 Commander</t>
  </si>
  <si>
    <t>Exploration helps us “better understand who we are” and how we fit into the cosmic scheme of things – that’s why Dr. Kjell Lindgren is making his second trip to the International Space Station, this time as commander of NASA’s SpaceX Crew-4 mission.  Learn about his international childhood and his Air Force career, and how his choice to study medicine led him to NASA and ultimately to becoming an astronaut. 
_______________________________________
FOLLOW THE SPACE STATION!
Twitter: https://twitter.com/Space_Station
Facebook: https://www.facebook.com/ISS
Instagram: https://instagram.com/iss/
 Video Credits
Director: Sami Aziz
Producer: Gary Jordan
Editor: Jason Clemons
Cinematographer: Charles Clendaniel
Sound Mixer: Greg Wiseman</t>
  </si>
  <si>
    <t>4A-Q8r3o3cI</t>
  </si>
  <si>
    <t>https://youtu.be/12bDSD9RWgg</t>
  </si>
  <si>
    <t>NASA’s SpaceX Crew-4 Mission Overview</t>
  </si>
  <si>
    <t>NASA’s SpaceX Crew-4 Mission Overview
The next flight to the International Space Station is ready to launch!  NASA’s SpaceX Crew-4 mission will deliver four new crewmembers to the space station and power the next increment of groundbreaking science research.  Join NASA’s Kjell Lindgren, Bob Hines and Jessica Watkins, and ESA (European Space Agency) astronaut Samantha Cristoforetti, for a look into their expedition to low-Earth orbit, and share their excitement about the prospect of flying on the Dragon vehicle for the first time.
_______________________________________
FOLLOW THE SPACE STATION!
Twitter: https://twitter.com/Space_Station
Facebook: https://www.facebook.com/ISS
Instagram: https://instagram.com/iss/
Video Credits
Director: Sami Aziz
Producer: Gary Jordan
Editor: John Streeter
Cinematographer: Charles Clendaniel
Sound Mixer: Greg Wiseman</t>
  </si>
  <si>
    <t>12bDSD9RWgg</t>
  </si>
  <si>
    <t>2022 04 25</t>
  </si>
  <si>
    <t>https://youtu.be/fOOCcGQgFNs</t>
  </si>
  <si>
    <t>Know Your Crew...Four!</t>
  </si>
  <si>
    <t>After being together -- every day -- for many many months, preparing for a long-duration spaceflight, you’d think the astronauts of NASA’s SpaceX Crew-4 mission would know one another pretty well.  And you’d be right, even down to them being pretty sure who is going to tell the next bad joke!  Watch as Kjell Lindgren, Bob Hines, Jessica Watkins and Samantha Cristoforetti have fun answering questions about each other, pondering the 1995 versions of themselves, great baristas in history, and the wonders of American take-out food.
_______________________________________
FOLLOW THE SPACE STATION!
Twitter: https://twitter.com/Space_Station
Facebook: https://www.facebook.com/ISS
Instagram: https://instagram.com/iss/
Video produced at the NASA Johnson Space Center</t>
  </si>
  <si>
    <t>fOOCcGQgFNs</t>
  </si>
  <si>
    <t>2022 04 22</t>
  </si>
  <si>
    <t>https://youtu.be/QzmshRevDAc</t>
  </si>
  <si>
    <t>Changing Your Perspective   Down to Earth - S2 E1</t>
  </si>
  <si>
    <t>In this episode of Down to Earth, veteran astronaut Sunita 'Suni' Williams sits down with environmental studies student, Adrien Prouty, to discuss her previous missions, and what it was like to view our home planet from 250-miles up.
_______________________________________
FOLLOW THE SPACE STATION!
Twitter: https://twitter.com/Space_Station
Facebook: https://www.facebook.com/ISS
Instagram: https://instagram.com/iss/</t>
  </si>
  <si>
    <t>QzmshRevDAc</t>
  </si>
  <si>
    <t>https://youtu.be/R43t3c4YyMM</t>
  </si>
  <si>
    <t>Space to Ground  Home  04 22 2022</t>
  </si>
  <si>
    <t>R43t3c4YyMM</t>
  </si>
  <si>
    <t>2022 04 18</t>
  </si>
  <si>
    <t>https://youtu.be/FMz1xiGlKyI</t>
  </si>
  <si>
    <t>Down to Earth - Season 2  Conversations Trailer</t>
  </si>
  <si>
    <t>Don't miss Down to Earth - Season 2: Conversations, releasing this Earth Day. In the first episode, astronaut Suni Williams talks with Environmental Studies student, Adrien Prouty, about viewing our home planet from 250-miles above.
_______________________________________
FOLLOW THE SPACE STATION!
Twitter: https://twitter.com/Space_Station
Facebook: https://www.facebook.com/ISS
Instagram: https://instagram.com/iss/</t>
  </si>
  <si>
    <t>FMz1xiGlKyI</t>
  </si>
  <si>
    <t>https://youtu.be/QHDQvkSoZrs</t>
  </si>
  <si>
    <t>NASA Scientists Open One of the Last Sealed Apollo 17 Moon Samples</t>
  </si>
  <si>
    <t>Over the past few years, a few unopened Apollo-era lunar samples collected during Apollo 17 have been opened by a team of lunar sample processors and curators in the Astromaterials Research and Exploration Science (ARES) Division at NASA’s Johnson Space Center in Houston. These types of core samples, studied under the Apollo Next Generation Sample Analysis Program, or ANGSA, allow scientists to learn more about the permanent, geological record of Earth’s closest celestial neighbor – the Moon. This is Apollo 17 soil sample 73002 use advanced technologies including non-destructive 3D imagery. The sample processing team includes Charis Krysher, Andrea Mosie, Juliane Gross, Ryan Zeigler. Retired NASA astronaut, Dr. Harrison Schmitt, along with Apollo 17 Commander Gene Cernan, helped collect the original samples from the lunar surface and Schmitt lent his expertise to the modern-day analysis. 
As part of the agency’s Artemis program, NASA is preparing to go back to the Moon, this time to the South Pole, to find more samples for current and future generations to study.  
https://archive.org/details/jsc2022m000097_NASA_Scientists_Open_Apollo_17_Moon_Samples</t>
  </si>
  <si>
    <t>QHDQvkSoZrs</t>
  </si>
  <si>
    <t>https://youtu.be/Enfjq-fYz_4</t>
  </si>
  <si>
    <t>RUSSIAN COSMONAUTS CONDUCT SPACEWALK TO ACTIVATE NEW STATION ROBOTIC ARM</t>
  </si>
  <si>
    <t>Expedition 67 cosmonauts Oleg Artemyev and Denis Matveev conducted the first in a series of spacewalks April 18 outside the International Space Station to install a control panel for a new European robotic arm attached to the Nauka Multipurpose Laboratory Module and activate the arm. The European robotic arm launched on Nauka, and will be used to move payloads and spacewalkers around the Russian segment of the complex.
Get the latest from NASA delivered every week. Subscribe here: www.nasa.gov/subscribe</t>
  </si>
  <si>
    <t>Enfjq-fYz_4</t>
  </si>
  <si>
    <t>2022 04 15</t>
  </si>
  <si>
    <t>https://youtu.be/kpELc3a_ljg</t>
  </si>
  <si>
    <t>STEMonstrations  Area and Volume</t>
  </si>
  <si>
    <t>Astronauts Megan McArthur and Aki Hoshide discuss how engineers designed the U.S. Destiny module so that every cubic inch of volume is used efficiently. Astronauts give a tour of the orbiting module aboard the International Space Station and discuss how engineers use area and volume calculations to strategically design how the space is used in microgravity. Be sure to check out https://www.nasa.gov/stemonstrations for more videos like this, along with their corresponding Classroom Connection lesson plans.
Get the latest from NASA delivered every week. Subscribe here: www.nasa.gov/subscribe</t>
  </si>
  <si>
    <t>kpELc3a_ljg</t>
  </si>
  <si>
    <t>https://youtu.be/zj0fj7L81pQ</t>
  </si>
  <si>
    <t>Space to Ground  A New Chapter  04 15 2022</t>
  </si>
  <si>
    <t>zj0fj7L81pQ</t>
  </si>
  <si>
    <t>2022 04 08</t>
  </si>
  <si>
    <t>https://youtu.be/9IiWyrPygfA</t>
  </si>
  <si>
    <t>Space to Ground  First Time Callers  04 08 2022</t>
  </si>
  <si>
    <t>9IiWyrPygfA</t>
  </si>
  <si>
    <t>2022 04 04</t>
  </si>
  <si>
    <t>https://youtu.be/AwUvh9sluOA</t>
  </si>
  <si>
    <t>Keeping Cool in Space</t>
  </si>
  <si>
    <t>Imagine you are an Astronaut on the Moon. Your job for the next eight hours will be exploring, collecting science samples, traversing up and down lunar hills, sampling rocks, and setting up equipment as part of the Artemis program. Temperatures on the lunar surface can reach a blistering 250 degrees Fahrenheit. How does NASA keep astronauts cool in spacesuits so that they can work on the Moon?  Fortunately, each spacesuit includes a personal cooling unit.  
As NASA embraces commercial partnerships to optimize spacesuit technology as part of the Artemis program, the Spacesuit Evaporation Rejection Flight Experiment (SERFE) payload continues to be tested onboard the International Space Station. SERFE is designed to evaluate and demonstrate active thermal control technology in the microgravity environment of the International Space Station. At NASA’s Johnson Space Center in Houston, engineers have been performing the exact same test on the ground on an identical SERFE unit.</t>
  </si>
  <si>
    <t>AwUvh9sluOA</t>
  </si>
  <si>
    <t>2022 04 01</t>
  </si>
  <si>
    <t>https://youtu.be/8M4KrYptqcM</t>
  </si>
  <si>
    <t>Space to Ground  Back to the World  04 01 2022</t>
  </si>
  <si>
    <t>NASA's Space to Ground is your weekly update on what's happening aboard the International Space Station. 
Got a question or comment? Use #AskNASA to talk to us.
We invite you to view "Mark Vande Hei: Breaking Records for Science":
https://www.youtube.com/watch?v=z3DqAxELz0g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t>
  </si>
  <si>
    <t>8M4KrYptqcM</t>
  </si>
  <si>
    <t>2022 03 31</t>
  </si>
  <si>
    <t>https://youtu.be/V7MbVLYYKTA</t>
  </si>
  <si>
    <t>NASA Astronaut Mark Vande Hei Arrives in Houston</t>
  </si>
  <si>
    <t>After a record-setting 355-day mission to the International Space Station, NASA astronaut Mark Vande Hei arrives to Ellington Field in Houston on Thursday, March 31 following his return to Earth on Wednesday, March 30. Vande Hei now holds the record for the longest single spaceflight by an American. His extended mission will provide researchers the opportunity to observe the effects of long-duration spaceflight on humans as the agency plans to return to the Moon under the Artemis program and prepare for exploration of Mars.</t>
  </si>
  <si>
    <t>V7MbVLYYKTA</t>
  </si>
  <si>
    <t>2022 03 30</t>
  </si>
  <si>
    <t>https://youtu.be/C2jbAjcMLxE</t>
  </si>
  <si>
    <t>Doing Bigger and Better Things All the Time</t>
  </si>
  <si>
    <t>There’s a new American record-holder for longest single spaceflight: NASA astronaut Mark Vande Hei is back on Earth after 355 consecutive days off of the planet. Although pleased with the achievement, Vande Hei expects someone will break his record soon as America tackles new frontiers in space exploration. Take a look at some of the highlights of Vande Hei’s almost-a-year in space on his second mission to the International Space Station.
_______________________________________
FOLLOW THE SPACE STATION!
Twitter: https://twitter.com/Space_Station
Facebook: https://www.facebook.com/ISS
Instagram: https://instagram.com/iss/</t>
  </si>
  <si>
    <t>C2jbAjcMLxE</t>
  </si>
  <si>
    <t>2022 03 25</t>
  </si>
  <si>
    <t>https://youtu.be/z3DqAxELz0g</t>
  </si>
  <si>
    <t>Mark Vande Hei  Breaking Records for Science</t>
  </si>
  <si>
    <t>NASA astronaut Mark Vande Hei is returning to Earth after living in space for 355 days, the record for the longest single spaceflight by a NASA astronaut. This extended mission aboard the International Space Station provides researchers an opportunity to observe effects of long-duration spaceflight on the human body as the agency makes plans to return to the Moon under the Artemis program and prepare for human exploration at Mars. During his record-setting mission, Vande Hei spent many hours on scientific activities aboard the space station, conducting everything from plant research to physical sciences studies. 
Learn more about the research being conducted on the space station: https://www.nasa.gov/iss-science</t>
  </si>
  <si>
    <t>z3DqAxELz0g</t>
  </si>
  <si>
    <t>https://youtu.be/6OiQGPe4Jy4</t>
  </si>
  <si>
    <t>Space to Ground  Preserving for Posterity  03 25 2022</t>
  </si>
  <si>
    <t>6OiQGPe4Jy4</t>
  </si>
  <si>
    <t>2022 03 18</t>
  </si>
  <si>
    <t>https://youtu.be/CrvvmLAi31w</t>
  </si>
  <si>
    <t>Space to Ground  Taking Another Step  03 18 2022</t>
  </si>
  <si>
    <t>CrvvmLAi31w</t>
  </si>
  <si>
    <t>2022 03 15</t>
  </si>
  <si>
    <t>https://youtu.be/u3IDh4LSGAM</t>
  </si>
  <si>
    <t>NASA ASTRONAUT ANSWERS SOCIAL MEDIA QUESTIONS ABOUT RECORD BREAKING SPACEFLIGHT</t>
  </si>
  <si>
    <t>Aboard the International Space Station, NASA Expedition 66 Flight Engineer Mark Vande Hei answered social media questions on March 10 and reflected on his record-breaking spaceflight. When Vande Hei returns to Earth on March 30 he will have spent a total of 355 days in space, the longest single spaceflight by an American astronaut. Vande Hei is living and working aboard the microgravity laboratory to advance scientific knowledge and demonstrate new technologies for future human and robotic exploration missions as part of NASA’s Moon and Mars exploration approach, including lunar missions through NASA’s Artemis program.
Get the latest from NASA delivered every week. Subscribe here: www.nasa.gov/subscribe</t>
  </si>
  <si>
    <t>u3IDh4LSGAM</t>
  </si>
  <si>
    <t>2022 03 14</t>
  </si>
  <si>
    <t>https://youtu.be/XUis8QWRexw</t>
  </si>
  <si>
    <t>U.S. Spacewalk 79 Animation  - March 14, 2022</t>
  </si>
  <si>
    <t>Expedition 66 NASA astronauts Kayla Barron and Raja Chari will step outside the International Space Station for a six-and-a-half hour spacewalk to conduct preparation work for upcoming solar array upgrades for the station’s 3A power channel. The current solar arrays which were designed for a 15-year service life are functioning well, but have begun to show signs of degradation, as expected. The first pair of solar arrays were deployed in December 2000 and have been powering the station for more than 20 years. The new ISS Roll-Out Solar Arrays (IROSAs) will be positioned in front of six of the current arrays, increasing the station’s total available power from 160 kilowatts to up to 215 kilowatts. Installation of the first two solar array upgrades were completed during spacewalks on June 20, 2021 and June 25, 2021.</t>
  </si>
  <si>
    <t>XUis8QWRexw</t>
  </si>
  <si>
    <t>https://youtu.be/2qY9i7P06vs</t>
  </si>
  <si>
    <t>U.S. Spacewalk 80 Animation - March 14, 2022</t>
  </si>
  <si>
    <t>On March 23, two Expedition 66 astronauts will step outside the International Space Station for a planned six-and-a-half hour spacewalk to replace hoses and other hardware for one of the radiator beam calve modules on the complex and to conduct other upgrades to station hardware.</t>
  </si>
  <si>
    <t>2qY9i7P06vs</t>
  </si>
  <si>
    <t>2022 03 11</t>
  </si>
  <si>
    <t>https://youtu.be/6dBq_Xa7tPQ</t>
  </si>
  <si>
    <t>Space to Ground  Monitoring Earth's Water  03 11 2022</t>
  </si>
  <si>
    <t>6dBq_Xa7tPQ</t>
  </si>
  <si>
    <t>2022 03 04</t>
  </si>
  <si>
    <t>https://youtu.be/idYLk-ggv9Y</t>
  </si>
  <si>
    <t>Space to Ground  Spanning the Globe  03 04 2022</t>
  </si>
  <si>
    <t>idYLk-ggv9Y</t>
  </si>
  <si>
    <t>2022 02 25</t>
  </si>
  <si>
    <t>https://youtu.be/eh5yIeIfauQ</t>
  </si>
  <si>
    <t>Space to Ground  Shipping and Receiving  02 25 2022</t>
  </si>
  <si>
    <t>eh5yIeIfauQ</t>
  </si>
  <si>
    <t>2022 02 20</t>
  </si>
  <si>
    <t>https://youtu.be/9Ar0y6tIx74</t>
  </si>
  <si>
    <t>The Day John Glenn Made American History  60th Anniversary</t>
  </si>
  <si>
    <t>Where were you in ’62?  On Feb. 20 of that year, U.S. Marine Lt. Col. John Glenn became the first American to orbit the Earth, piloting Friendship 7 three times around the world in less than five hours and opening a new frontier.  On its 60th anniversary, share the images of the day that the United States took another giant step forward in human space exploration, a day that became a building block for all that was still to come: Apollo on the Moon, the space shuttle and the International Space Station, and the missions of Artemis that are just over the horizon.
Get the latest from NASA weekly: www.nasa.gov/subscribe
HD: https://archive.org/details/jsc2022m000069_TSP_Friendship_7_60th_Anniversary-1080
_______________________________________
FOLLOW THE JOHNSON SPACE CENTER!
Twitter: https://twitter.com/NASA_Johnson
Facebook: https://www.facebook.com/NASAJSC
Instagram: https://www.instagram.com/nasajohnson</t>
  </si>
  <si>
    <t>9Ar0y6tIx74</t>
  </si>
  <si>
    <t>2022 02 18</t>
  </si>
  <si>
    <t>https://youtu.be/Q0CQoqZM4cU</t>
  </si>
  <si>
    <t>STEMonstrations  Vestibular System</t>
  </si>
  <si>
    <t>NASA Astronauts Mark Vande Hei and Shane Kimbrough demonstrate the effects of the weightless-simulated environment on their perception of motion, spatial orientation, and balance aboard the International Space Station. Watch as NASA astronaut Megan McArthur and JAXA astronaut Aki Hoshide discuss the vestibular system and learn how the human body relies on external cues to provide us with important information about our environment. Be sure to check out https://www.nasa.gov/stemonstrations for more videos like this, along with their corresponding Classroom Connection lesson plans.
Get the latest from NASA delivered every week. Subscribe here: www.nasa.gov/subscribe
______________________________________
FOLLOW THE SPACE STATION!
Twitter: https://twitter.com/Space_Station
Facebook: https://www.facebook.com/ISS
Instagram: https://instagram.com/iss/</t>
  </si>
  <si>
    <t>Q0CQoqZM4cU</t>
  </si>
  <si>
    <t>https://youtu.be/Y9z42yYuexM</t>
  </si>
  <si>
    <t>Space to Ground  Targeting Cancer Cells  02 18 2022</t>
  </si>
  <si>
    <t>Y9z42yYuexM</t>
  </si>
  <si>
    <t>2022 02 11</t>
  </si>
  <si>
    <t>https://youtu.be/WoJEWoBEfQs</t>
  </si>
  <si>
    <t>Space to Ground  Awaiting New Arrivals  02 11 2022</t>
  </si>
  <si>
    <t>WoJEWoBEfQs</t>
  </si>
  <si>
    <t>2022 02 10</t>
  </si>
  <si>
    <t>https://youtu.be/kwl9qAfGHwU</t>
  </si>
  <si>
    <t>STEMonstrations  Centripetal Force</t>
  </si>
  <si>
    <t>NASA Astronaut Shane Kimbrough discusses centripetal force and its connection to keeping the International Space Station safely orbiting Earth. Watch JAXA astronaut Aki Hoshide demonstrate centripetal force in the weightless-simulated environment aboard the space station and find out what happens to a revolving object when the centripetal force is lost.
Be sure to check out https://www.nasa.gov/stemonstrations for more videos like this, along with their corresponding classroom connection lesson plans.
Get the latest from NASA delivered every week. Subscribe here: www.nasa.gov/subscribe</t>
  </si>
  <si>
    <t>kwl9qAfGHwU</t>
  </si>
  <si>
    <t>2022 02 04</t>
  </si>
  <si>
    <t>https://youtu.be/FdpK1gdkC-U</t>
  </si>
  <si>
    <t>Space to Ground  Flying Robots in Space  02 04 2022</t>
  </si>
  <si>
    <t>FdpK1gdkC-U</t>
  </si>
  <si>
    <t>2022 02 01</t>
  </si>
  <si>
    <t>https://youtu.be/dQLFYgCEVJA</t>
  </si>
  <si>
    <t>Meet Matthias Maurer, Crew-3 Mission Specialist</t>
  </si>
  <si>
    <t>Can a materials scientist and former paramedic find a place in space?  ESA (European Space Agency) astronaut Matthias Maurer is doing just that, right now, on the International Space Station.  The native of Sankt Wendel in Germany didn’t give up on his dream of being an astronaut when he missed the first cut, and is making the most of his selection by ESA to focus on materials science research in microgravity.  Maurer and his crewmates launched on a SpaceX Crew Dragon Nov. 10, 2021 for a six-month-long mission in space.
_______________________________________
FOLLOW THE SPACE STATION!
Twitter: https://twitter.com/Space_Station
Facebook: https://www.facebook.com/ISS
Instagram: https://instagram.com/iss/</t>
  </si>
  <si>
    <t>dQLFYgCEVJA</t>
  </si>
  <si>
    <t>https://youtu.be/svXtXWC-XIo</t>
  </si>
  <si>
    <t>Meet Tom Marshburn, Crew-3 Pilot</t>
  </si>
  <si>
    <t>Very few astronauts can boast of having launched to space on three different vehicles, but NASA’s Tom Marshburn is one of them!  The former flight surgeon, a veteran of rides to the International Space Station on a space shuttle and a Soyuz spacecraft, talks about the stops in his varied career and why each trip to space is special.  Marshburn and his crewmates on the SpaceX Crew Dragon launched on Nov. 10. 2021 for a roughly six-month-long mission.
_______________________________________
FOLLOW THE SPACE STATION!
Twitter: https://twitter.com/Space_Station
Facebook: https://www.facebook.com/ISS
Instagram: https://instagram.com/iss/</t>
  </si>
  <si>
    <t>svXtXWC-XIo</t>
  </si>
  <si>
    <t>https://youtu.be/QoXhSsFrOhM</t>
  </si>
  <si>
    <t>Meet Kayla Barron, Crew-3 Mission Specialist</t>
  </si>
  <si>
    <t>One NASA astronaut is learning first-hand if serving on a submarine was good preparation for a trip to space.  NASA’s Kayla Barron had three submarine patrol missions in the Navy, and now she’s put that background to use as a flight engineer on the International Space Station.  The Naval Academy graduate from Richland, Washington launched on her first space mission on Nov. 10, 2021, and has completed one spacewalk so far on a planned six-month-long mission.
_______________________________________
FOLLOW THE SPACE STATION!
Twitter: https://twitter.com/Space_Station
Facebook: https://www.facebook.com/ISS
Instagram: https://instagram.com/iss/</t>
  </si>
  <si>
    <t>QoXhSsFrOhM</t>
  </si>
  <si>
    <t>https://youtu.be/6kTRp-HFFdk</t>
  </si>
  <si>
    <t>Meet Raja Chari, Crew-3 Commander</t>
  </si>
  <si>
    <t>It’s not every day that an astronaut commands a new spacecraft on his first-ever spaceflight, but NASA’s Raja Chari showed he was the man for the job.  Watch as Chari tells his own story of an Iowa childhood and Air Force career that led him to become an astronaut who led a multi-national crew on the third SpaceX Crew Dragon mission to the International Space Station.  Chari and his crewmates launched Nov. 10, 2021 for a roughly six-month-long mission.
_______________________________________
FOLLOW THE SPACE STATION!
Twitter: https://twitter.com/Space_Station
Facebook: https://www.facebook.com/ISS
Instagram: https://instagram.com/iss/</t>
  </si>
  <si>
    <t>6kTRp-HFFdk</t>
  </si>
  <si>
    <t>2022 01 28</t>
  </si>
  <si>
    <t>https://youtu.be/R5R9XUGMnxw</t>
  </si>
  <si>
    <t>A Conversation Between Tom Cruise and Victor Glover About the Body in Space</t>
  </si>
  <si>
    <t>When a Hollywood star needs to know how being in weightlessness really effects the human body, who does he ask?  If it’s Tom Cruise doing the asking, the answer is NASA astronaut Victor Glover, recently returned from a long-duration mission to the International Space Station.  In this rebroadcast of a November 2021 conversation during the World Extreme Medicine conference, the two get into the details of how people in space adapt to microgravity in both daily activities and dynamic events, as well as their shared interest in fast planes and cool movies (starring guess who!)
_______________________________________
FOLLOW THE SPACE STATION!
Twitter: https://twitter.com/Space_Station
Facebook: https://www.facebook.com/ISS
Instagram: https://instagram.com/iss/</t>
  </si>
  <si>
    <t>R5R9XUGMnxw</t>
  </si>
  <si>
    <t>https://youtu.be/OCly6CbZD08</t>
  </si>
  <si>
    <t>Space to Ground  Next Day Delivery  01 28 2022</t>
  </si>
  <si>
    <t>OCly6CbZD08</t>
  </si>
  <si>
    <t>2022 01 21</t>
  </si>
  <si>
    <t>https://youtu.be/tsFyTDnQKB0</t>
  </si>
  <si>
    <t>Space to Ground  Outfitting Prichal  01 21 2022</t>
  </si>
  <si>
    <t>tsFyTDnQKB0</t>
  </si>
  <si>
    <t>2022 01 18</t>
  </si>
  <si>
    <t>https://youtu.be/bT0FNOeVaxk</t>
  </si>
  <si>
    <t>COSMONAUTS CONDUCT RUSSIAN SPACEWALK OUTSIDE SPACE STATION</t>
  </si>
  <si>
    <t>Outside the International Space Station, Expedition 66 Commander Anton Shkaplerov and Flight Engineer Pyotr Dubrov of Roscosmos conducted a spacewalk on Jan. 19 to outfit the Prichal node module for the future arrival of Russian visiting vehicles. Prichal launched in November from the Baikonur Cosmodrome in Kazakhstan. It was the 246th spacewalk in support of space station assembly, maintenance and upgrades, the third in Shkaplerov’s career and the fourth for Dubrov.
Join NASA as we go forward to the Moon and on to Mars -- discover the latest on Earth, the Solar System and beyond with a weekly update in your inbox. Subscribe at: www.nasa.gov/subscribe</t>
  </si>
  <si>
    <t>bT0FNOeVaxk</t>
  </si>
  <si>
    <t>2022 01 14</t>
  </si>
  <si>
    <t>https://youtu.be/YfejrE6-np8</t>
  </si>
  <si>
    <t>Space to Ground  Spacewalks and Research  01 14 2022</t>
  </si>
  <si>
    <t>YfejrE6-np8</t>
  </si>
  <si>
    <t>2022 01 10</t>
  </si>
  <si>
    <t>https://youtu.be/RWCTRPkdZEw</t>
  </si>
  <si>
    <t>NASA Astronauts</t>
  </si>
  <si>
    <t>For more than 60 years, NASA's astronauts have continued to inspire the world with their selfless pursuit of exploration and discovery.
______________________________________
FOLLOW THE SPACE STATION!
Twitter: https://twitter.com/Space_Station
Facebook: https://www.facebook.com/ISS
Instagram: https://instagram.com/iss/
Join NASA as we go forward to the Moon and on to Mars -- discover the latest on Earth, the Solar System and beyond with a weekly update in your inbox.
Subscribe at: www.nasa.gov/subscribe</t>
  </si>
  <si>
    <t>RWCTRPkdZEw</t>
  </si>
  <si>
    <t>2022 01 07</t>
  </si>
  <si>
    <t>https://youtu.be/GsFA1H1SF_U</t>
  </si>
  <si>
    <t>Space to Ground  More to Come  01 07 2022</t>
  </si>
  <si>
    <t>GsFA1H1SF_U</t>
  </si>
  <si>
    <t>2021 12 29</t>
  </si>
  <si>
    <t>https://youtu.be/wENl1nQbAnE</t>
  </si>
  <si>
    <t>JSC Year in Review 2021</t>
  </si>
  <si>
    <t>As we wrap up the year, celebrate the achievements of NASA’s Johnson Space Center in 2021! Get a behind-the-scenes look at astronaut training and Mission Control. Journey to the International Space Station and see science in microgravity and breathtaking spacewalks. Get a glimpse of the future with the Orion crew vehicle and much more. Discover how JSC really is the home of human spaceflight.</t>
  </si>
  <si>
    <t>wENl1nQbAnE</t>
  </si>
  <si>
    <t>2021 12 23</t>
  </si>
  <si>
    <t>https://youtu.be/TV45KMXbCNw</t>
  </si>
  <si>
    <t>Space to Ground  The Space Station in 2021  12 23 2021</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</si>
  <si>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</si>
  <si>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TV45KMXbCNw</t>
  </si>
  <si>
    <t>2021 12 22</t>
  </si>
  <si>
    <t>https://youtu.be/b0CFG9WGDLs</t>
  </si>
  <si>
    <t>Best Space Station Science Pictures of 2021</t>
  </si>
  <si>
    <t>It has been a busy year of research aboard the International Space Station. NASA’s SpaceX Crew-1, Crew-2, and Crew-3 missions supported hundreds of science experiments aboard the orbiting laboratory. Multiple Soyuz spacecrafts carried astronauts to and from station. An upgraded cargo Dragon spacecraft returned time sensitive research to scientists on the ground. Astronauts and cosmonauts conducted 13 spacewalks, and their work included installing new solar panels to augment and upgrade the station’s power supply. Chiles and lettuce were harvested as a part of plant research preparing us for deep space missions, and technologies were tested for the upcoming Artemis missions to the Moon. Look at some of the best photos of breakthrough investigations crew members worked on in 2021: https://go.nasa.gov/30Iy8d8
Get the latest from NASA weekly: www.nasa.gov/subscribe</t>
  </si>
  <si>
    <t>b0CFG9WGDLs</t>
  </si>
  <si>
    <t>https://youtu.be/kRPyou5O4IM</t>
  </si>
  <si>
    <t>2021 International Space Station Year In Review - December 22, 2021</t>
  </si>
  <si>
    <t>A review of missions, residents, and science on board the International Space Station in 2021.
Get the latest from NASA weekly: www.nasa.gov/subscribe</t>
  </si>
  <si>
    <t>kRPyou5O4IM</t>
  </si>
  <si>
    <t>2021 12 20</t>
  </si>
  <si>
    <t>https://youtu.be/i7eBzmux0A8</t>
  </si>
  <si>
    <t>ASTRONAUTS DISCUSS CHRISTMAS AND NEW YEAR'S FROM ORBIT ABOARD SPACE STATION</t>
  </si>
  <si>
    <t>Aboard the International Space Station, Expedition 66 Flight Engineers Mark Vande Hei, Raja Chari, Tom Marshburn, and Kayla Barron of NASA and ESA (European Space Agency) Flight Engineer Matthias Maurer shared their thoughts about spending the holiday season in orbit and the traditions they look forward to during a downlink recorded Dec.15.
Vande Hei is in the midst of a year-long mission on the station, while Chari, Marshburn, Barron and Maurer arrived on the complex Nov. 11 for a planned six-month mission living and working aboard the microgravity laboratory to advance scientific knowledge and demonstrate new technologies for future human and robotic exploration missions as part of NASA’s Moon and Mars exploration approach, including lunar missions through NASA’s Artemis program.</t>
  </si>
  <si>
    <t>i7eBzmux0A8</t>
  </si>
  <si>
    <t>2021 12 17</t>
  </si>
  <si>
    <t>https://youtu.be/t2sNjgehz2Q</t>
  </si>
  <si>
    <t>Space to Ground  Dreams of New Science  12 17 2021</t>
  </si>
  <si>
    <t>t2sNjgehz2Q</t>
  </si>
  <si>
    <t>2021 12 10</t>
  </si>
  <si>
    <t>https://youtu.be/LnBSCWhlnnU</t>
  </si>
  <si>
    <t>SpaceCast Weekly - December 10, 2021</t>
  </si>
  <si>
    <t>LnBSCWhlnnU</t>
  </si>
  <si>
    <t>https://youtu.be/HM9441PtuCU</t>
  </si>
  <si>
    <t>Space to Ground  December Arrivals  12 10 2021</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</si>
  <si>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</si>
  <si>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HM9441PtuCU</t>
  </si>
  <si>
    <t>2021 12 09</t>
  </si>
  <si>
    <t>https://youtu.be/ydEeVG5s9oo</t>
  </si>
  <si>
    <t>NASA Remembers Former Johnson Space Center Director Mark Geyer</t>
  </si>
  <si>
    <t>NASA remembers Mark Geyer, senior advisor to NASA's associate administrator Bob Cabana and former NASA Johnson Space Center director, who died Tuesday, Dec. 7, in Houston, after a battle with pancreatic cancer. The Indianapolis native was 63. Geyer served as the leader of NASA Johnson in Houston, the hub of human spaceflight activity, during a critical period of transition as more human space flight programs were led from Houston during his tenure than ever in history, helping NASA return launch capability to American soil.
JSC contact: Isidro Reyna, 281-483-5111
HQ Contact: Cheryl Warner, 202-358-1600</t>
  </si>
  <si>
    <t>ydEeVG5s9oo</t>
  </si>
  <si>
    <t>2021 12 06</t>
  </si>
  <si>
    <t>https://youtu.be/42S-xwWmMi0</t>
  </si>
  <si>
    <t>NASA Astronaut Candidate Class of 2021</t>
  </si>
  <si>
    <t>NASA announced its 2021 astronaut candidate class on Dec. 6, 2021. The 10 candidates, announced in an event at Ellington Field near NASA’s Johnson Space Center in Houston are: U.S. Air Force Maj. Nichole Ayers, Christopher Williams, U.S. Marine Corp Maj. (Ret.) Luke Delaney, U.S. Navy Lt. Cmdr. Jessica Wittner, U.S. Air Force Lt. Col. Anil Menon, U.S. Air Force Maj. Marcos Berríos, U.S. Navy Cmdr. Jack Hathaway, Christina Birch, U.S. Navy Lt. Deniz Burnham, and Andre Douglas. 
NASA’s new astronaut candidates will begin about two years of training in January 2022, after which they could be assigned to missions performing research on the International Space Station, launching from American soil on spacecraft built by commercial companies, and launching on Artemis missions to the Moon on NASA’s new Orion spacecraft and Space Launch System rocket.</t>
  </si>
  <si>
    <t>42S-xwWmMi0</t>
  </si>
  <si>
    <t>2021 12 03</t>
  </si>
  <si>
    <t>https://youtu.be/6hJuGIrncbo</t>
  </si>
  <si>
    <t>Space to Ground   Home Improvement  12 03 2021</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</si>
  <si>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</si>
  <si>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6hJuGIrncbo</t>
  </si>
  <si>
    <t>2021 11 26</t>
  </si>
  <si>
    <t>https://youtu.be/g2HdS3y1eQg</t>
  </si>
  <si>
    <t>Space to Ground   Giving Thanks   11 26 2021</t>
  </si>
  <si>
    <t>g2HdS3y1eQg</t>
  </si>
  <si>
    <t>2021 11 22</t>
  </si>
  <si>
    <t>https://youtu.be/wIHZ_Vc75Hw</t>
  </si>
  <si>
    <t>STEMonstrations  Moment of Inertia</t>
  </si>
  <si>
    <t>NASA Astronauts Megan McArthur and Shane Kimbrough discuss moment of inertia and its effects on rotating objects. Watch as Megan demonstrates what happens to her angular speed as she alters her moment of inertia in microgravity aboard the International Space Station.
Be sure to check out http://www.nasa.gov/stemonstrations for more videos like this, along with their corresponding classroom connection lesson plans.  
 Get the latest from NASA delivered every week. Subscribe here: www.nasa.gov/subscribe
______________________________________
FOLLOW THE SPACE STATION!
Twitter: https://twitter.com/Space_Station
Facebook: https://www.facebook.com/ISS
Instagram: https://instagram.com/iss/</t>
  </si>
  <si>
    <t>wIHZ_Vc75Hw</t>
  </si>
  <si>
    <t>https://youtu.be/9K66Nb8Jw9Q</t>
  </si>
  <si>
    <t>Thanksgiving Message from the International Space Station</t>
  </si>
  <si>
    <t>Aboard the International Space Station, NASA astronauts Mark Vande Hei, Raja Chari, Tom Marshburn and Kayla Barron and ESA (European Space Agency) astronaut Matthias Maurer shared their thoughts about spending Thanksgiving in orbit and the foods they plan to enjoy.
Vande Hei is in the midst of a year-long mission, while Chari, Marshburn, Barron and Maurer arrived on the space station Nov. 11 for a planned six-month mission. Together, they’re living and working aboard the microgravity laboratory to advance scientific knowledge and demonstrate new technologies for future human spaceflight missions
HD Download: https://archive.org/details/jsc2021m000267_Thanksgiving_Message_from_ISS
______________________________________
FOLLOW THE SPACE STATION!
Twitter: https://twitter.com/Space_Station
Facebook: https://www.facebook.com/ISS
Instagram: https://instagram.com/iss/
Join NASA as we go forward to the Moon and on to Mars -- discover the latest on Earth, the Solar System and beyond with a weekly update in your inbox. Subscribe at: www.nasa.gov/subscribe</t>
  </si>
  <si>
    <t>9K66Nb8Jw9Q</t>
  </si>
  <si>
    <t>2021 11 19</t>
  </si>
  <si>
    <t>https://youtu.be/fo7DWYb0WkM</t>
  </si>
  <si>
    <t>Space to Ground   Lab at Work 11 19 2021</t>
  </si>
  <si>
    <t>fo7DWYb0WkM</t>
  </si>
  <si>
    <t>2021 11 12</t>
  </si>
  <si>
    <t>https://youtu.be/aKtJBGgcPzY</t>
  </si>
  <si>
    <t>Space to Ground   A Science Exchange In Orbit  11 12 2021</t>
  </si>
  <si>
    <t>aKtJBGgcPzY</t>
  </si>
  <si>
    <t>2021 11 05</t>
  </si>
  <si>
    <t>https://youtu.be/CTQHomj68lg</t>
  </si>
  <si>
    <t>JSC’s 60th Anniversary  How Johnson Space Center’s History is Propelling Us to the Moon and Mars</t>
  </si>
  <si>
    <t>Join panelists from JSC’s History Office, the International Space Station Program, the Orion Program, the Gateway Program and the Low Earth Orbit Commercialization Office as they discuss how their programs are benefitting from JSC’s rich history in human spaceflight.</t>
  </si>
  <si>
    <t>CTQHomj68lg</t>
  </si>
  <si>
    <t>https://youtu.be/4N3XUaXVpT8</t>
  </si>
  <si>
    <t>Space to Ground   A Spice of Life   11 05 2021</t>
  </si>
  <si>
    <t>4N3XUaXVpT8</t>
  </si>
  <si>
    <t>2021 11 03</t>
  </si>
  <si>
    <t>https://youtu.be/luV3ktEoi7c</t>
  </si>
  <si>
    <t>Crew-3 Mission Overview</t>
  </si>
  <si>
    <t>A new set of astronauts is ready to ride a commercial spacecraft to the International Space Station.  NASA astronauts Raja Chari, Tom Marshburn and Kayla Barron, and Matthias Maurer of ESA (European Space Agency), are poised to launch on the Crew-3 mission for a six-month expedition.  Listen as the crewmembers describe their plans for science research and advancements in the commercial use of space, while contributing to preparations for humans to explore the Moon in a few years, all with an eye to go on to Mars.</t>
  </si>
  <si>
    <t>luV3ktEoi7c</t>
  </si>
  <si>
    <t>2021 10 29</t>
  </si>
  <si>
    <t>https://youtu.be/xN_XQ9lCZzg</t>
  </si>
  <si>
    <t>Space to Ground   A Halloween Space Ride   10 29 2021</t>
  </si>
  <si>
    <t>xN_XQ9lCZzg</t>
  </si>
  <si>
    <t>2021 10 26</t>
  </si>
  <si>
    <t>https://youtu.be/6J2tTm2pi2Y</t>
  </si>
  <si>
    <t>Quick Questions with Crew-3</t>
  </si>
  <si>
    <t>Astronauts are public figures and much of their history is well known, but not all of it.  We “grilled” the astronauts flying to the International Space Station on NASA’s SpaceX Crew-3 mission – Raja Chari, Tom Marshburn, Kayla Barron, and Matthias Maurer – with a dizzying series of rapid-fire questions to discover the truth about their favorite foods, guilty pleasures, and what these explorers would do with a free day on the Moon.  Be on the lookout for the one thing that all four of them unanimously agree on!
HD Download: https://archive.org/details/jsc2021m000227_Quick_Questions_with_Crew-3
______________________________________
FOLLOW THE SPACE STATION!
Twitter: https://twitter.com/Space_Station
Facebook: https://www.facebook.com/ISS
Instagram: https://instagram.com/iss/</t>
  </si>
  <si>
    <t>6J2tTm2pi2Y</t>
  </si>
  <si>
    <t>2021 10 25</t>
  </si>
  <si>
    <t>https://youtu.be/I4EoDfYbAkc</t>
  </si>
  <si>
    <t>Know Your Crew...Three!</t>
  </si>
  <si>
    <t>The astronauts flying on NASA’s SpaceX Crew-3 mission have been working together for months and months now to prepare for their launch, and then six months together on the International Space Station.  You’d think they’ve gotten to know each other pretty well by now.  Watch as Raja Chari, Tom Marshburn, Kayla Barron, and Matthias Maurer declare who on the crew is the funniest, who has an annoying habit, and who is the clear front-runner to beat the others in a race. Also, which crew member is the most perspicacious and what type of  “smorgasbord” are they planning? Let’s find out!
HD Download: https://archive.org/details/jsc2021m000226_Know_Your_Crew_Three
______________________________________
FOLLOW THE SPACE STATION!
Twitter: https://twitter.com/Space_Station
Facebook: https://www.facebook.com/ISS
Instagram: https://instagram.com/iss/</t>
  </si>
  <si>
    <t>I4EoDfYbAkc</t>
  </si>
  <si>
    <t>2021 10 22</t>
  </si>
  <si>
    <t>https://youtu.be/LvPqAxt_0gU</t>
  </si>
  <si>
    <t>Space to Ground  Pepper Countdown  10 22 2021</t>
  </si>
  <si>
    <t>LvPqAxt_0gU</t>
  </si>
  <si>
    <t>2021 10 15</t>
  </si>
  <si>
    <t>https://youtu.be/4tcENPqcnF4</t>
  </si>
  <si>
    <t>Space to Ground  Arrivals and Departures  10 15 2021</t>
  </si>
  <si>
    <t>4tcENPqcnF4</t>
  </si>
  <si>
    <t>2021 10 08</t>
  </si>
  <si>
    <t>https://youtu.be/URigIZUVIpo</t>
  </si>
  <si>
    <t>SpaceCast Weekly October 8, 2021</t>
  </si>
  <si>
    <t>SpaceCast Weekly is a NASA Television broadcast from the Johnson Space Center in Houston featuring stories about NASA’s work in human spaceflight, including the International Space Station and its crews and scientific research activities, and the development of Orion and the Space Launch System, the next generation American spacecraft being built to take humans farther into space than they’ve ever gone before.</t>
  </si>
  <si>
    <t>URigIZUVIpo</t>
  </si>
  <si>
    <t>https://youtu.be/JdnD0vOCYEM</t>
  </si>
  <si>
    <t>Space to Ground  Lights, Camera, Liftoff! 10 08 2021</t>
  </si>
  <si>
    <t>JdnD0vOCYEM</t>
  </si>
  <si>
    <t>2021 10 04</t>
  </si>
  <si>
    <t>https://youtu.be/_SNCetZitZE</t>
  </si>
  <si>
    <t>S.U.I.T.S. (Spacesuit User Interface Technologies for Students) Video Feature</t>
  </si>
  <si>
    <t>Learn how engineers at NASA’s Johnson Space Center partner with college students from across the country to develop next generation technology. NASA Spacesuit User Interface Technologies for Students (SUITS) challenges students to develop cutting edge display and control solutions within augmented reality environments for use on the lunar surface. SUITS is one way the Artemis generation is contributing to space exploration.
Check out stem.nasa.gov/artemis to learn more about the Artemis Student Challenges.
jsc2021m000206</t>
  </si>
  <si>
    <t>_SNCetZitZE</t>
  </si>
  <si>
    <t>2021 10 01</t>
  </si>
  <si>
    <t>https://youtu.be/u1I4twX4ao4</t>
  </si>
  <si>
    <t>Space to Ground  A Short Trip  10 01 2021</t>
  </si>
  <si>
    <t>u1I4twX4ao4</t>
  </si>
  <si>
    <t>2021 09 30</t>
  </si>
  <si>
    <t>https://youtu.be/6m5G6YlTiHE</t>
  </si>
  <si>
    <t>STEMonstration  Five Senses</t>
  </si>
  <si>
    <t>NASA Astronaut Shane Kimbrough talks about the five senses – sight, taste, smell, hearing and touch from aboard the International Space Station. Watch as Shane describe how astronauts use each of their five senses and learn how these senses adapt to life in microgravity. Learn how your own senses provide you with important information and keep you safe in your environment - whether in outer space or on Earth!
Be sure to check out https://www.nasa.gov/stemonstrations for more videos like this, along with their corresponding Classroom Connection lesson plans.</t>
  </si>
  <si>
    <t>6m5G6YlTiHE</t>
  </si>
  <si>
    <t>2021 09 24</t>
  </si>
  <si>
    <t>https://youtu.be/-QgOp1wV2w8</t>
  </si>
  <si>
    <t>Space to Ground  Interactive Investigations  09 24 2021</t>
  </si>
  <si>
    <t>-QgOp1wV2w8</t>
  </si>
  <si>
    <t>2021 09 17</t>
  </si>
  <si>
    <t>https://youtu.be/-A66yWWGkQk</t>
  </si>
  <si>
    <t>Space to Ground  Space Construction  09 17 2021</t>
  </si>
  <si>
    <t>-A66yWWGkQk</t>
  </si>
  <si>
    <t>2021 09 14</t>
  </si>
  <si>
    <t>https://youtu.be/vsAAOuF2670</t>
  </si>
  <si>
    <t>NASA Astronaut Mark Vande Hei on setting the record for longest single spaceflight for an American</t>
  </si>
  <si>
    <t>With the plans for Russian spaceflight participants to visit the International Space Station as part of the MS-19 Soyuz crew in October 2021, NASA astronaut Mark Vande Hei and Roscosmos cosmonaut Pyotr Dubrov will remain aboard the station until March 2022. Upon return to Earth, Mark Vande Hei will hold the record for longest single spaceflight for an American. Vande Hei talked about his mission extension and impending spaceflight record during an interview from the International Space Station.
A potential benefit to this extension is NASA gaining deeper insight into how the human body adapts to life in microgravity for longer periods of time. This research helps prepare for Artemis missions to the Moon and eventually long-duration missions to Mars, as well as provides critical opportunities for additional research to be conducted aboard the station that can benefit life on Earth.</t>
  </si>
  <si>
    <t>vsAAOuF2670</t>
  </si>
  <si>
    <t>2021 09 10</t>
  </si>
  <si>
    <t>https://youtu.be/YC6R9rY7WpI</t>
  </si>
  <si>
    <t>Space to Ground  September Spacewalks  09 10 2021</t>
  </si>
  <si>
    <t>YC6R9rY7WpI</t>
  </si>
  <si>
    <t>2021 09 03</t>
  </si>
  <si>
    <t>https://youtu.be/VbmYaxQ-NMw</t>
  </si>
  <si>
    <t>Space to Ground  Ferocious Storm  09 03 2021</t>
  </si>
  <si>
    <t>VbmYaxQ-NMw</t>
  </si>
  <si>
    <t>2021 08 27</t>
  </si>
  <si>
    <t>https://youtu.be/uM6fb8yE7LE</t>
  </si>
  <si>
    <t>Space to Ground  Inside Arm  08 27 2021</t>
  </si>
  <si>
    <t>uM6fb8yE7LE</t>
  </si>
  <si>
    <t>2021 08 20</t>
  </si>
  <si>
    <t>https://youtu.be/ZC4hpgNoumQ</t>
  </si>
  <si>
    <t>Houston We Have a Podcast  Artemis Flight Directors</t>
  </si>
  <si>
    <t>NASA is getting closer to the first flight of the Orion spacecraft atop the Space Launch System rocket as part of the Artemis program. The mission, called Artemis I, will be an uncrewed test flight to the Moon to set the stage for the first one to carry astronauts.  In this special video version of “Houston, We Have a Podcast,” NASA Public Affairs Officer Gary Jordan walks through the details of Artemis I with the lead flight director, Rick LaBrode, and the ascent and entry flight director, Judd Frieling, about this crucial step to putting the boots of the first woman and the first person of color on the Moon.
HD Download: https://archive.org/details/jsc2021m000179_Houston_We_Have_a_Podcast-Artemis_Flight_Directors-MXF
_______________________________________
FOLLOW ARTEMIS!
Twitter: https://twitter.com/NASAArtemis
Facebook: https://www.facebook.com/NASAArtemis
Instagram: https://www.instagram.com/nasaartemis/</t>
  </si>
  <si>
    <t>ZC4hpgNoumQ</t>
  </si>
  <si>
    <t>https://youtu.be/aQTdIrbbrHQ</t>
  </si>
  <si>
    <t>Space to Ground  Investigating Muscle Loss  08 20 2021</t>
  </si>
  <si>
    <t>aQTdIrbbrHQ</t>
  </si>
  <si>
    <t>2021 08 19</t>
  </si>
  <si>
    <t>https://youtu.be/gRLH-XWfq1o</t>
  </si>
  <si>
    <t>Gateway Introduction</t>
  </si>
  <si>
    <t>Welcome to the Gateway, a home away from home for #Artemis astronauts. The Gateway will serve as a multi-purpose outpost orbiting the Moon that provides essential support for long-term human return to the lunar surface. Astronaut Randy Bresnik shares more on how NASA is working with commercial and international partners to establish the Gateway, a vital component of NASA’s Artemis program.</t>
  </si>
  <si>
    <t>gRLH-XWfq1o</t>
  </si>
  <si>
    <t>2021 08 13</t>
  </si>
  <si>
    <t>https://youtu.be/hY-Dn4y0ewo</t>
  </si>
  <si>
    <t>Space to Ground  Honoring Ellison  08 13 2021</t>
  </si>
  <si>
    <t>hY-Dn4y0ewo</t>
  </si>
  <si>
    <t>2021 08 06</t>
  </si>
  <si>
    <t>https://youtu.be/jk0FnkllsU8</t>
  </si>
  <si>
    <t>Space to Ground  Around the Bend  08 06 2021</t>
  </si>
  <si>
    <t>jk0FnkllsU8</t>
  </si>
  <si>
    <t>2021 07 30</t>
  </si>
  <si>
    <t>https://youtu.be/jGfGLvwiWmU</t>
  </si>
  <si>
    <t>Space to Ground  Rosie the Rocketeer  07 30 2021</t>
  </si>
  <si>
    <t>jGfGLvwiWmU</t>
  </si>
  <si>
    <t>2021 07 23</t>
  </si>
  <si>
    <t>https://youtu.be/QObPAufIJwQ</t>
  </si>
  <si>
    <t>NASA SUITS (Spacesuit User Interface Technologies for Students)</t>
  </si>
  <si>
    <t>NASA SUITS (Spacesuit User Interface Technologies for Students) challenges higher education students to design and create spacesuit information displays within augmented reality (AR) environments. 
Join and contribute to the Artemis Mission to the Moon.
For more information, look for SUITS at this website:
http://stem.nasa.gov/artemis</t>
  </si>
  <si>
    <t>QObPAufIJwQ</t>
  </si>
  <si>
    <t>https://youtu.be/4q8yN1bSsr8</t>
  </si>
  <si>
    <t>Space to Ground  Cool Flames  07 23 2021</t>
  </si>
  <si>
    <t>4q8yN1bSsr8</t>
  </si>
  <si>
    <t>2021 07 20</t>
  </si>
  <si>
    <t>https://youtu.be/ChtE0EW6MlY</t>
  </si>
  <si>
    <t>Celebrating 20 Years of International Space Station Spacewalks</t>
  </si>
  <si>
    <t>On July 20, 2001, two NASA astronauts took the first “steps” out of the International Space Station’s Quest airlock, marking the start of two decades of successful spacewalks in support of station assembly, maintenance, and upgrades enabling all of the life and work onboard to take place. On the same date 32 years before this milestone spacewalk outside the space station, two Apollo astronauts were taking historic steps of their own on the lunar surface for the first time. Astronaut Mike Gernhardt tells us what it was like to follow in such momentous footsteps and how crucial innovations, like the airlock and many others, are to the future of human exploration near and far.</t>
  </si>
  <si>
    <t>ChtE0EW6MlY</t>
  </si>
  <si>
    <t>2021 07 16</t>
  </si>
  <si>
    <t>https://youtu.be/a4YPLFJCh1U</t>
  </si>
  <si>
    <t>Space to Ground  Water Bears in Space  07 16 2021</t>
  </si>
  <si>
    <t>a4YPLFJCh1U</t>
  </si>
  <si>
    <t>2021 07 09</t>
  </si>
  <si>
    <t>https://youtu.be/WKLkbtal_kw</t>
  </si>
  <si>
    <t>Space to Ground  Healthy Eating  07 09 2021</t>
  </si>
  <si>
    <t>WKLkbtal_kw</t>
  </si>
  <si>
    <t>2021 07 02</t>
  </si>
  <si>
    <t>https://youtu.be/wRP0D3zV0MQ</t>
  </si>
  <si>
    <t>Space to Ground  At the Midpoint  07 02 2021</t>
  </si>
  <si>
    <t>wRP0D3zV0MQ</t>
  </si>
  <si>
    <t>2021 06 25</t>
  </si>
  <si>
    <t>https://youtu.be/dmPebTPP1X8</t>
  </si>
  <si>
    <t>Space to Ground  Power Installation  06 25 2021</t>
  </si>
  <si>
    <t>dmPebTPP1X8</t>
  </si>
  <si>
    <t>2021 06 22</t>
  </si>
  <si>
    <t>https://youtu.be/25DlQOwWhk0</t>
  </si>
  <si>
    <t>Artemis  Inside the Latest Achievements - Episode 28</t>
  </si>
  <si>
    <t>NASA's Artemis program is making incredible progress on its mission to land the first woman and person of color on the lunar surface. Recent work included the lift and transfer of the Orion spacecraft, the second Green Run core stage test at Stennis Space Center, MS, and the shipment, arrival, and transfer of the Space Launch System rocket core stage to the Vehicle Assembly Building at Kennedy Space Center FL. NASA’s Artemis program will lead humanity forward to the Moon and prepare us for the next giant leap, the exploration of Mars.</t>
  </si>
  <si>
    <t>25DlQOwWhk0</t>
  </si>
  <si>
    <t>2021 06 18</t>
  </si>
  <si>
    <t>https://youtu.be/bc3_IC_5P_I</t>
  </si>
  <si>
    <t>Houston We Have a Podcast  Liftoff Live</t>
  </si>
  <si>
    <t>200 episodes!  The official podcast of NASA’s Johnson Space Center hits a milestone, and celebrates with a special episode on video.  Host Gary Jordan and Dan Huot, both public affairs officers at JSC, reminisce about sharing the desk for Episode 1 and focus on the improvements in the way NASA is now sharing the details of human spaceflight missions launched from the USA on commercial spacecraft.  Includes viewer questions and polls from the Facebook Live broadcast on June 8, 2021.
_______________________________________
FOLLOW THE SPACE STATION!
Twitter: https://twitter.com/Space_Station
Facebook: https://www.facebook.com/ISS
Instagram: https://instagram.com/iss/</t>
  </si>
  <si>
    <t>bc3_IC_5P_I</t>
  </si>
  <si>
    <t>https://youtu.be/pKAlwrvC44w</t>
  </si>
  <si>
    <t>Space to Ground  iROSA Spacewalk  06 18 2021</t>
  </si>
  <si>
    <t>pKAlwrvC44w</t>
  </si>
  <si>
    <t>2021 06 14</t>
  </si>
  <si>
    <t>https://youtu.be/GSzG_zbrOMk</t>
  </si>
  <si>
    <t>Expedition 65 Shane Kimbrough Discusses  IROSAs Spacewalk - June 14, 2021</t>
  </si>
  <si>
    <t>SPACE STATION CREW MEMBER DISCUSSES SPACEWALK TO UPGRADE STATION POWER
Aboard the International Space Station, Expedition 65 Flight Engineer Shane Kimbrough of NASA discussed a pair of spacewalks he and crewmate Thomas Pesquet of ESA (European Space Agency) are scheduled to make June 16 and 20 to begin the installation of new ISS roll-up solar arrays (IROSAs) that will augment the power supply of the orbital outpost for the remainder of its lifetime. The first array of this initial pair of power generators, launched on the SpaceX Cargo Dragon flight two weeks ago, will be installed on the first of two spacewalks by Kimbrough and Pesquet on the far port truss of the station (P6 truss) to upgrade the power output for the station’s 2B power channel. A second spacewalk by Kimbrough and Pesquet will install the second roll-up array on the P6 truss for the 4B power channel. Four more arrays will be installed next year to complete the upgrades</t>
  </si>
  <si>
    <t>GSzG_zbrOMk</t>
  </si>
  <si>
    <t>2021 06 11</t>
  </si>
  <si>
    <t>https://youtu.be/sIz3rMMAmAM</t>
  </si>
  <si>
    <t>Space to Ground  A Plethora of New Science  06 11 2021</t>
  </si>
  <si>
    <t>NASA's Space to Ground is your weekly update on what's happening aboard the International Space Station. 
Got a question or comment? Use #AskNASA to talk to us.
Correction: the hardware shown for the ADSEP-UMAMI investigation was incorrectly labeled. The following image depicts the UMAMI Techshot Fluid Processing Cassette: https://images.nasa.gov/details-jsc2021e019403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</si>
  <si>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sIz3rMMAmAM</t>
  </si>
  <si>
    <t>2021 06 04</t>
  </si>
  <si>
    <t>https://youtu.be/dbq-PoXc6vA</t>
  </si>
  <si>
    <t>Space to Ground  In Open Space  06 04 2021</t>
  </si>
  <si>
    <t>dbq-PoXc6vA</t>
  </si>
  <si>
    <t>2021 06 02</t>
  </si>
  <si>
    <t>https://youtu.be/NqeC0AnU-Ng</t>
  </si>
  <si>
    <t>NASA’s Neutral Buoyancy Laboratory 360 Tour</t>
  </si>
  <si>
    <t>The Neutral Buoyancy Lab at the Sonny Carter Training Facility is a large swimming pool where astronauts can simulate an environment similar to the microgravity environment – they don’t sink or float. Astronauts use it to prepare for spacewalks and train in their spacesuits for upcoming missions. Take a look around!</t>
  </si>
  <si>
    <t>NqeC0AnU-Ng</t>
  </si>
  <si>
    <t>2021 05 28</t>
  </si>
  <si>
    <t>https://youtu.be/7pqZWhpvfGI</t>
  </si>
  <si>
    <t>Space to Ground  Preparing for Nauka  05 28 2021</t>
  </si>
  <si>
    <t>7pqZWhpvfGI</t>
  </si>
  <si>
    <t>2021 05 21</t>
  </si>
  <si>
    <t>https://youtu.be/vNGyfB8ex60</t>
  </si>
  <si>
    <t>Space to Ground  Crew Call  05 21 2021</t>
  </si>
  <si>
    <t>vNGyfB8ex60</t>
  </si>
  <si>
    <t>2021 05 16</t>
  </si>
  <si>
    <t>https://youtu.be/yeWVZWgU4bQ</t>
  </si>
  <si>
    <t>Kate Rubins - Scientist in Space</t>
  </si>
  <si>
    <t>During the past six months, NASA astronaut Kate Rubins has embodied what it means to be an International Space Station scientist. She spent hundreds of hours working on space station experiments, talking with the researchers behind the studies, and serving as an ambassador for science in downlinks. Rubins built on experiments she conducted during her first mission in 2016, working on new heart research and DNA sequencing. Learn more about Kate’s scientific journey here: https://go.nasa.gov/2QirmFi
Learn more about the research being conducted on station: https://www.nasa.gov/iss-science  
Follow Twitter updates on the science conducted aboard the space station: https://twitter.com/iss_research  
HD Download: https://archive.org/details/jsc2021m000150_Kate_Rubins_Scientist_in_Space-MXF</t>
  </si>
  <si>
    <t>yeWVZWgU4bQ</t>
  </si>
  <si>
    <t>2021 05 14</t>
  </si>
  <si>
    <t>https://youtu.be/SK8Pb5EjsrA</t>
  </si>
  <si>
    <t>STEMonstrations  Earth Observations</t>
  </si>
  <si>
    <t>Watch NASA astronaut Randy Bresnik as he discusses one of the best parts of an astronaut’s time aboard the International Space Station, the view of our Earth. The space station serves as an Earth monitoring and diagnosis station with astronauts observing and even resolving environmental issues like natural disasters and the ongoing issue of climate change. Want to see some of these spectacular images taken from the space station? Watch this episode to learn more and see some of the amazing views of our planet from space.
Be sure to check out https://www.nasa.gov/stemonstrations for more videos like this along with their corresponding Classroom Connection lesson plans.
For a higher resolution download of this video - https://archive.org/details/jsc2021m000157-STEMonstrations_Earth_Observation</t>
  </si>
  <si>
    <t>SK8Pb5EjsrA</t>
  </si>
  <si>
    <t>https://youtu.be/5o-h9gx8U3Y</t>
  </si>
  <si>
    <t>Space to Ground  Celestial Immunity  05 14 2021</t>
  </si>
  <si>
    <t>5o-h9gx8U3Y</t>
  </si>
  <si>
    <t>2021 05 12</t>
  </si>
  <si>
    <t>https://youtu.be/JRk4LGSekXA</t>
  </si>
  <si>
    <t>Space Station Crew Talks with WeatherNation</t>
  </si>
  <si>
    <t>Expedition 65 - WeatherNation conducts an interview with NASA Astronaut Mark Vande Hei and ESA Astronaut Thomas Pesquet.</t>
  </si>
  <si>
    <t>JRk4LGSekXA</t>
  </si>
  <si>
    <t>2021 05 07</t>
  </si>
  <si>
    <t>https://youtu.be/Ds1cUlPEfv8</t>
  </si>
  <si>
    <t>Space Station Images Trace Bird Migrations</t>
  </si>
  <si>
    <t>Those who see Earth from the International Space Station often say it provides a new appreciation of our planet. The Avian Migration Aerial Surface Space project, or AMASS, takes advantage of thousands of images captured by astronauts to give people an understanding of the migrations many birds undertake across the planet. Learn more here: https://go.nasa.gov/3b6UXcQ
Learn more about the research being conducted on station: https://www.nasa.gov/iss-science  
Follow Twitter updates on the science conducted aboard the space station: https://twitter.com/iss_research</t>
  </si>
  <si>
    <t>Ds1cUlPEfv8</t>
  </si>
  <si>
    <t>https://youtu.be/EMUyaIH7HaI</t>
  </si>
  <si>
    <t>Space to Ground  Astro Beekeeping  05 07 2021</t>
  </si>
  <si>
    <t>EMUyaIH7HaI</t>
  </si>
  <si>
    <t>2021 05 05</t>
  </si>
  <si>
    <t>https://youtu.be/4ERV9n_VnW8</t>
  </si>
  <si>
    <t>The Day Alan Shepard Made American History</t>
  </si>
  <si>
    <t>In the annals of American spaceflight history, day one was 60 years ago today.  On May 5, 1961, U.S. Navy commander Alan Shepard was the first American ever to fly in space, piloting the Mercury capsule Freedom 7 into the pages of history.  Enjoy the scenes of the day that started the U.S.A. down the path to boots on the Moon, the space shuttle, the International Space Station, and all that’s still to come!
_______________________________________
FOLLOW THE SPACE STATION!
Twitter: https://twitter.com/Space_Station
Facebook: https://www.facebook.com/ISS
Instagram: https://instagram.com/iss/</t>
  </si>
  <si>
    <t>4ERV9n_VnW8</t>
  </si>
  <si>
    <t>2021 04 30</t>
  </si>
  <si>
    <t>https://youtu.be/eJG6bdGlDK4</t>
  </si>
  <si>
    <t>Space to Ground  Endeavour and Resilience  04 30 2021</t>
  </si>
  <si>
    <t>eJG6bdGlDK4</t>
  </si>
  <si>
    <t>2021 04 26</t>
  </si>
  <si>
    <t>https://youtu.be/kSzO79H9i8s</t>
  </si>
  <si>
    <t>Space to Ground  Crew-2  04 23 2021</t>
  </si>
  <si>
    <t>kSzO79H9i8s</t>
  </si>
  <si>
    <t>https://youtu.be/3uUJlNshAvk</t>
  </si>
  <si>
    <t>Crew-1 Astronauts Advance Research in Space</t>
  </si>
  <si>
    <t>After six months aboard the International Space Station, NASA’s SpaceX Crew-1 astronauts will return home on April 28, 2021. The four crewmembers -- NASA astronauts Mike Hopkins, Victor Glover, and Shannon Walker, and Japan Aerospace Exploration Agency (JAXA) astronaut Soichi Noguchi -- will travel back to Earth inside a SpaceX Crew Dragon capsule. The crewmembers contributed to hundreds of scientific investigations and technology demonstrations while aboard the orbiting laboratory. This valuable scientific research helps to prepare humans for future space exploration missions while generating numerous innovations and benefits for humanity on Earth. 
Take a look at some of the scientific milestones accomplished during the Crew-1 mission: https://go.nasa.gov/3aoWxGn
Learn more about the research being conducted on station: https://www.nasa.gov/iss-science  
Follow Twitter updates on the science conducted aboard the space station: https://twitter.com/iss_research  
HD Link:
https://archive.org/details/jsc2021m000144_Crew-1_Astronauts_Advance_Research_in_Space-MXF</t>
  </si>
  <si>
    <t>3uUJlNshAvk</t>
  </si>
  <si>
    <t>2021 04 22</t>
  </si>
  <si>
    <t>https://youtu.be/ElxVZL526o8</t>
  </si>
  <si>
    <t>4K Earth Views Extended Cut for Earth Day 2021</t>
  </si>
  <si>
    <t>Everything that happens on the International Space Station revolves around one thing: Earth, sixteen times a day!  So for Earth Day 2021, NASA offers a gift you can’t get anywhere else with this leisurely view of our home planet, from 250 miles up, rendered in extraordinary ultra-high definition video. Hit play, relax and enjoy.  This 4K footage was recorded between 2019 and 2020. 
_______________________________________
FOLLOW THE SPACE STATION!
Twitter: https://twitter.com/Space_Station
Facebook: https://www.facebook.com/ISS
Instagram: https://instagram.com/iss/
HD Download: https://archive.org/details/jsc2021m000138_4K_Earth_Views_Extended_Cut_for_Earth_Day_ 2021_210422-4KMXF</t>
  </si>
  <si>
    <t>ElxVZL526o8</t>
  </si>
  <si>
    <t>2021 04 21</t>
  </si>
  <si>
    <t>https://youtu.be/2E3ufO03FWw</t>
  </si>
  <si>
    <t>Crew-2 Mission Overview</t>
  </si>
  <si>
    <t>NASA’s SpaceX Crew-2 mission to the International Space Station is ready to launch.  Join NASA’s Shane Kimbrough and Megan McArthur, Aki Hoshide of the Japan Aerospace Exploration Agency (JAXA), and Thomas Pesquet of ESA (European Space Agency) as they talk about the prospect of flying on a new spaceship, the six-month space mission they’ve been preparing for, and the future in space they’re helping to build.</t>
  </si>
  <si>
    <t>2E3ufO03FWw</t>
  </si>
  <si>
    <t>2021 04 20</t>
  </si>
  <si>
    <t>https://youtu.be/IF9tB0m6qF4</t>
  </si>
  <si>
    <t>Quick Questions with Crew-2</t>
  </si>
  <si>
    <t>Four astronauts, from three countries, flying Crew-2, to the one and only International Space Station.  Now that we have the basic facts, let’s explore.  The astronauts about to launch on NASA’s SpaceX Crew-2 mission didn’t flinch when subjected to rapid-fire questioning—here’s the straight skinny on their favorite foods, colors and decades, their pet peeves and guilty pleasures, and who inspires them.
HD Download: https://archive.org/details/jsc2021m000108_Quick_Questions_With_Crew-2
_______________________________________
FOLLOW THE SPACE STATION!
Twitter: https://twitter.com/Space_Station
Facebook: https://www.facebook.com/ISS
Instagram: https://instagram.com/iss/</t>
  </si>
  <si>
    <t>IF9tB0m6qF4</t>
  </si>
  <si>
    <t>2021 04 16</t>
  </si>
  <si>
    <t>https://youtu.be/lbdsp3U3sAI</t>
  </si>
  <si>
    <t>Know Your Crew...Two!</t>
  </si>
  <si>
    <t>Shane Kimbrough, Megan McArthur, Aki Hoshide, and Thomas Pesquet are about to fly NASA’s SpaceX Crew-2 mission to the International Space Station.  Before their launch, we brought them in the studio to test what they know about each other – and what they think they know about each other -- as they look forward to going to space together for six months.
HD Download: https://archive.org/details/jsc2021m000107_Know_Your_Crew_Two
_______________________________________
FOLLOW THE SPACE STATION! 
Twitter: https://twitter.com/Space_Station
Facebook: https://www.facebook.com/ISS 
Instagram: https://instagram.com/iss/</t>
  </si>
  <si>
    <t>lbdsp3U3sAI</t>
  </si>
  <si>
    <t>https://youtu.be/3ElOSYwXmxg</t>
  </si>
  <si>
    <t>Space to Ground  Signing Out  04 16 2021</t>
  </si>
  <si>
    <t>3ElOSYwXmxg</t>
  </si>
  <si>
    <t>2021 04 15</t>
  </si>
  <si>
    <t>https://youtu.be/-luKN6mad5w</t>
  </si>
  <si>
    <t>STEMonstrations  Newton's First Law of Motion</t>
  </si>
  <si>
    <t>Alongside NASA astronaut Suni Williams, you are invited to watch and learn from NASA astronauts Mark Vande Hei and Jeff Williams as they demonstrate Newton’s First Law of Motion in microgravity aboard the International Space Station.  Astronaut Mark Vande Hei shows how an object at rest tends to stay at rest and an object in motion tends to stay in motion unless acted upon by an outside force. Astronaut Jeff Williams shows what happens to objects inside the International Space Station when they experience a reboost. How does this physics phenomena compare to the motion we experience here on Earth’s surface? 
Be sure to check out www.nasa.gov/stemonstrations for more videos like this along with their corresponding Classroom Connection lesson plans. 
Download an HD copy at: https://archive.org/details/jsc-2021m-000060-stemonstrations-newtons-first-law-of-motion</t>
  </si>
  <si>
    <t>-luKN6mad5w</t>
  </si>
  <si>
    <t>https://youtu.be/9ER4vvRv1UM</t>
  </si>
  <si>
    <t>Spacewalks in HD 2020-2021</t>
  </si>
  <si>
    <t>Can you imagine what the Earth looks like from 250 miles up?  Well, now you don’t have to!  International Space Station astronauts wearing small high-definition video cameras during recent spacewalks have delivered the evidence, and it’s gorgeous—have a look for yourself.
These scenes were captured during four spacewalks conducted between July 2020 and March 2021:
 00:00 – 00:53
US EVA 69 – Jan. 27, 2021 – Mike Hopkins and Victor Glover
 00:54 – 2:13
US EVA 73 – Mar. 13, 2021 – Mike Hopkins and Victor Glover
 2:13 – 3:06
US EVA 72 – Mar. 5, 2021 – Kate Rubins and Soichi Noguchi
 03:06 – 05:45
US EVA 68 – July 20, 2020 – Chris Cassidy and Bob Behnken
Download the footage here: https://archive.org/details/jsc2021m000111-Spacewalks_in_HD_2020-2021_1080</t>
  </si>
  <si>
    <t>9ER4vvRv1UM</t>
  </si>
  <si>
    <t>2021 04 09</t>
  </si>
  <si>
    <t>https://youtu.be/Y4XlPUvYC1s</t>
  </si>
  <si>
    <t>Space to Ground  A Crew of Ten  04 09 2021</t>
  </si>
  <si>
    <t>Y4XlPUvYC1s</t>
  </si>
  <si>
    <t>https://youtu.be/L08sOD0hYTk</t>
  </si>
  <si>
    <t>Astronaut Moments  Mark Vande Hei, Living and Working in Space</t>
  </si>
  <si>
    <t>Mark Vande Hei launched to the International Space Station for the second time on April 9 from the Baikonur Cosmodrome in Kazakhstan. The launch occurs just three days before the 60th anniversary of cosmonaut Yuri Gagarin’s launch to become the first human in space and the 40th anniversary of the first launch of NASA’s space shuttle. As members of the Expedition 64/65 crew, Vande Hei and his two Russian crewmates Oleg Novitskiy and Pyotr Dubrov are on deck to work on hundreds of experiments in biology, biotechnology, physical science, and Earth science.
During his previous spaceflight, he accumulated 168 days in space and spent 26 hours and 42 minutes suited up outside of the space station over the course of four spacewalks.</t>
  </si>
  <si>
    <t>L08sOD0hYTk</t>
  </si>
  <si>
    <t>2021 04 02</t>
  </si>
  <si>
    <t>https://youtu.be/eAByh5rcH2k</t>
  </si>
  <si>
    <t>Space to Ground  Scanning the Horizon  04 02 2021</t>
  </si>
  <si>
    <t>eAByh5rcH2k</t>
  </si>
  <si>
    <t>2021 03 26</t>
  </si>
  <si>
    <t>https://youtu.be/nn2b7re9XLA</t>
  </si>
  <si>
    <t>Space to Ground  Soyuz Shuffle  03 26 2021</t>
  </si>
  <si>
    <t>nn2b7re9XLA</t>
  </si>
  <si>
    <t>2021 03 19</t>
  </si>
  <si>
    <t>https://youtu.be/BT2F8cWP6q8</t>
  </si>
  <si>
    <t>Space to Ground  Tournament Earth  03 19 2021</t>
  </si>
  <si>
    <t>NASA's Space to Ground is your weekly update on what's happening aboard the International Space Station. 
Got a question or comment? Use #AskNASA to talk to us.
To vote for your favorite photos in Tournament Earth 2021:
https://earthobservatory.nasa.gov/te​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
Video produced at the NASA Johnson Space Center</t>
  </si>
  <si>
    <t>BT2F8cWP6q8</t>
  </si>
  <si>
    <t>2021 03 12</t>
  </si>
  <si>
    <t>https://youtu.be/HJcu-46ufmc</t>
  </si>
  <si>
    <t>Space to Ground  Tale of the Tape  03 12 2021</t>
  </si>
  <si>
    <t>HJcu-46ufmc</t>
  </si>
  <si>
    <t>2021 03 05</t>
  </si>
  <si>
    <t>https://youtu.be/XKmtwwu7X6M</t>
  </si>
  <si>
    <t>Space to Ground  One Week, Two Spacewalks  03 05 2021</t>
  </si>
  <si>
    <t>XKmtwwu7X6M</t>
  </si>
  <si>
    <t>2021 03 01</t>
  </si>
  <si>
    <t>https://youtu.be/0I75L_O_iu4</t>
  </si>
  <si>
    <t>Artemis  Inside the Latest Achievements – Episode 27</t>
  </si>
  <si>
    <t>NASA's Artemis program is making incredible progress on its mission to land the first woman and next man on the Moon. Recent work on the Artemis I Space Launch System included the Green Run core stage test at Stennis Space Center, MS, and aft segments transport and solid rocket booster stacking at Kennedy Space Center (KSC), FL. NASA’s Exploration Ground Systems team completed mobile launcher roll back and launch countdown testing at KSC. Artemis I Orion Program progress included jettison fairing installation as well as touring of facilities at KSC by Cathy Koerner, Orion Program Manager.
We’re charting the course for sustainable human space exploration and persevering on our journey deeper into the cosmos!</t>
  </si>
  <si>
    <t>0I75L_O_iu4</t>
  </si>
  <si>
    <t>2021 02 26</t>
  </si>
  <si>
    <t>https://youtu.be/DwJ-4zpJWHs</t>
  </si>
  <si>
    <t>Space to Ground  Space Worms  02 26 2021</t>
  </si>
  <si>
    <t>DwJ-4zpJWHs</t>
  </si>
  <si>
    <t>2021 02 12</t>
  </si>
  <si>
    <t>https://youtu.be/BXVK57CV4c4</t>
  </si>
  <si>
    <t>Space to Ground  Riding with the Rover  02 12 2021</t>
  </si>
  <si>
    <t>BXVK57CV4c4</t>
  </si>
  <si>
    <t>2021 02 05</t>
  </si>
  <si>
    <t>https://youtu.be/NSWU82UHaWE</t>
  </si>
  <si>
    <t>Space to Ground  Upgraded Power  02 05 2021</t>
  </si>
  <si>
    <t>NSWU82UHaWE</t>
  </si>
  <si>
    <t>2021 01 29</t>
  </si>
  <si>
    <t>https://youtu.be/zqCE8WvxWYk</t>
  </si>
  <si>
    <t>Astronaut Kate Rubins Advances DNA Sequencing in Space</t>
  </si>
  <si>
    <t>More than four years ago, NASA astronaut Kate Rubins became the first person to sequence DNA in space. This past week, she moved space science forward with another crucial milestone for microbiology aboard the International Space Station. The research team took a moment to recognize Rubins’ spot in scientific history. 
Learn more about the first sequencing of DNA in space: https://go.nasa.gov/2VPsQFJ 
See more images of DNA sequencing in space:
https://images.nasa.gov/album/DNA_Sequencing_in_Space
Learn more about the research being conducted on station: https://www.nasa.gov/iss-science   
Follow Twitter updates on the science conducted aboard the space station: https://twitter.com/iss_research   
HD Download: https://archive.org/details/jsc2021m000062_Astronaut_Kate_Rubins_Advances_DNA_Sequencing_in_Space-MXF</t>
  </si>
  <si>
    <t>zqCE8WvxWYk</t>
  </si>
  <si>
    <t>https://youtu.be/EVkl4qmzewY</t>
  </si>
  <si>
    <t>Space to Ground  Spacewalks &amp; Story Time  01 29 2021</t>
  </si>
  <si>
    <t>EVkl4qmzewY</t>
  </si>
  <si>
    <t>2021 01 22</t>
  </si>
  <si>
    <t>https://youtu.be/_6Jm2JUD5hM</t>
  </si>
  <si>
    <t>Space to Ground  Spacewalk Preparations  01 22 2021</t>
  </si>
  <si>
    <t>_6Jm2JUD5hM</t>
  </si>
  <si>
    <t>2021 01 15</t>
  </si>
  <si>
    <t>https://youtu.be/OCaviw4a5pk</t>
  </si>
  <si>
    <t>Space to Ground  Science Splashdown  01 15 2021</t>
  </si>
  <si>
    <t>OCaviw4a5pk</t>
  </si>
  <si>
    <t>2021 01 08</t>
  </si>
  <si>
    <t>https://youtu.be/sJwtuycs3Mg</t>
  </si>
  <si>
    <t>Space to Ground  A New Year  01 08 2021</t>
  </si>
  <si>
    <t>sJwtuycs3Mg</t>
  </si>
  <si>
    <t>2021 01 07</t>
  </si>
  <si>
    <t>https://youtu.be/TGkkY-Gr-Nc</t>
  </si>
  <si>
    <t>Artemis  Inside the Latest Achievements – Episode 26</t>
  </si>
  <si>
    <t>NASA's Artemis program continues to make excellent progress toward landing the first woman and next man on the Moon. Recent work on the Artemis I Space Launch System included testing the Flight Support Booster in Promontory, Utah, core stage Green Run gimbal testing at Stennis Space Center, Mississippi. NASA’s Exploration Ground Systems team practiced stacking the solid rocket booster and the Launch Control Center completed cryo simulation. Artemis I Orion Program progress included the Orion spacecraft adapter cone install at Kennedy Space Center, Florida, and solar array wing deployment and inspection.   
For the Artemis III mission, Orion pressure vessel parts arrived for welding at Michoud Assembly Facility in Louisiana. Additionally, progress continued on the European Service Module 3 with Thales Alenia Space, Italy delivering the primary structure to Airbus Space in Germany, and Artemis spacesuit tools and training tests took place at Johnson Space Center.
We’re charting the course for sustainable human space exploration and persevering on our journey deeper into the cosmos!
jsc2020m001427</t>
  </si>
  <si>
    <t>TGkkY-Gr-Nc</t>
  </si>
  <si>
    <t>2021 01 01</t>
  </si>
  <si>
    <t>https://youtu.be/rFwqXnCDPJU</t>
  </si>
  <si>
    <t>To the Moon and Beyond   Down To Earth - S1 E19</t>
  </si>
  <si>
    <t>In the final episode of Season 1 of Down to Earth, former NASA Astronaut Alvin Drew recounts the wonder of viewing planet Earth from space, and the necessity to keep pushing the bounds of exploration.  
Be sure to catch the premiere of the 30-minute special, Down to Earth: The Astronaut’s Perspective, today at 2p.m. EST at https://www.youtube.com/watch?v=DIkqs9_FK28&amp;feature=youtu.be. 
HD download  link: 
https://archive.org/details/jsc2020m001449_Down_to_Earth_To_the_Moon_and_Beyond
__________________________
FOLLOW THE SPACE STATION! 
Twitter: https://twitter.com/Space_Station
Facebook: https://www.facebook.com/ISS
Instagram: https://instagram.com/iss/
Producers: Gordon Andrews and Jamie Quinn
Editor: Jamie Quinn</t>
  </si>
  <si>
    <t>rFwqXnCDPJU</t>
  </si>
  <si>
    <t>2020 12 30</t>
  </si>
  <si>
    <t>https://youtu.be/xFK7gkj6yN8</t>
  </si>
  <si>
    <t>Top 20 Earth Images of 2020</t>
  </si>
  <si>
    <t>The men and women who live and work on the International Space Station take thousands of photographs of their home planet every year, and we asked the folks at the Earth Science and Remote Sensing Unit at NASA’s Johnson Space Center for a few of their favorites from 2020.  Here are the top 20 from ’20, and you can check out the images for yourself at the Gateway to Astronaut Photography of Earth(https://eol.jsc.nasa.gov/):
Cuba and the Bahamas
https://eol.jsc.nasa.gov/SearchPhotos/photo.pl?mission=ISS062&amp;roll=E&amp;frame=117852
Cooper Creek, Australia
https://eol.jsc.nasa.gov/SearchPhotos/photo.pl?mission=ISS062&amp;roll=E&amp;frame=136862
Corsica in Sunglint
https://eol.jsc.nasa.gov/SearchPhotos/photo.pl?mission=ISS062&amp;roll=E&amp;frame=44814
Dust Over Cyprus
https://eol.jsc.nasa.gov/SearchPhotos/photo.pl?mission=ISS063&amp;roll=E&amp;frame=25816
Fall Colors Near Ottawa, Canada
https://eol.jsc.nasa.gov/SearchPhotos/photo.pl?mission=ISS063&amp;roll=E&amp;frame=107777
The Great Lakes
https://eol.jsc.nasa.gov/SearchPhotos/photo.pl?mission=ISS062&amp;roll=E&amp;frame=44966
Kerguelen Islands
https://eol.jsc.nasa.gov/SearchPhotos/photo.pl?mission=ISS061&amp;roll=E&amp;frame=120687
Wind Farms on Maui
https://eol.jsc.nasa.gov/SearchPhotos/photo.pl?mission=ISS063&amp;roll=E&amp;frame=40313
Moonrise over southern Atlantic Ocean
https://eol.jsc.nasa.gov/SearchPhotos/photo.pl?mission=ISS063&amp;roll=E&amp;frame=25498
Lakes and Fires, southern Kenya
https://eol.jsc.nasa.gov/SearchPhotos/photo.pl?mission=ISS061&amp;roll=E&amp;frame=21237
Sunrise over Great Australian Bight
https://eol.jsc.nasa.gov/SearchPhotos/photo.pl?mission=ISS063&amp;roll=E&amp;frame=61648
Paris at Night
https://eol.jsc.nasa.gov/SearchPhotos/photo.pl?mission=ISS064&amp;roll=E&amp;frame=6345
Flooding along the Nile in Sudan
https://eol.jsc.nasa.gov/SearchPhotos/photo.pl?mission=ISS063&amp;roll=E&amp;frame=76875
New Zealand
https://eol.jsc.nasa.gov/SearchPhotos/photo.pl?mission=ISS063&amp;roll=E&amp;frame=52878
Terminator over western Australia
https://eol.jsc.nasa.gov/SearchPhotos/photo.pl?mission=ISS064&amp;roll=E&amp;frame=5208
Airglow above western Indian Ocean
https://eol.jsc.nasa.gov/SearchPhotos/photo.pl?mission=ISS063&amp;roll=E&amp;frame=65148
Dust Plume over southern Argentina
https://eol.jsc.nasa.gov/SearchPhotos/photo.pl?mission=ISS062&amp;roll=E&amp;frame=85589
Reefs of Moindou Bay, New Caledonia
https://eol.jsc.nasa.gov/SearchPhotos/photo.pl?mission=ISS063&amp;roll=E&amp;frame=87740
Cloud Swirl above northern Sahara Desert
https://eol.jsc.nasa.gov/SearchPhotos/photo.pl?mission=ISS062&amp;roll=E&amp;frame=12938
Earth and Moon from Crew Dragon
https://eol.jsc.nasa.gov/SearchPhotos/photo.pl?mission=ISS063&amp;roll=E&amp;frame=68417 
4K Download:
https://archive.org/details/jsc2020m001447_2020_Space_Station_Science_Pictures-MXF</t>
  </si>
  <si>
    <t>xFK7gkj6yN8</t>
  </si>
  <si>
    <t>https://youtu.be/KSv_Y8uGwFQ</t>
  </si>
  <si>
    <t>A New Year’s Tradition Looks a Little Different in Space</t>
  </si>
  <si>
    <t>How can you have a ball “drop” when there is no up or down? Expedition 64 crew members on the International Space Station have worked that out: NASA astronauts Kate Rubins, Mike Hopkins, Victor Glover, Shannon Walker, and Japan Aerospace Exploration Agency astronaut Soichi Noguchi send their New Year’s greetings to everyone on Earth and create their own version of the New Year’s Eve in Times Square tradition.
HD Download: https://archive.org/details/jsc2020m001446_2020_ISS_Crew_Exp64_New_Years_Eve_Message
_______________________________________
FOLLOW THE SPACE STATION!
Twitter: https://twitter.com/Space_Station
Facebook: https://www.facebook.com/ISS
Instagram: https://instagram.com/iss/</t>
  </si>
  <si>
    <t>KSv_Y8uGwFQ</t>
  </si>
  <si>
    <t>2020 12 29</t>
  </si>
  <si>
    <t>https://youtu.be/dYINlVcCV8w</t>
  </si>
  <si>
    <t>2020 Space Station Science Photos</t>
  </si>
  <si>
    <t>It has been a busy year of research aboard the International Space Station. In November, we celebrated the 20th year of continuous human presence aboard the space station, which so far has hosted 242 people and more than 3,000 science experiments. During the past year, research has ranged from growing radishes in microgravity to capturing 360-degree footage of life aboard station to monitoring our planet. This research benefits people on Earth while helping prepare us to explore farther into space. Look at some of the breakthrough investigations crew members worked on in 2020: https://go.nasa.gov/3mwj2wh
HD Download: https://archive.org/details/jsc2020m001447_2020_Space_Station_Science_Pictures-MXF</t>
  </si>
  <si>
    <t>dYINlVcCV8w</t>
  </si>
  <si>
    <t>2020 12 24</t>
  </si>
  <si>
    <t>https://youtu.be/QDALsVmNqJg</t>
  </si>
  <si>
    <t>Thoughts, Gifts, and a Challenge  An International Space Station Holiday</t>
  </si>
  <si>
    <t>This holiday season is different than usual for our current crew members on the International Space Station. Expedition 64 astronauts Mike Hopkins, Victor Glover, Shannon Walker, Kate Rubins, and Soichi Noguchi share their thoughts about spending the holidays in space, far from their families and friends. Plus, they show off some of their special presents and issue a decorating challenge to Mission Control in Houston—and you don’t want to miss Houston’s reply!
HD Download: https://archive.org/details/jsc2020m001438_NTV_VF_2020_ISS_Crew_Exp64_Holiday_Thoughts_Message
_______________________________________
FOLLOW THE SPACE STATION!
Twitter: https://twitter.com/Space_Station
Facebook: https://www.facebook.com/ISS
Instagram: https://instagram.com/iss/</t>
  </si>
  <si>
    <t>QDALsVmNqJg</t>
  </si>
  <si>
    <t>2020 12 23</t>
  </si>
  <si>
    <t>https://youtu.be/Hzhxyt87yBk</t>
  </si>
  <si>
    <t>Space to Ground  The Year That Was  12 23 2020</t>
  </si>
  <si>
    <t>Hzhxyt87yBk</t>
  </si>
  <si>
    <t>2020 12 22</t>
  </si>
  <si>
    <t>https://youtu.be/WJUdH3uWkFI</t>
  </si>
  <si>
    <t>A Message of Resilience from the International Space Station</t>
  </si>
  <si>
    <t>Members of the International Space Station’s Expedition 64 crew, spending this holiday season orbiting the Earth, wrap up 2020 with a message of hope for their fellow Earthlings.  NASA astronauts Mike Hopkins, Victor Glover, Shannon Walker, Kate Rubins, and Japan Aerospace Exploration Agency astronaut Soichi Noguchi reflect on the unprecedented year the world experienced in 2020 and remind us of the resilience of the human spirit as we enter a new year.
HD Download: https://archive.org/details/jsc2020m001444_2020_ISS_Crew_Exp64_Resilience_Message
____________________________________________
FOLLOW THE SPACE STATION!
Twitter: https://twitter.com/Space_Station
Facebook: https://www.facebook.com/ISS
Instagram: https://instagram.com/iss/</t>
  </si>
  <si>
    <t>WJUdH3uWkFI</t>
  </si>
  <si>
    <t>2020 12 18</t>
  </si>
  <si>
    <t>https://youtu.be/-zhili_b_Bw</t>
  </si>
  <si>
    <t>Space to Ground  Cardinal Heart Study  12 18 2020</t>
  </si>
  <si>
    <t>-zhili_b_Bw</t>
  </si>
  <si>
    <t>2020 12 11</t>
  </si>
  <si>
    <t>https://youtu.be/NBdKcIbHBj0</t>
  </si>
  <si>
    <t>Space to Ground  Double Dragons  12 11 2020</t>
  </si>
  <si>
    <t>NBdKcIbHBj0</t>
  </si>
  <si>
    <t>2020 12 04</t>
  </si>
  <si>
    <t>https://youtu.be/sH0hz7Z0JPc</t>
  </si>
  <si>
    <t>Space to Ground  A New Door to Space  12 04 2020</t>
  </si>
  <si>
    <t>sH0hz7Z0JPc</t>
  </si>
  <si>
    <t>2020 11 27</t>
  </si>
  <si>
    <t>https://youtu.be/sXFtMoJDM18</t>
  </si>
  <si>
    <t>Space to Ground  Talking Turkey  11 27 2020</t>
  </si>
  <si>
    <t>sXFtMoJDM18</t>
  </si>
  <si>
    <t>2020 11 26</t>
  </si>
  <si>
    <t>https://youtu.be/jEyiHgRPEJc</t>
  </si>
  <si>
    <t>Astronauts Reading Fan Mail %232</t>
  </si>
  <si>
    <t>After not checking our mailboxes for several months, we had a ton of fan mail to catch up on!💌✨
Happy Thanksgiving from the Astronaut Corps! Enjoy the 2020 edition of astronauts reading fan mail featuring Anne McClain, Drew Morgan, Jessica Meir, Jonny Kim, Jeanette Epps, Tom Marshburn &amp; Mike Fincke.
__________________________
FOLLOW NASA ASTRONAUTS
Facebook: https://www.facebook.com/NASAAstronauts
Twitter: https://twitter.com/NASA_Astronauts
Instagram: https://www.instagram.com/nasaastronauts
HD download  link: https://archive.org/details/jsc2020m001424_Astronauts_Reading_Fan_Mail_#_2
Video produced at the NASA Johnson Space Center 
Producers: Stephanie Fernandez, Devin Boldt, Jamie Quinn</t>
  </si>
  <si>
    <t>jEyiHgRPEJc</t>
  </si>
  <si>
    <t>2020 11 25</t>
  </si>
  <si>
    <t>https://youtu.be/bPOfgiArkbI</t>
  </si>
  <si>
    <t>Space Station Crew Discusses the Meaning of Thanksgiving on Orbit</t>
  </si>
  <si>
    <t>Aboard the International Space Station, Expedition 64 Flight Engineers Kate Rubins, Mike Hopkins, Victor Glover and Shannon Walker of NASA and Soichi Noguchi of the Japan Aerospace Exploration Agency (JAXA) discussed the meaning of spending Thanksgiving on orbit and their holiday plans during downlink messages delivered on Nov. 20. Rubins has been aboard the orbital complex since mid-October following her launch on a Russian Soyuz spacecraft and was joined a month later by Hopkins, Glover, Walker and Noguchi, who launched on the SpaceX Crew Dragon “Resilience” from the Kennedy Space Center.
Video produced at the NASA Johnson Space Center</t>
  </si>
  <si>
    <t>bPOfgiArkbI</t>
  </si>
  <si>
    <t>2020 11 20</t>
  </si>
  <si>
    <t>https://youtu.be/HXs-OtvIyxw</t>
  </si>
  <si>
    <t>Space to Ground  Resilience Rises  11 20 2020</t>
  </si>
  <si>
    <t>HXs-OtvIyxw</t>
  </si>
  <si>
    <t>2020 11 18</t>
  </si>
  <si>
    <t>https://youtu.be/ZSa5C8gX_IY</t>
  </si>
  <si>
    <t>Russian Spacewalk %2347 Animation</t>
  </si>
  <si>
    <t>Working outside the International Space Station, Expedition 64 Commander Sergey Ryzhikov and Flight Engineer Sergey Kud-Sverchkov of Roscosmos will conduct the eighth spacewalk of the year at the orbital outpost, using the Poisk module on the space-facing side of the Russian segment as an airlock for the first time. Among other tasks to be performed during the excursion, Ryzhikov and Kud-Sverchkov will begin the decommissioning of the venerable Pirs Docking Compartment by disconnecting a telemetry cable linking Pirs to the Zvezda Service Module and connecting it to Poisk. Pirs, which was launched in September 2001 and has served as a docking port and a spacewalk airlock for the past two decades, is scheduled to be replaced next year by the new “Nauka” Multi-Purpose Laboratory Module that will be launched on a Russian Proton rocket. The spacewalk will be the first for both Ryzhikov and Kud-Sverchkov and the 232nd spacewalk in support of space station assembly, maintenance and upgrades.
Video produced at the Johnson Space Center.</t>
  </si>
  <si>
    <t>ZSa5C8gX_IY</t>
  </si>
  <si>
    <t>2020 11 13</t>
  </si>
  <si>
    <t>https://youtu.be/bBKe3cuw-b8</t>
  </si>
  <si>
    <t>Space to Ground  Dragon Quest  11 13 2020</t>
  </si>
  <si>
    <t>bBKe3cuw-b8</t>
  </si>
  <si>
    <t>2020 11 11</t>
  </si>
  <si>
    <t>https://youtu.be/pBa4mjXUW_o</t>
  </si>
  <si>
    <t>Quick Questions With Crew-1</t>
  </si>
  <si>
    <t>Go behind the online biography and hear the Crew-1 astronauts reveal their inner truths: favorite foods, guilty pleasures, the hardest part of training, and what’s left on their space-career bucket list.  (And who loves salsa dancing, and shows it!)
HD Download: https://archive.org/details/jsc2020m000236_Quick_Questions_with_Crew-1
Video produced at the NASA Johnson Space Center.
____________________________________________
FOLLOW THE SPACE STATION!
Twitter: https://twitter.com/Space_Station
Facebook: https://www.facebook.com/ISS
Instagram: https://instagram.com/iss/</t>
  </si>
  <si>
    <t>pBa4mjXUW_o</t>
  </si>
  <si>
    <t>2020 11 06</t>
  </si>
  <si>
    <t>https://youtu.be/ngfUbxrRnuU</t>
  </si>
  <si>
    <t>Crew-1 for All</t>
  </si>
  <si>
    <t>The next SpaceX Crew Dragon to fly to the International Space Station will carry four astronauts on a mission known as Crew-1.  What does that mean?  Who better to explain the first operational mission of a commercial crew space vehicle than the people who will make it happen in space.  Join the American and Japanese astronauts for a walk through the mission that opens a new era in human space exploration.
HD Download: https://archive.org/details/jsc2020m000237_Crew-1_for_All
Video produced at the NASA Johnson Space Center.
____________________________________________
FOLLOW THE SPACE STATION!
Twitter: https://twitter.com/Space_Station
Facebook: https://www.facebook.com/ISS
Instagram: https://instagram.com/iss/</t>
  </si>
  <si>
    <t>ngfUbxrRnuU</t>
  </si>
  <si>
    <t>https://youtu.be/o8utu2W8v_0</t>
  </si>
  <si>
    <t>Space to Ground  We Are One  11 06 2020</t>
  </si>
  <si>
    <t>o8utu2W8v_0</t>
  </si>
  <si>
    <t>2020 11 04</t>
  </si>
  <si>
    <t>https://youtu.be/_BQOPYNvr98</t>
  </si>
  <si>
    <t>Know Your Crew…One!</t>
  </si>
  <si>
    <t>The astronauts who will fly the first operational Crew Dragon spacecraft to the International Space Station are trained up and ready to go.  After many months of work together (for some of them, years) they know each other pretty well, so we asked them to prove it. Have a look as four astronauts who are about to spend six months in space together talk about what they’re expecting from life on the space station, and share their advice for the one among them who has never been there before.
HD Download: https://archive.org/details/jsc2020m000235_Know_Your_Crew_One
Video produced at the NASA Johnson Space Center. 
____________________________________________
FOLLOW THE SPACE STATION!
Twitter: https://twitter.com/Space_Station
Facebook: https://www.facebook.com/ISS
Instagram: https://instagram.com/iss/</t>
  </si>
  <si>
    <t>_BQOPYNvr98</t>
  </si>
  <si>
    <t>2020 10 30</t>
  </si>
  <si>
    <t>https://youtu.be/91HFRawNWpA</t>
  </si>
  <si>
    <t>Space to Ground  How It Started  10 30 2020</t>
  </si>
  <si>
    <t>91HFRawNWpA</t>
  </si>
  <si>
    <t>2020 10 23</t>
  </si>
  <si>
    <t>https://youtu.be/zRUieQ6sSfo</t>
  </si>
  <si>
    <t>Space to Ground  Thumbs Up  10 23 2020</t>
  </si>
  <si>
    <t>zRUieQ6sSfo</t>
  </si>
  <si>
    <t>2020 10 20</t>
  </si>
  <si>
    <t>https://youtu.be/vPkamuLqwM8</t>
  </si>
  <si>
    <t>Spacesuits for the Next Explorers (Full feature)</t>
  </si>
  <si>
    <t>Get a behind the scenes look at the creation of NASA’s new spacesuit, the xEMU (Exploration Extravehicular Mobility Unit).  In this full feature, you’ll discover how the spacesuit is being built for NASA’s new missions beyond low-Earth orbit, looking forward to astronauts walking on the Moon and Mars and exploring in person.  Testing for the suit takes place in the desert, underwater, and in unique NASA laboratories that can simulate the gravity of the Moon, Mars, or no gravity at all.  The end result will be a spacesuit that has more flexibility, more power and more capability to allow astronauts to explore like never before.
 For more information, visit:  www.nasa.gov/suitup</t>
  </si>
  <si>
    <t>vPkamuLqwM8</t>
  </si>
  <si>
    <t>https://youtu.be/u8L66TSXSxY</t>
  </si>
  <si>
    <t>Chris Cassidy - Space Station Scientist</t>
  </si>
  <si>
    <t>On April 9, 2020, the Soyuz MS-16 lifted off from Site 31 at the Baikonur Cosmodrome in Kazakhstan. This launch kicked off NASA astronaut Chris Cassidy’s third trip to the International Space Station. Cassidy’s 196-day mission as Expedition 63 Commander of the space station was filled with milestones for space exploration as well as numerous science experiments helping benefit life back on Earth. Take a look at the science he enabled during his research-filled stay in microgravity aboard the world class laboratory in low-Earth orbit: https://go.nasa.gov/350lpAO
Learn more about the research being conducted on station: https://www.nasa.gov/iss-science  
Follow Twitter updates on the science conducted aboard the space station: https://twitter.com/iss_research
HD Link: https://archive.org/details/jsc2020m001398_Chris_Cassidy-Space_Station_Scientist-MXF</t>
  </si>
  <si>
    <t>u8L66TSXSxY</t>
  </si>
  <si>
    <t>2020 10 16</t>
  </si>
  <si>
    <t>https://youtu.be/gEfqbmexgq0</t>
  </si>
  <si>
    <t>Space to Ground  Fresh Dining  10 16 2020</t>
  </si>
  <si>
    <t>gEfqbmexgq0</t>
  </si>
  <si>
    <t>2020 10 14</t>
  </si>
  <si>
    <t>https://youtu.be/w5jOK3ealFE</t>
  </si>
  <si>
    <t>A Perfect Planet   Down To Earth - S1 E18</t>
  </si>
  <si>
    <t>In this episode of Down to Earth, NASA Astronaut Andrew Morgan speaks about his spacewalk experiences, and discusses the importance of caring for our home planet. #SpaceStation20th   
Video produced at the NASA Johnson Space Center
Producer/Editor: Jamie Quinn
Producer: Gordon Andrews</t>
  </si>
  <si>
    <t>w5jOK3ealFE</t>
  </si>
  <si>
    <t>2020 10 13</t>
  </si>
  <si>
    <t>https://youtu.be/XFivJfn2Ys4</t>
  </si>
  <si>
    <t>Kate Rubins  Science on the Space Station</t>
  </si>
  <si>
    <t>Kate Rubins is both a scientist and a NASA astronaut.  There is no better place to be than the International Space Station for someone with those two occupations.  In this video, Kate explains how the space station is the perfect place to conduct research.  Free from Earth’s gravity, the orbiting laboratory offers endless opportunities for discovery!</t>
  </si>
  <si>
    <t>XFivJfn2Ys4</t>
  </si>
  <si>
    <t>https://youtu.be/KnZRf5B29Bk</t>
  </si>
  <si>
    <t>Spacesuits for the Next Explorers   Preview Trailer 3- New Car Smell</t>
  </si>
  <si>
    <t>When does a spacesuit smell like a new car?  When it’s brand new!  NASA is creating a new spacesuit for missions to the Moon and beyond.  With improved mobility, flexibility and endurance the suit will allow astronauts to do more exploration than ever before- kneeling, bending down and walking on the surface of the Moon and one day, Mars.  The suit is currently being tested in laboratories, on land and underwater.  
Full Feature “Spacesuits for the Next Explorers” is coming soon.
www.nasa.gov/suitup</t>
  </si>
  <si>
    <t>KnZRf5B29Bk</t>
  </si>
  <si>
    <t>2020 10 09</t>
  </si>
  <si>
    <t>https://youtu.be/AUwg13FvkX8</t>
  </si>
  <si>
    <t>Space to Ground  Crank it to 11  10 09 2020</t>
  </si>
  <si>
    <t>AUwg13FvkX8</t>
  </si>
  <si>
    <t>2020 10 06</t>
  </si>
  <si>
    <t>https://youtu.be/3VoeRAR0YgE</t>
  </si>
  <si>
    <t>How to use the Bathroom in Space</t>
  </si>
  <si>
    <t>One of the most frequent questions we get about life on Space Station is how to use the toilet…Here’s a quick look at the answer!
-Expedition 63 Commander Chris Cassidy
__________________________
FOLLOW ASTRONAUT CHRIS CASSIDY
Instagram: https://www.instagram.com/astro_seal
Twitter: https://twitter.com/astro_seal
FOLLOW NASA ASTRONAUTS
Facebook: https://www.facebook.com/NASAAstronauts
Twitter: https://twitter.com/NASA_Astronauts
Instagram: https://www.instagram.com/nasaastronauts
Video produced at the NASA Johnson Space Center 
Producer/Editor: Jamie Quinn</t>
  </si>
  <si>
    <t>3VoeRAR0YgE</t>
  </si>
  <si>
    <t>https://youtu.be/NFnvR4TYg70</t>
  </si>
  <si>
    <t>Astronauts Test Tools Spacesuits Facilities in Preparation for Moonwalks</t>
  </si>
  <si>
    <t>NASA Tests Tools, Spacesuits, Facilities to Prepare for Moonwalks
At NASA’s Johnson Space Center in Houston, teams are testing tools and developing training approaches for moonwalks astronauts will conduct on the lunar surface during Artemis missions. As part of a test series that occurred in August and September 2020, astronauts in a demonstration version of NASA’s exploration spacesuit and engineers in “hard hat” dive equipment simulated several different tasks crew could do on the surface of the Moon. The tests focused on evaluating Johnson’s facilities for Artemis spacewalk testing, development, and crew training.
No Audio</t>
  </si>
  <si>
    <t>NFnvR4TYg70</t>
  </si>
  <si>
    <t>2020 10 05</t>
  </si>
  <si>
    <t>https://youtu.be/j4Z1TcQjA0Q</t>
  </si>
  <si>
    <t>Spacesuits for the Next Explorers- Preview Trailer 2   “It’s a Great Job!”</t>
  </si>
  <si>
    <t>NASA is building new spacesuits for missions on the Moon.  These voyages will require astronauts to stay longer on the lunar surface than the previous Apollo lunar missions.  A new generation of engineers is using the latest technology to make spacesuit life support the best it ever has been, providing greater safety and flexibility for the astronauts.  What’s it like working on the life support of a spacesuit?  Find out with this preview of “Spacesuits for the Next Explorers” a new full feature video coming soon.</t>
  </si>
  <si>
    <t>j4Z1TcQjA0Q</t>
  </si>
  <si>
    <t>2020 10 02</t>
  </si>
  <si>
    <t>https://youtu.be/-7aIqgQ_an0</t>
  </si>
  <si>
    <t>Space to Ground  Influential People  10 02 2020</t>
  </si>
  <si>
    <t>-7aIqgQ_an0</t>
  </si>
  <si>
    <t>2020 09 28</t>
  </si>
  <si>
    <t>https://youtu.be/I7a7mOWBV0w</t>
  </si>
  <si>
    <t xml:space="preserve">Spacesuits for the Next Explorers- Preview Trailer 1- What is an EVA </t>
  </si>
  <si>
    <t>You’ve heard NASA use the term “EVA” before, but what does it mean?  In this video, find out how EVA will be a big part of NASA’s future exploration to the Moon and Mars and how a new spacesuit is being built to prepare for future missions beyond Low Earth Orbit.   
Full Feature “Spacesuits for the Next Explorers” is coming soon.
www.nasa.gov/suitup</t>
  </si>
  <si>
    <t>I7a7mOWBV0w</t>
  </si>
  <si>
    <t>2020 09 25</t>
  </si>
  <si>
    <t>https://youtu.be/WDC_DNTXlN8</t>
  </si>
  <si>
    <t>Space to Ground  Rolling Out  09 25 2020</t>
  </si>
  <si>
    <t>WDC_DNTXlN8</t>
  </si>
  <si>
    <t>2020 09 23</t>
  </si>
  <si>
    <t>https://youtu.be/cPmx1TtYF64</t>
  </si>
  <si>
    <t>NASA Testing Tools, Spacesuits, Facilities to Prepare for Moonwalks</t>
  </si>
  <si>
    <t>At NASA’s Johnson Space Center in Houston, teams are testing the tools and developing training approaches for lunar surface operations and Moonwalks astronauts will conduct during Artemis missions beginning in 2024. As part of a test series that occurred in August and September 2020 in the Neutral Buoyancy Lab at Johnson, astronauts in a demonstration version of the exploration spacesuit and engineers in “hard hat” dive equipment simulated several different tasks crew will do on the surface of the Moon. The tests focused on evaluating Johnson’s facilities for Artemis spacewalk testing, development, and crew training, and will inform future mission planning, including how many spacewalks to conduct during a mission, how long they’ll be, and how far away from a lander the crew will travel.</t>
  </si>
  <si>
    <t>cPmx1TtYF64</t>
  </si>
  <si>
    <t>2020 09 21</t>
  </si>
  <si>
    <t>https://youtu.be/SDhlPEMkiOo</t>
  </si>
  <si>
    <t>STEMonstrations  Moon Phases</t>
  </si>
  <si>
    <t>Try the activity in your classroom! https://nasa.gov/stemonstrations
If you have looked into the night sky, you may have noticed the Moon appears to change shape each night. The different shapes of the Moon that we see at different times of the month are called the Moon’s phases. Watch as NASA astronaut Anne McClain displays each of these phases in the latest episode of STEMonstrations. Use the lesson plan that coincides with this video to invigorate your STEM classroom.  Be sure to visit https://www.nasa.gov/stemonstation for more educational resources that explore the research and technology of the International Space Station.
FOLLOW THE SPACE STATION! 
Twitter: https://twitter.com/Space_Station
Facebook: https://www.facebook.com/ISS
Instagram: https://instagram.com/iss/</t>
  </si>
  <si>
    <t>SDhlPEMkiOo</t>
  </si>
  <si>
    <t>2020 09 18</t>
  </si>
  <si>
    <t>https://youtu.be/FyiMhGvQD5c</t>
  </si>
  <si>
    <t>Space to Ground  Honoring Kalpana  09 18 2020</t>
  </si>
  <si>
    <t>FyiMhGvQD5c</t>
  </si>
  <si>
    <t>2020 09 11</t>
  </si>
  <si>
    <t>https://youtu.be/d56BA5yLXJo</t>
  </si>
  <si>
    <t>SpaceCast Weekly - September 11, 2020</t>
  </si>
  <si>
    <t>d56BA5yLXJo</t>
  </si>
  <si>
    <t>https://youtu.be/XRwMDlvE6h8</t>
  </si>
  <si>
    <t>Space to Ground  Studying DNA Breaks  09 11 2020</t>
  </si>
  <si>
    <t>XRwMDlvE6h8</t>
  </si>
  <si>
    <t>2020 09 09</t>
  </si>
  <si>
    <t>https://youtu.be/agwlu0wR1_w</t>
  </si>
  <si>
    <t>Palace in the Sky   Down To Earth - S1 E17</t>
  </si>
  <si>
    <t>In this episode of Down to Earth, former NASA astronaut Jack Fischer recalls his experiences from his time aboard the International Space Station and discusses how the spirit of exploration contributes to humanity’s future. #SpaceStation20th
Video produced at the NASA Johnson Space Center
Producers: Jamie Quinn &amp; Gordon Andrews</t>
  </si>
  <si>
    <t>agwlu0wR1_w</t>
  </si>
  <si>
    <t>https://youtu.be/DuRtGUBewK4</t>
  </si>
  <si>
    <t>Micro-G NExT</t>
  </si>
  <si>
    <t>Micro-g NExT is an annual opportunity for college students to contribute to NASA missions. Through this engineering design challenge undergraduate students to design, build, and test a tool or device that addresses an authentic, current space exploration challenge. The overall experience includes hands-on engineering design, test operations, and public outreach. Test operations are conducted in the simulated microgravity environment of the NASA Johnson Space Center Neutral Buoyancy Laboratory (NBL). For more information visit, https://microgravityuniversity.jsc.nasa.gov/about-micro-g-next.cfm</t>
  </si>
  <si>
    <t>DuRtGUBewK4</t>
  </si>
  <si>
    <t>2020 09 04</t>
  </si>
  <si>
    <t>https://youtu.be/yc2MsGbgTuw</t>
  </si>
  <si>
    <t>Space to Ground  Following Chris  09 04 2020</t>
  </si>
  <si>
    <t>yc2MsGbgTuw</t>
  </si>
  <si>
    <t>2020 09 02</t>
  </si>
  <si>
    <t>https://youtu.be/h2BdBDYqXJE</t>
  </si>
  <si>
    <t>Artemis  Inside the Latest Achievements – Episode 25</t>
  </si>
  <si>
    <t>NASA's Artemis program continues to make great strides toward landing the first woman and next man on the lunar surface.  Progress continues on Artemis I, the first integrated test of the Orion spacecraft, Space Launch System (SLS) rocket and the ground systems at Kennedy Space Center in Cape Canaveral, Florida. Artemis II core stage work at Michoud Assembly Facility and welding on the Artemis II Orion stage adapter panel at Marshall Space Flight Center continued. Orion Program progress included the move of the Orion Artemis II crew module to the clean room at Kennedy Space Center, the fairing jettison test completion in Littleton, CO, and the completion of the structural test article testing for Artemis I. The Artemis I aft skirt was delivered to NASA’s Exploration Ground Systems team and moved to the rotation processing and surge facility. NASA’s Associate Administrator for Human Exploration, Kathy Lueders, toured Artemis hardware. Lastly, the Artemis I Launch Vehicle Stage Adapter was offloaded, Artemis I Booster segments were transported, Artemis I booster segment was uncapped, and the team began Artemis I booster segment lift and mate pinning. We’re charting the course for sustainable human space exploration and persevering on our journey deeper into the cosmos!
jsc2020m000221</t>
  </si>
  <si>
    <t>h2BdBDYqXJE</t>
  </si>
  <si>
    <t>2020 08 25</t>
  </si>
  <si>
    <t>https://youtu.be/1clACXLdDhs</t>
  </si>
  <si>
    <t>Students Use Ham Radio to Call an Astronaut in Space</t>
  </si>
  <si>
    <t>On May 15, 2020, Canadian students used ham radio to talk with NASA astronaut Chris Cassidy, currently aboard the International Space Station. Thanks to ham radio operators and the International Space Station program, the students were able to participate from their homes. Learn more about ham radio aboard the space station: https://go.nasa.gov/2DRPAeK
Learn more about the research being conducted on station: https://www.nasa.gov/iss-science  
Follow Twitter updates on the science conducted aboard the space station: https://twitter.com/iss_research  
HD download link: https://archive.org/details/jsc2020m000225_Cassidy_Ham_Radio-MXF</t>
  </si>
  <si>
    <t>1clACXLdDhs</t>
  </si>
  <si>
    <t>2020 08 24</t>
  </si>
  <si>
    <t>https://youtu.be/XWOyh_U5qRQ</t>
  </si>
  <si>
    <t>TROPICAL STORM LAURA VIEWED FROM INTERNATIONAL SPACE STATION</t>
  </si>
  <si>
    <t>External cameras on the International Space Station captured views of Tropical Storm Laura from approximately 250 miles above. The station passed directly over the tropical system on Sunday, August 23 prior to the storm making landfall on Cuba. The National Hurricane Center is projecting Laura to strengthen into a hurricane once in the Gulf of Mexico with landfall expected on the Gulf coast later this week.</t>
  </si>
  <si>
    <t>XWOyh_U5qRQ</t>
  </si>
  <si>
    <t>2020 08 21</t>
  </si>
  <si>
    <t>https://youtu.be/Qn3SbSn2J9U</t>
  </si>
  <si>
    <t>Space to Ground  Final Flight  08 21 2020</t>
  </si>
  <si>
    <t>Qn3SbSn2J9U</t>
  </si>
  <si>
    <t>2020 08 14</t>
  </si>
  <si>
    <t>https://youtu.be/NQ5ThYhnMz8</t>
  </si>
  <si>
    <t>Space to Ground  The Checklist  08 14 2020</t>
  </si>
  <si>
    <t>NQ5ThYhnMz8</t>
  </si>
  <si>
    <t>2020 08 07</t>
  </si>
  <si>
    <t>https://youtu.be/zdAHCtHmYTY</t>
  </si>
  <si>
    <t>Space to Ground  Gulf Coast Splashdown  08 07 2020</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</si>
  <si>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t>
  </si>
  <si>
    <t>zdAHCtHmYTY</t>
  </si>
  <si>
    <t>2020 08 05</t>
  </si>
  <si>
    <t>https://youtu.be/Bcxqr4X7a-A</t>
  </si>
  <si>
    <t>All in This Together   Down To Earth - S1 E16</t>
  </si>
  <si>
    <t>In this episode of Down to Earth – All in This Together, NASA Astronaut Jessica Meir recalls her recent time living and working aboard the International Space Station, “I never appreciated how fragile and beautiful and special the Earth was… we have one planet and we are all inhabitants of the same home." #SpaceStation20th</t>
  </si>
  <si>
    <t>Bcxqr4X7a-A</t>
  </si>
  <si>
    <t>2020 08 04</t>
  </si>
  <si>
    <t>https://youtu.be/ckk5PZ1ZSck</t>
  </si>
  <si>
    <t>It’s A Great Day to be Alive</t>
  </si>
  <si>
    <t>From 250 miles above the Earth, Expedition 63 is very much aware of the hard times which exist in the neighborhoods of the world rotating below. Even amid the uncertainty and difficulties of battling through these challenging times, we encourage everyone to be the best “crewmates” &amp; take care of each other. Cherish the people you love.
-Commander Chris Cassidy
__________________________
FOLLOW ASTRONAUT CHRIS CASSIDY
Instagram: https://www.instagram.com/astro_seal
FOLLOW NASA ASTRONAUTS
Facebook: https://www.facebook.com/NASAAstronauts
Twitter: https://twitter.com/NASA_Astronauts
Instagram: https://www.instagram.com/nasaastronauts</t>
  </si>
  <si>
    <t>ckk5PZ1ZSck</t>
  </si>
  <si>
    <t>2020 08 03</t>
  </si>
  <si>
    <t>https://youtu.be/iaeNBjIoPa8</t>
  </si>
  <si>
    <t>NASA's SpaceX DM-2 Mission Highlights</t>
  </si>
  <si>
    <t>The SpaceX Demo-2 test flight for NASA's Commercial Crew Program was the first to deliver astronauts to the International Space Station and return them safely to Earth onboard a commercially built and operated spacecraft.   
The crew launched on Saturday, May 30 on a SpaceX Falcon 9 rocket from NASA’s Kennedy Space Center in Florida and arrived at the orbiting laboratory on May 31. The SpaceX Crew Dragon “Endeavour” splashed down off the coast of Pensacola, Florida, Sunday, Aug. 2 at 2:48 pm EDT following their undocking from the International Space Station Saturday, Aug. 1 at 7:35 pm EDT.
During their 62 days aboard station, Robert Behnken and Douglas Hurley contributed more than 100 hours of time to supporting the orbiting laboratory’s investigations, participated in public engagement events, and supported four spacewalks with Behnken and Cassidy to install new batteries in the station’s power grid and upgrade other station hardware. 
These activities are a part of NASA’s Commercial Crew Program, which has been working with the U.S. aerospace industry to launch astronauts on American rockets and spacecraft from American soil the International Space Station for the first time since 2011. This is SpaceX’s final test flight and is providing data about the performance of the Falcon 9 rocket, Crew Dragon spacecraft and ground systems, as well as in-orbit, docking, splashdown and recovery operations.  
The test flight also will help NASA certify SpaceX’s crew transportation system for regular flights carrying astronauts to and from the space station. SpaceX is readying the hardware for the first rotational mission that will occur following NASA certification, which is expected to take about six weeks. 
The goal of NASA’s Commercial Crew Program is safe, reliable and cost-effective transportation to and from the International Space Station. This could allow for additional research time and increase the opportunity for discovery aboard humanity’s testbed for exploration, including helping us prepare for human exploration of the Moon and Mars.</t>
  </si>
  <si>
    <t>iaeNBjIoPa8</t>
  </si>
  <si>
    <t>2020 07 31</t>
  </si>
  <si>
    <t>https://youtu.be/DoTs3-bQRo0</t>
  </si>
  <si>
    <t>Space to Ground  %23BecauseScience  07 31 2020</t>
  </si>
  <si>
    <t>DoTs3-bQRo0</t>
  </si>
  <si>
    <t>2020 07 24</t>
  </si>
  <si>
    <t>https://youtu.be/LLziUxoVA54</t>
  </si>
  <si>
    <t>Space to Ground  Same Day Delivery  07 24 2020</t>
  </si>
  <si>
    <t>LLziUxoVA54</t>
  </si>
  <si>
    <t>2020 07 22</t>
  </si>
  <si>
    <t>https://youtu.be/2Dzx6b6vSK4</t>
  </si>
  <si>
    <t>Fruit Punch and Foam  Managing Liquids in Space</t>
  </si>
  <si>
    <t>When NASA astronaut Doug Hurley squeezed a bag of fruit punch aboard the International Space Station last month, he did not get a refreshing drink. Instead, the red fluid that emerged from his drink bag wound down a clear tube, and soaked into a block of white foam. While it might not look like much, this simple experiment is providing researchers with better information about managing liquids in microgravity. Learn more here: https://go.nasa.gov/32JQUPM
Learn more about the research being conducted on station: https://www.nasa.gov/iss-science
Follow Twitter updates on the science conducted aboard the space station: https://twitter.com/iss_research
HD download link: https://archive.org/details/jsc2020m000202_Fruit-Punch_and_Foam_Managing_Liquids_in_Space-MXF</t>
  </si>
  <si>
    <t>2Dzx6b6vSK4</t>
  </si>
  <si>
    <t>2020 07 21</t>
  </si>
  <si>
    <t>https://youtu.be/kw64FUpCNCA</t>
  </si>
  <si>
    <t>SpaceX Crew Dragon Flies Through Habitability Testing</t>
  </si>
  <si>
    <t>It is a “demonstration” mission, so the crew of the SpaceX Crew Dragon are demonstrating that the systems on this new commercial spaceship all work as designed while it’s docked to the International Space Station.  Take a look inside while the Expedition 63 crew members verify that astronauts and cosmonauts can live, work, and sleep as planned when the vehicle is executing its mission in space. 
Additional footage from the Habitability tests on July 8, 2020: https://archive.org/details/jsc2020m000200-SpaceX_Crew_Dragon_Flies_Through_Habitability_Testing_b-roll
_______________________________________
FOLLOW THE SPACE STATION!
Twitter: https://twitter.com/Space_Station
Facebook: https://www.facebook.com/ISS
Instagram: https://instagram.com/iss/</t>
  </si>
  <si>
    <t>kw64FUpCNCA</t>
  </si>
  <si>
    <t>2020 07 17</t>
  </si>
  <si>
    <t>https://youtu.be/5hNSgkEqx9U</t>
  </si>
  <si>
    <t>Space to Ground  Outside The Hatch  07 17 2020</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</si>
  <si>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https://www.nasa.gov/stemonstation
________________________________________
FOLLOW THE SPACE STATION!
Twitter: https://twitter.com/Space_Station
Facebook: https://www.facebook.com/ISS
Instagram: https://instagram.com/iss/</t>
  </si>
  <si>
    <t>5hNSgkEqx9U</t>
  </si>
  <si>
    <t>2020 07 14</t>
  </si>
  <si>
    <t>https://youtu.be/kTROaE33Kn4</t>
  </si>
  <si>
    <t>Reach for the Stars   Down To Earth - S1 E15</t>
  </si>
  <si>
    <t>In celebration of the upcoming #SpaceStation20th anniversary, Spaceflight Participant Hazzaa Ali Almansoori from the United Arab Emirates, who recently flew in space with other International Astronauts, shares his thoughts on his journey to reach the stars and his perspective on the power of us all working together in space in this episode of Down to Earth – Reach for the Stars. #SpaceStation20th</t>
  </si>
  <si>
    <t>kTROaE33Kn4</t>
  </si>
  <si>
    <t>2020 07 10</t>
  </si>
  <si>
    <t>https://youtu.be/D9FLgwnNWEY</t>
  </si>
  <si>
    <t>Behind the Scenes in Space During Historic SpaceX DM-2 Launch and Docking</t>
  </si>
  <si>
    <t>You saw history made with the first crewed launch and docking of the SpaceX Crew Dragon, but you didn’t see the flurry of activity on board the International Space Station…until now.  Join Expedition 63 Commander Chris Cassidy and his crewmates as they prepare their cameras to document the DM-2 launch, and look over their shoulders to witness the new American spacecraft dock to the station and deliver their new crewmates.
HD Download: https://archive.org/details/jsc2020m000182_BTS_in_Space_During_Historic_DM2_Launch_and_Docking
_______________________________________
FOLLOW THE SPACE STATION!
Twitter: https://twitter.com/Space_Station
Facebook: https://www.facebook.com/ISS
Instagram: https://instagram.com/iss/</t>
  </si>
  <si>
    <t>D9FLgwnNWEY</t>
  </si>
  <si>
    <t>https://youtu.be/aoSr6y4gBdw</t>
  </si>
  <si>
    <t>Space to Ground  Dragon's Den  07 10 2020</t>
  </si>
  <si>
    <t>aoSr6y4gBdw</t>
  </si>
  <si>
    <t>2020 07 03</t>
  </si>
  <si>
    <t>https://youtu.be/ANjyApJx8X0</t>
  </si>
  <si>
    <t>Space to Ground  New &amp; Improved  07 03 2020</t>
  </si>
  <si>
    <t>ANjyApJx8X0</t>
  </si>
  <si>
    <t>2020 07 02</t>
  </si>
  <si>
    <t>https://youtu.be/zLGKYQ7FvUs</t>
  </si>
  <si>
    <t>Expedition 63 July 4th Message - July 3, 2020</t>
  </si>
  <si>
    <t>SPACE STATION ASTRONAUTS OFFER THEIR THOUGHTS ON THE NATION’S BIRTHDAY
Aboard the International Space Station, Expedition 63 Commander Chris Cassidy of NASA and NASA Flight Engineers Doug Hurley and Bob Behnken of NASA shared their thoughts about the 244th birthday of the United States in a downlink message received from the complex on June 19. Orbiting 260 miles above the Earth, the three American astronauts discussed the challenges facing the nation at this moment in history and the resolve of the nation in forging ahead with human exploration in the name of peaceful cooperation for the benefit of all humanity.</t>
  </si>
  <si>
    <t>zLGKYQ7FvUs</t>
  </si>
  <si>
    <t>2020 06 30</t>
  </si>
  <si>
    <t>https://youtu.be/o_jel2vWNAw</t>
  </si>
  <si>
    <t>Unity of Space   Down To Earth - S1 E14</t>
  </si>
  <si>
    <t>Russian cosmonaut Sergei Krikalev, who has logged over 800 days in space, shares his perspective on the power of humans working together in space in this episode of “Down to Earth – Unity of Space.” #SpaceStation20th</t>
  </si>
  <si>
    <t>o_jel2vWNAw</t>
  </si>
  <si>
    <t>2020 06 29</t>
  </si>
  <si>
    <t>https://youtu.be/JwgcByUyEyI</t>
  </si>
  <si>
    <t>Expedition 63 Solar Annual Eclipse - June 21, 2020</t>
  </si>
  <si>
    <t>Solar Annual Eclipse | Captured by Chris Cassidy on June 21, 2020
On June 21, 2020, NASA astronaut Chris Cassidy captures a solar annual eclipse in 4K from the International Space Station as it passes approximately 260 miles over China. The video’s speed has not been altered.</t>
  </si>
  <si>
    <t>JwgcByUyEyI</t>
  </si>
  <si>
    <t>2020 06 26</t>
  </si>
  <si>
    <t>https://youtu.be/uS9wZzJKauw</t>
  </si>
  <si>
    <t>Space to Ground  Channeling Energy  06 26 2020</t>
  </si>
  <si>
    <t>uS9wZzJKauw</t>
  </si>
  <si>
    <t>2020 06 24</t>
  </si>
  <si>
    <t>https://youtu.be/GiYD00U1qp0</t>
  </si>
  <si>
    <t>US Spacewalk %2366 Animation</t>
  </si>
  <si>
    <t>U.S. Spacewalk #66 Animation
NASA astronauts Chris Cassidy and Robert Behnken are scheduled to go outside the International Space Station (ISS) Friday, June 26, and Wednesday, July 1, for spacewalks to begin the replacement of batteries for one of the power channels on the orbiting laboratory. Cassidy, the commander of Expedition 63, and Behnken, who joined the crew May 31 after arriving aboard SpaceX’s Crew Dragon with NASA astronaut Douglas Hurley on NASA’s SpaceX Demo-2 test flight, will depart the Quest airlock for both spacewalks. The spacewalking astronauts will replace aging nickel-hydrogen batteries for one of two power channels on the far starboard truss (S6 Truss) of the station with new lithium-ion batteries that arrived to the station on a Japanese cargo ship last month. The battery replacement work is the culmination of power upgrade spacewalks that began in January 2017. Cassidy will be extravehicular crew member 1 for both spacewalks, wearing the spacesuit with red stripes, while Behnken will be extravehicular crew member 2, wearing the spacesuit with no stripes. It will be the seventh and eighth spacewalks for each astronaut. U.S. Spacewalk #66 is scheduled for July 1 and will be the 229th in support of space station assembly, maintenance and upgrades.</t>
  </si>
  <si>
    <t>GiYD00U1qp0</t>
  </si>
  <si>
    <t>https://youtu.be/EyM2t_MKbMI</t>
  </si>
  <si>
    <t>US Spacewalk %2365 Animation</t>
  </si>
  <si>
    <t>U.S. Spacewalk #65 Animation
NASA astronauts Chris Cassidy and Robert Behnken are scheduled to go outside the International Space Station (ISS) Friday, June 26, and Wednesday, July 1, for spacewalks to begin the replacement of batteries for one of the power channels on the orbiting laboratory. Cassidy, the commander of Expedition 63, and Behnken, who joined the crew May 31 after arriving aboard SpaceX’s Crew Dragon with NASA astronaut Douglas Hurley on NASA’s SpaceX Demo-2 test flight, will depart the Quest airlock for both spacewalks. The spacewalking astronauts will replace aging nickel-hydrogen batteries for one of two power channels on the far starboard truss (S6 Truss) of the station with new lithium-ion batteries that arrived to the station on a Japanese cargo ship last month. The battery replacement work is the culmination of power upgrade spacewalks that began in January 2017. Cassidy will be extravehicular crew member 1 for both spacewalks, wearing the spacesuit with red stripes, while Behnken will be extravehicular crew member 2, wearing the spacesuit with no stripes. It will be the seventh and eighth spacewalks for each astronaut. U.S. Spacewalk #65 is scheduled for June 26 and will be the 228th in support of space station assembly, maintenance and upgrades.</t>
  </si>
  <si>
    <t>EyM2t_MKbMI</t>
  </si>
  <si>
    <t>2020 06 19</t>
  </si>
  <si>
    <t>https://youtu.be/OiGlZu4uScE</t>
  </si>
  <si>
    <t>Space to Ground  Alpha Guys  06 19 2020</t>
  </si>
  <si>
    <t>OiGlZu4uScE</t>
  </si>
  <si>
    <t>2020 06 16</t>
  </si>
  <si>
    <t>https://youtu.be/Vs-q_u4qjJs</t>
  </si>
  <si>
    <t>The Fragile Earth   Down To Earth - S1 E13</t>
  </si>
  <si>
    <t>In celebration of the upcoming #SpaceStation20th anniversary, European Space Agency Astronaut Luca Parmitano, who has flown two missions, shares his new awareness of how we are changing and influencing our planet in this this episode of “Down to Earth – The Fragile Earth.” #SpaceStation20th</t>
  </si>
  <si>
    <t>Vs-q_u4qjJs</t>
  </si>
  <si>
    <t>2020 06 12</t>
  </si>
  <si>
    <t>https://youtu.be/9RMqi-163hE</t>
  </si>
  <si>
    <t>Space to Ground  The Storm Above  06 12 2020</t>
  </si>
  <si>
    <t>9RMqi-163hE</t>
  </si>
  <si>
    <t>2020 06 05</t>
  </si>
  <si>
    <t>https://youtu.be/-3xd5WjUtgc</t>
  </si>
  <si>
    <t>Space to Ground  A New Endeavour  06 05 2020</t>
  </si>
  <si>
    <t>-3xd5WjUtgc</t>
  </si>
  <si>
    <t>2020 05 29</t>
  </si>
  <si>
    <t>https://youtu.be/CAy22HV1D0M</t>
  </si>
  <si>
    <t>Space to Ground  Dawn of the Dragon  05 29 2020</t>
  </si>
  <si>
    <t>CAy22HV1D0M</t>
  </si>
  <si>
    <t>2020 05 28</t>
  </si>
  <si>
    <t>https://youtu.be/0eYWLIc2Vjk</t>
  </si>
  <si>
    <t>Some Space News</t>
  </si>
  <si>
    <t>Space Anchor Chris Cassidy is here to deliver Some Space News🌠
It’s a big week for the crew on the International Space Station! They’ve had some dynamic operations on Station, and there’s more to come with the awaited arrival of NASA Astronauts Doug Hurley and Bob Behnken on the SpaceX Crew Dragon vehicle. 
Stay tuned for more space news and watch #LaunchAmerica Saturday May 30 at 3:22pm ET!
__________________________
FOLLOW ASTRONAUT CHRIS CASSIDY
Instagram: https://www.instagram.com/astro_seal/
FOLLOW NASA ASTRONAUTS
Facebook: https://www.facebook.com/NASAAstronauts
Twitter: https://twitter.com/NASA_Astronauts
Instagram: https://www.instagram.com/nasaastronauts</t>
  </si>
  <si>
    <t>0eYWLIc2Vjk</t>
  </si>
  <si>
    <t>2020 05 26</t>
  </si>
  <si>
    <t>https://youtu.be/OIRX9sjTcgk</t>
  </si>
  <si>
    <t>Some Place Special   Down To Earth - S1 E12</t>
  </si>
  <si>
    <t>"It is heart-stopping, it is soul-pounding, it is breathtaking." In this episode of "Down to Earth - Some Place Special," NASA Astronaut and Flight Director TJ Creamer discusses the impact of viewing the Earth's natural wonders from space. #SpaceStation20th</t>
  </si>
  <si>
    <t>OIRX9sjTcgk</t>
  </si>
  <si>
    <t>2020 05 22</t>
  </si>
  <si>
    <t>https://youtu.be/oewIeat50EM</t>
  </si>
  <si>
    <t>This is Doug Hurley</t>
  </si>
  <si>
    <t>One of the astronauts who was on the last space shuttle mission almost nine years ago is about to fly again!  NASA astronaut Doug Hurley is commanding the first SpaceX Crew Dragon flight with astronauts on board.  Listen to him talk about the plans for this flight, his career as an astronaut and the keys to a successful spaceflight, and the immense team needed to make this flight a success.
HD Download: https://archive.org/details/jsc2020m000155_This_is_Doug_Hurley
_______________________________________
FOLLOW THE DOUG'S MISSION! 
Twitter: https://twitter.com/Astro_Doug
Instagram: https://www.instagram.com/astro.doug
FOLLOW THE SPACE STATION!
Twitter: https://twitter.com/Space_Station
Facebook: https://www.facebook.com/ISS
Instagram: https://instagram.com/iss/</t>
  </si>
  <si>
    <t>oewIeat50EM</t>
  </si>
  <si>
    <t>https://youtu.be/tIVtG4jsqEM</t>
  </si>
  <si>
    <t>This is Bob Behnken</t>
  </si>
  <si>
    <t>The first American astronauts to launch on an American rocket in almost nine years are about to make history, and this is your chance to learn who they are.  NASA astronaut Bob Behnken talks about his career as an astronaut, what he expects on launch day and the upcoming flight to the International Space Station, and how his Air Force background prepared him for this experience.
HD Download: https://archive.org/details/jsc2020m000154_This_is_Bob_Behnken
_______________________________________
FOLLOW THE BOB'S MISSION! 
Twitter: https://twitter.com/AstroBehnken 
FOLLOW THE SPACE STATION!
Twitter: https://twitter.com/Space_Station
Facebook: https://www.facebook.com/ISS
Instagram: https://instagram.com/iss/</t>
  </si>
  <si>
    <t>tIVtG4jsqEM</t>
  </si>
  <si>
    <t>https://youtu.be/on4uJ8C9ydg</t>
  </si>
  <si>
    <t>%23LaunchAmerica Boosts Space Station Science</t>
  </si>
  <si>
    <t>The International Space Station orbits more than 250 miles above the surface of our planet, offering the only platform for scientists to conduct long-duration research in microgravity. During its nearly 20 years of continuous occupation, the space station’s residents have conducted almost 3,000 experiments in many scientific fields, as well as technology demonstrations. NASA’s Commercial Crew Program is part of ongoing efforts to keep enough hands onboard to continue this legacy. Learn more: https://go.nasa.gov/2WQgu2p 
Learn more about the research being conducted on station: https://www.nasa.gov/iss-science 
Follow Twitter updates on the science conducted aboard the space station: https://twitter.com/iss_research</t>
  </si>
  <si>
    <t>on4uJ8C9ydg</t>
  </si>
  <si>
    <t>https://youtu.be/wL-11DBVB4g</t>
  </si>
  <si>
    <t>Space to Ground  Preparing for Launch  05 22 2020</t>
  </si>
  <si>
    <t>wL-11DBVB4g</t>
  </si>
  <si>
    <t>2020 05 21</t>
  </si>
  <si>
    <t>https://youtu.be/gu4o5KgnAQM</t>
  </si>
  <si>
    <t>Know Your Crew! With Bob Behnken and Doug Hurley</t>
  </si>
  <si>
    <t>The first astronauts ever to launch on a SpaceX rocket and crew vehicle have been training together for this flight for years, so you’d guess that they know each other pretty well.  See for yourself—NASA’s SpaceX Demo-2 astronauts, Doug Hurley and Bob Behnken, have fun answering questions about each other as they get set to make history.
HD Download: https://archive.org/details/jsc2020m000153_Know_Your_Crew_With_Bob_Behnken_and_Doug_Hurley
_______________________________________
FOLLOW THE CREW'S MISSION! 
Twitter: https://twitter.com/Astro_Doug
Twitter: https://twitter.com/AstroBehnken 
Instagram: https://www.instagram.com/astro.doug
FOLLOW THE SPACE STATION!
Twitter: https://twitter.com/Space_Station
Facebook: https://www.facebook.com/ISS
Instagram: https://instagram.com/iss/</t>
  </si>
  <si>
    <t>gu4o5KgnAQM</t>
  </si>
  <si>
    <t>2020 05 15</t>
  </si>
  <si>
    <t>https://youtu.be/y475KP7RUro</t>
  </si>
  <si>
    <t>Artemis  Inside the Latest Achievements – Episode 24</t>
  </si>
  <si>
    <t>NASA's Artemis program completed several milestones this quarter (Q1 2020) on its journey to take U.S. astronauts to the surface of the Moon. NASA's Orion spacecraft has completed a successful final test of the vehicle's Attitude Control Motor which steers and orients its launch-abort system. Inside Kennedy Space Center, launch control staff took part in multiple Firing Room Simulations to certify them for operations. Workers in Michoud Assembly Facility primed and prepped the Artemis II Liquid Oxygen Tank for post-proof testing whilst workers from the integrated recovery team conducted the 8th Underway Recovery Test of Orion for Artemis I. Take a look at all we've accomplished from testing our Orion spacecraft and building our Space Launch System rocket to graduating a new Artemis Generation class of astronauts and creating partnerships with private industry.
Download from images.nasa.gov:  https://images.nasa.gov/details-jsc2020m000142_Artemis_2020_Quarterly_1__ArtemisInsideTheLatestAchievements_Episode24_MP4</t>
  </si>
  <si>
    <t>y475KP7RUro</t>
  </si>
  <si>
    <t>https://youtu.be/Ku9av0g7v9U</t>
  </si>
  <si>
    <t>Space to Ground  Fanning the Flames  05 15 2020</t>
  </si>
  <si>
    <t>Ku9av0g7v9U</t>
  </si>
  <si>
    <t>2020 05 13</t>
  </si>
  <si>
    <t>https://youtu.be/i0OEF2cRa3E</t>
  </si>
  <si>
    <t>Astronaut Chris Cassidy Meets Astrobee</t>
  </si>
  <si>
    <t>It turns out that astronauts could use some help with their chores, just like many of us on Earth. Astrobee, a free-flying robotic system developed by researchers at NASA's Ames Research Center, will help astronauts reduce time they spend on routine duties, leaving them to focus more on the things that only humans can do. Current International Space Station Commander Chris Cassidy gives us a sneak peek into his workday with his “crewmates” - three robots named Honey, Queen and Bumble.
HD download link: https://archive.org/details/jsc2020m000144_Chris_Cassidy_Astrobee
_______________________________________
FOLLOW ASTRONAUT CHRIS CASSIDY
Instagram: https://www.instagram.com/astro_seal/
 FOLLOW NASA ASTRONAUTS
Facebook: https://www.facebook.com/NASAAstronauts
Twitter: https://twitter.com/NASA_Astronauts
Instagram: https://www.instagram.com/nasaastronauts
FOLLOW ISS RESEARCH
Twitter: https://twitter.com/ISS_Research
Learn more about Astrobee: https://www.nasa.gov/astrobee</t>
  </si>
  <si>
    <t>i0OEF2cRa3E</t>
  </si>
  <si>
    <t>2020 05 08</t>
  </si>
  <si>
    <t>https://youtu.be/52x2GMguPao</t>
  </si>
  <si>
    <t>Space to Ground  SLIME IN SPACE!!!  05 08 2020</t>
  </si>
  <si>
    <t>52x2GMguPao</t>
  </si>
  <si>
    <t>2020 05 05</t>
  </si>
  <si>
    <t>https://youtu.be/y_sAQdGprJM</t>
  </si>
  <si>
    <t>Cross-Cutting Computational Modeling Project</t>
  </si>
  <si>
    <t>y_sAQdGprJM</t>
  </si>
  <si>
    <t>2020 05 01</t>
  </si>
  <si>
    <t>https://youtu.be/iCyjTPLWbiU</t>
  </si>
  <si>
    <t>Space to Ground  Remote Science  05 01 2020</t>
  </si>
  <si>
    <t>iCyjTPLWbiU</t>
  </si>
  <si>
    <t>2020 04 24</t>
  </si>
  <si>
    <t>https://youtu.be/jUvMkgRX9rg</t>
  </si>
  <si>
    <t>Space to Ground  For the Earth  04 24 2020</t>
  </si>
  <si>
    <t>jUvMkgRX9rg</t>
  </si>
  <si>
    <t>2020 04 22</t>
  </si>
  <si>
    <t>https://youtu.be/oOxKJKyTJdU</t>
  </si>
  <si>
    <t>Celebrating Earth Day from Above   Down To Earth</t>
  </si>
  <si>
    <t>In celebration of Earth Day’s 50th Anniversary, hear NASA and International Astronauts recount their experiences of Earth during their time working and living on the International Space Station as it turns 20 years old this year. #SpaceStation20th  #EarthDay50th 
If you missed an episode of “Down to Earth”, watch other Astronauts describe their experiences in previous episodes of the series here. https://go.nasa.gov/2tkHsDf
#SpaceStation20th</t>
  </si>
  <si>
    <t>oOxKJKyTJdU</t>
  </si>
  <si>
    <t>2020 04 17</t>
  </si>
  <si>
    <t>https://youtu.be/A6fCa4ReHX4</t>
  </si>
  <si>
    <t xml:space="preserve">Commercial Crew Program  What's It All About </t>
  </si>
  <si>
    <t>NASA’s Commercial Crew Program is working with Boeing and SpaceX on launches to and from the International Space Station. Join NASA astronauts Suni Williams and Mike Hopkins as they explore the ins and outs of the Commercial Crew Program. This video will guide you through NASA’s partnerships with commercial companies and how these rockets will return American astronauts to launching from American soil for the first time since 2011. Learn about what will happen as the rocket heads toward the space station and how the crew capsule will safely return astronauts home. 
Be sure to visit https://www.nasa.gov/stem/ccp for more STEM educational resources to build on the excitement of the Commercial Crew launches with your students.
Commercial Crew Next Gen STEM through NASA’s Office of STEM Engagement offers a way for K-12 students to learn more about this exciting moment in American history through engineering design challenges, coding activity, digital badging, virtual reality and more.</t>
  </si>
  <si>
    <t>A6fCa4ReHX4</t>
  </si>
  <si>
    <t>https://youtu.be/chjWbQXAQPk</t>
  </si>
  <si>
    <t>Space to Ground  Adversity and Triumph  04 17 2020</t>
  </si>
  <si>
    <t>chjWbQXAQPk</t>
  </si>
  <si>
    <t>2020 04 16</t>
  </si>
  <si>
    <t>https://youtu.be/lQlYG8hOgAs</t>
  </si>
  <si>
    <t>Look Back at Earth with NASA Astronaut Andrew Morgan</t>
  </si>
  <si>
    <t>On Friday, April 6, 2020, NASA Astronaut Andrew Morgan began his day by taking a peaceful look back at our planet, out of the International Space Station’s cupola. The cupola serves as a place for astronauts to gaze back at Earth, and take photographs as a part of the Crew Earth Observations investigation. Images like the ones Morgan is taking here, can help us monitor how our planet is changing over time, and inform important scientific research. https://go.nasa.gov/2Vk48xC   
 HD download link: https://archive.org/details/jsc2020m000120_Look_Back_at_Earth-MXF
Learn more about the research being conducted on Station: https://www.nasa.gov/iss-science
Follow Twitter updates on the science conducted aboard the space station: https://twitter.com/iss_research</t>
  </si>
  <si>
    <t>lQlYG8hOgAs</t>
  </si>
  <si>
    <t>2020 04 10</t>
  </si>
  <si>
    <t>https://youtu.be/O36rX_J9MHQ</t>
  </si>
  <si>
    <t>Space to Ground  Departing Baikonur  04 10 2020</t>
  </si>
  <si>
    <t>O36rX_J9MHQ</t>
  </si>
  <si>
    <t>2020 04 09</t>
  </si>
  <si>
    <t>https://youtu.be/J5TFAuQI7U0</t>
  </si>
  <si>
    <t>Expedition 63 -Soyuz MS 16 Hatch Opening - April 9, 2020</t>
  </si>
  <si>
    <t>Expedition 63 Soyuz Commander Anatoly Ivanishin of Roscosmos and Flight Engineers Ivan Vagner of Roscosmos and Chris Cassidy of NASA arrived at the International Space Station April 9, docking their spacecraft to the Poisk module on the Russian segment of the complex. They completed the six-hour journey after launching earlier in the day in their Soyuz MS-16 spacecraft from the Baikonur Cosmodrome in Kazakhstan. A few hours after docking, Ivanishin, Vagner and Cassidy opened hatches between the spacecraft and were greeted by station Commander Oleg Skripochka of Roscosmos and Flight Engineers Jessica Meir and Andrew Morgan of NASA. As the hatches were opened, the families of the newly arrived crew members and American and Russian space officials viewed the activities from Baikonur and offered their congratulations to the newest residents of the outpost.</t>
  </si>
  <si>
    <t>J5TFAuQI7U0</t>
  </si>
  <si>
    <t>https://youtu.be/YUxU_F4xwFs</t>
  </si>
  <si>
    <t>Expedition 63 - Soyuz MS 16 Docking Coverage - April 9, 2020</t>
  </si>
  <si>
    <t>Expedition 63 Crew Arrives to the International Space Station 
Description: Expedition 63 Soyuz Commander Anatoly Ivanishin of Roscosmos and Flight Engineers Ivan Vagner of Roscosmos and Chris Cassidy of NASA arrived at the International Space Station April 9, docking their spacecraft to the Poisk module on the Russian segment of the complex. They completed the six-hour journey after launching earlier in the day in their Soyuz MS-16 spacecraft from the Baikonur Cosmodrome in Kazakhstan.</t>
  </si>
  <si>
    <t>YUxU_F4xwFs</t>
  </si>
  <si>
    <t>2020 04 08</t>
  </si>
  <si>
    <t>https://youtu.be/Xj9KASvck0E</t>
  </si>
  <si>
    <t>T - 60 Seconds with Chris Cassidy</t>
  </si>
  <si>
    <t>You’ve got to be pretty sharp to earn a bachelor’s degree in math at the Naval Academy and a master’s in ocean engineering from MIT.  Navy Captain Chris Cassidy did both, and served eleven years as a Navy SEAL (four overseas deployments) before becoming a NASA astronaut.  But you never really know someone, do you, until you know their favorite musical instrument and what they hope to be remembered for.  Cassidy sheds light on these things, and more, as the clock counts down to his next trip to space.
HD Link: https://archive.org/details/jsc2020m000100_T-60_Seconds_with_Chris_Cassidy
Follow Chris’ mission on Instagram: @astro_seal
_______________________________________
FOLLOW THE SPACE STATION!
Twitter: https://twitter.com/Space_Station
Facebook: https://www.facebook.com/ISS
Instagram: https://instagram.com/iss/</t>
  </si>
  <si>
    <t>Xj9KASvck0E</t>
  </si>
  <si>
    <t>2020 04 06</t>
  </si>
  <si>
    <t>https://youtu.be/6qCSSTYblHQ</t>
  </si>
  <si>
    <t>Astronaut Moments   Chris Cassidy</t>
  </si>
  <si>
    <t>Life on board the International Space Station may not be exactly what you’re imagining. But as he heads back for his third mission, astronaut Chris Cassidy says he’ll be savoring every minute of it.</t>
  </si>
  <si>
    <t>6qCSSTYblHQ</t>
  </si>
  <si>
    <t>2020 04 03</t>
  </si>
  <si>
    <t>https://youtu.be/0Sf3Z60QPGk</t>
  </si>
  <si>
    <t>Space to Ground  Bartolomeo  04 03 2020</t>
  </si>
  <si>
    <t>0Sf3Z60QPGk</t>
  </si>
  <si>
    <t>2020 03 27</t>
  </si>
  <si>
    <t>https://youtu.be/FSjM-XzSazU</t>
  </si>
  <si>
    <t>Astronaut Anne McClain’s Tips for Living in Close Quarters</t>
  </si>
  <si>
    <t>NASA astronaut Anne McClain spent 204 days living on the International Space Station and shares her tips for living in close quarters with only a few other people. She shares what human behaviors create a healthy culture for living and working remotely in small groups. Read her advice at: https://www.nasa.gov/feature/an-astronaut-s-tips-for-living-in-space-or-anywhere
Learn more about how NASA helps prepare astronauts for the social isolation they will experience: https://www.nasa.gov/hrp/social-isolation</t>
  </si>
  <si>
    <t>FSjM-XzSazU</t>
  </si>
  <si>
    <t>https://youtu.be/LWhAkLPlSnU</t>
  </si>
  <si>
    <t>Space to Ground  Embracing Self Isolation  03 27 2020</t>
  </si>
  <si>
    <t>LWhAkLPlSnU</t>
  </si>
  <si>
    <t>2020 03 26</t>
  </si>
  <si>
    <t>https://youtu.be/qWCPGFe6DDk</t>
  </si>
  <si>
    <t>Artemis I  System Testing and Moving-Episode 23</t>
  </si>
  <si>
    <t>Across America and in Europe, teams are building, moving, and testing the spacecraft, rocket, and launch systems that will send humans to deep space destinations through the Artemis Program. NASA’s Orion, Space Launch System (SLS), and Exploration Ground Systems (EGS) programs are continuing work on one of the most sophisticated space system ever built in support of Artemis I. Artemis I will be the first in a series of increasingly complex missions in the Artemis Program, which will land astronauts on the surface of the Moon in 2024.
Some major recent milestones include: Orion – Lift from Final Assembly and System Testing (FAST) Cell at Kennedy Space Center, FL; Command and Service Module Load onto Super Guppy at Kennedy Space Center, FL; Command and Service Module Arrival at Plum Brook Station, OH; Command and Service Module Testing at Plum Brook Station, OH. SLS – Core Stage Roll Out at Michoud Assembly Facility, LA; Core Stage Arrival and Lift to Test Stand at Stennis Space Center, MS. EGS – Core Stage Pathfinder Lift in Vehicle Assembly Building at Kennedy Space Center, FL; Mobile Launcher Arm Swing Test at Kennedy Space Center, FL; Mobile Launcher Roll Back to Vehicle Assembly Building at Kennedy Space Center, FL.
Jsc2020m000102</t>
  </si>
  <si>
    <t>qWCPGFe6DDk</t>
  </si>
  <si>
    <t>2020 03 24</t>
  </si>
  <si>
    <t>https://youtu.be/L-TpUyfxHiY</t>
  </si>
  <si>
    <t>Shining Oasis   Down To Earth - S1 E11</t>
  </si>
  <si>
    <t>In this episode of “Down to Earth - Shining Oasis,” David Saint-Jacques of the Canadian Space Agency recalls the first time he caught a glimpse of the Earth from the Soyuz capsule on his way to the space station. #SpaceStation20th</t>
  </si>
  <si>
    <t>L-TpUyfxHiY</t>
  </si>
  <si>
    <t>2020 03 20</t>
  </si>
  <si>
    <t>https://youtu.be/a0S4Th3FrhI</t>
  </si>
  <si>
    <t>Space to Ground  In Times of Adversity  03 20 2020</t>
  </si>
  <si>
    <t>a0S4Th3FrhI</t>
  </si>
  <si>
    <t>2020 03 13</t>
  </si>
  <si>
    <t>https://youtu.be/m5tbJ7GvaVQ</t>
  </si>
  <si>
    <t>Space to Ground  20x  03 13 2020</t>
  </si>
  <si>
    <t>m5tbJ7GvaVQ</t>
  </si>
  <si>
    <t>2020 03 10</t>
  </si>
  <si>
    <t>https://youtu.be/6DR2_VnyinM</t>
  </si>
  <si>
    <t>Tip Of The Iceberg   Down To Earth - S1 E10</t>
  </si>
  <si>
    <t>In this episode of “Down to Earth – Tip of the Iceberg,“ NASA astronaut Nick Hague shares how his time living and working in space changed his perception of life back on Earth. #SpaceStation20th</t>
  </si>
  <si>
    <t>6DR2_VnyinM</t>
  </si>
  <si>
    <t>2020 03 06</t>
  </si>
  <si>
    <t>https://youtu.be/TlGBVqbZbBY</t>
  </si>
  <si>
    <t>Space to Ground  Making Space  03 06 2020</t>
  </si>
  <si>
    <t>TlGBVqbZbBY</t>
  </si>
  <si>
    <t>2020 02 28</t>
  </si>
  <si>
    <t>https://youtu.be/I9f39S9wgB0</t>
  </si>
  <si>
    <t>Space to Ground  Investigating Bone Loss  02 28 2020</t>
  </si>
  <si>
    <t>I9f39S9wgB0</t>
  </si>
  <si>
    <t>https://youtu.be/bYJMJGaf2f8</t>
  </si>
  <si>
    <t>Jessica Meir  The Nature Of Exploration</t>
  </si>
  <si>
    <t>Biologist Jessica Meir’s journey of discovery started before she became an astronaut on the International Space Station.  Join her as she goes under the Antarctic Ocean to investigate the diving behavior of emperor penguins, studies how bar-headed geese can fly over the Himalayas, and now explores human physiology as a test subject for experiments seeking to learn how the human body responds to the absence of gravity.
 For more science in space, visit www.nasa.gov/stemonstation</t>
  </si>
  <si>
    <t>bYJMJGaf2f8</t>
  </si>
  <si>
    <t>2020 02 26</t>
  </si>
  <si>
    <t>https://youtu.be/vhwbxAmOZzg</t>
  </si>
  <si>
    <t>Fired Up! Final Test of Orion Motor Critical to Astronaut Safety a Spectacular Success</t>
  </si>
  <si>
    <t>On Tuesday, engineers at Northrop Grumman’s facility in Elkton, Maryland successfully conducted the third and final test of the attitude control motor (ACM) that provides steering for the Launch Abort System (LAS) on NASA’s Orion spacecraft, qualifying the motor for Artemis II, Orion’s first mission with astronauts. The LAS, consisting of three solid rocket motors, is designed to carry crew to safety in the event of an emergency during launch or ascent atop the agency’s Space Launch System rocket. During the 30-second test, eight high pressure valves directed more than 7,000 pounds of thrust in multiple directions while firing at freezing conditions. All three motors on the LAS will be qualified for crewed flights ahead of Artemis II, another step that brings NASA closer to sending the first woman and next man to the Moon by 2024.</t>
  </si>
  <si>
    <t>vhwbxAmOZzg</t>
  </si>
  <si>
    <t>2020 02 25</t>
  </si>
  <si>
    <t>https://youtu.be/BdpTS6l_AAs</t>
  </si>
  <si>
    <t>A Work of Art   Down To Earth - S1 E9</t>
  </si>
  <si>
    <t>oIn this episode of “Down to Earth – A Work of Art,“ former NASA astronaut Nicole Stott recalls seeing home below during her time aboard the station. Stott explains how she experienced a shift in worldview known as “the Overview Effect,” a term coined by space philosopher Frank White. #SpaceStation20th</t>
  </si>
  <si>
    <t>BdpTS6l_AAs</t>
  </si>
  <si>
    <t>2020 02 21</t>
  </si>
  <si>
    <t>https://youtu.be/E5sEcxiRPEQ</t>
  </si>
  <si>
    <t>Space to Ground  Liftoff from Virginia  02 21 2020</t>
  </si>
  <si>
    <t>E5sEcxiRPEQ</t>
  </si>
  <si>
    <t>2020 02 14</t>
  </si>
  <si>
    <t>https://youtu.be/o-iHIGLsDY4</t>
  </si>
  <si>
    <t>Space to Ground  Trailblazer  02 14 2020</t>
  </si>
  <si>
    <t>o-iHIGLsDY4</t>
  </si>
  <si>
    <t>2020 02 11</t>
  </si>
  <si>
    <t>https://youtu.be/OR8rzsZCrNg</t>
  </si>
  <si>
    <t>Enjoy the View   Down To Earth - S1 E8</t>
  </si>
  <si>
    <t>In this episode of “Down to Earth – Enjoy the View,” NASA astronaut Mike Foreman shares how his perception of Earth changed during his time in space. He explains a shift in his worldview known as “the Overview Effect,” a term coined by space philosopher Frank White. #SpaceStation20th
jsc2020m000080</t>
  </si>
  <si>
    <t>OR8rzsZCrNg</t>
  </si>
  <si>
    <t>2020 02 07</t>
  </si>
  <si>
    <t>https://youtu.be/_a23CmZgIp8</t>
  </si>
  <si>
    <t>Space to Ground  Record Breaking  02 07 2020</t>
  </si>
  <si>
    <t>_a23CmZgIp8</t>
  </si>
  <si>
    <t>2020 02 06</t>
  </si>
  <si>
    <t>https://youtu.be/TebdIPAZ2WM</t>
  </si>
  <si>
    <t>Advice on Returning to Earth for Astronaut Christina Koch from Scott Kelly</t>
  </si>
  <si>
    <t>After 328 days in space, NASA astronaut Christina Koch has returned to Earth, now holding the record for longest single spaceflight by a woman. Former NASA astronaut Scott Kelly, who holds the record for longest single mission by an American astronaut at 340 days in space, offers his advice on getting used to life back on Earth.
HD Download: https://archive.org/details/jsc2020m000073_Advice_on_Returning_to_Earth_for_Koch_from_Scott_Kelly_2
_______________________________________
FOLLOW THE SPACE STATION!
Twitter: https://twitter.com/Space_Station
Facebook: https://www.facebook.com/ISS
Instagram: https://instagram.com/iss</t>
  </si>
  <si>
    <t>TebdIPAZ2WM</t>
  </si>
  <si>
    <t>https://youtu.be/NTEImgloGZg</t>
  </si>
  <si>
    <t>Christina Koch’s Memorable Moments  Part 5</t>
  </si>
  <si>
    <t>328 days—nearly 47 full weeks in space—is the new record for the longest single spaceflight ever by a female astronaut or cosmonaut, set today by NASA astronaut Christina Koch as she completed her mission with a Soyuz landing in Kazakhstan.  Koch talks about some of her cherished memories from a journey that has her now ranked seventh among NASA astronauts for cumulative time spent in space.
HD Download: https://archive.org/details/jsc2020m000060_Kochs_Memorable_Moments_Part_5
_______________________________________
FOLLOW THE SPACE STATION!
Twitter: https://twitter.com/Space_Station
Facebook: https://www.facebook.com/ISS
Instagram: https://instagram.com/iss</t>
  </si>
  <si>
    <t>NTEImgloGZg</t>
  </si>
  <si>
    <t>2020 02 03</t>
  </si>
  <si>
    <t>https://youtu.be/mYEHGISJRYE</t>
  </si>
  <si>
    <t>Christina Koch - Space Station Scientist</t>
  </si>
  <si>
    <t>After almost a year in space, NASA astronaut Christina Koch is coming home. When Koch returns to Earth, she will have lived in space for 328 days, setting the record for the longest single spaceflight by a woman. During this record-setting mission, Koch spent many of her hours on science activities aboard the space station and wore many hats: farmer, biologist, physicist, engineer, test subject and many more.
Learn more about the research being conducted on Station: https://www.nasa.gov/iss-science
Follow Twitter updates on the science conducted aboard the space 
station: https://twitter.com/iss_research</t>
  </si>
  <si>
    <t>mYEHGISJRYE</t>
  </si>
  <si>
    <t>2020 01 31</t>
  </si>
  <si>
    <t>https://youtu.be/GKprm3whh6U</t>
  </si>
  <si>
    <t>Christina Koch’s Memorable Moments  Part 4</t>
  </si>
  <si>
    <t>The longest-ever single spaceflight by a female astronaut is now 322 days long, and still counting!  Today NASA astronaut Christina Koch moved past her colleague Suni Williams into seventh place for most time spent in space among all American astronauts.  With less than a week to go, Koch recalls the biggest surprise of the mission and the most memorable item she received on a cargo flight.
HD Download: https://archive.org/details/jsc2020m000059_Kochs_Memorable_Moments_Part _4
_______________________________________
FOLLOW THE SPACE STATION!
Twitter: https://twitter.com/Space_Station
Facebook: https://www.facebook.com/ISS
Instagram: https://instagram.com/iss</t>
  </si>
  <si>
    <t>GKprm3whh6U</t>
  </si>
  <si>
    <t>https://youtu.be/jdfC5S7P4OY</t>
  </si>
  <si>
    <t>Space to Ground  Luca's Record  01 31 2020</t>
  </si>
  <si>
    <t>jdfC5S7P4OY</t>
  </si>
  <si>
    <t>2020 01 28</t>
  </si>
  <si>
    <t>https://youtu.be/QKXC6BuxbqA</t>
  </si>
  <si>
    <t>Black Velvet of Space   Down To Earth - S1 E7</t>
  </si>
  <si>
    <t>In honor of the space station 20th anniversary, NASA Astronaut Bill McArthur shares his experience living and working in space aboard the International Space Station in this episode of “Down to Earth – Black Velvet of Space.” As he describes it, he experienced a shift in his worldview known as “the Overview Effect,” a term coined by space philosopher Frank White.</t>
  </si>
  <si>
    <t>QKXC6BuxbqA</t>
  </si>
  <si>
    <t>2020 01 24</t>
  </si>
  <si>
    <t>https://youtu.be/M6Olv_6d6UI</t>
  </si>
  <si>
    <t>Space to Ground  Upgrading the Station  01 24 2020</t>
  </si>
  <si>
    <t>M6Olv_6d6UI</t>
  </si>
  <si>
    <t>2020 01 23</t>
  </si>
  <si>
    <t>https://youtu.be/B_g7kkta0L4</t>
  </si>
  <si>
    <t>Christina Koch’s Memorable Moments  Part 3</t>
  </si>
  <si>
    <t>The longest-ever single spaceflight by a female astronaut has reached 314 days (and counting), and during that time NASA astronaut Christina Koch has completed six spacewalks.  Of all the memorable moments on this mission to the International Space Station, Koch has a soft spot for a few from her time spent outside the station.
HD Download: 
https://archive.org/details/jsc2020m000058_Kochs_Memorable_Moments_Part_3
_______________________________________
FOLLOW THE SPACE STATION!
Twitter: https://twitter.com/Space_Station
Facebook: https://www.facebook.com/ISS
Instagram: https://instagram.com/iss</t>
  </si>
  <si>
    <t>B_g7kkta0L4</t>
  </si>
  <si>
    <t>2020 01 21</t>
  </si>
  <si>
    <t>https://youtu.be/O62LPeJwhRg</t>
  </si>
  <si>
    <t>Train Like An Astronaut  Kelly Marie Tran and Naomi Ackie</t>
  </si>
  <si>
    <t>On December 11th, 2019, Kelly Marie Tran and Naomi Ackie from the film Star Wars: The Rise of Skywalker spent the day at NASA’s Johnson Space Center training like astronauts and learning about NASA’s plans to explore the Moon with the new Artemis program, which includes landing the first woman and next man on the lunar surface by 2024. Follow Tran and 
Ackie – used to traveling through galaxies far, far away – through their training with NASA astronauts Meghan McArthur and Jessica Watkins on a gravity offload system, in the Orion crew capsule, an exploration rover, and much more!
Music from Star Wars: The Rise of Skywalker featured tracks include: Main FanFare, The Rise of Skywalker, and The Finale composed by John Williams.</t>
  </si>
  <si>
    <t>O62LPeJwhRg</t>
  </si>
  <si>
    <t>2020 01 17</t>
  </si>
  <si>
    <t>https://youtu.be/isH8Sk_lNr4</t>
  </si>
  <si>
    <t>Space to Ground  Final Test  01 17 2020</t>
  </si>
  <si>
    <t>isH8Sk_lNr4</t>
  </si>
  <si>
    <t>2020 01 15</t>
  </si>
  <si>
    <t>https://youtu.be/54zBlM0pwKo</t>
  </si>
  <si>
    <t>Christina Koch’s Memorable Moments  Part 2</t>
  </si>
  <si>
    <t>The longest single spaceflight ever by a female astronaut or cosmonaut is now 306 days long, with more to come.  On top of adding to her total spaceflight time, NASA astronaut Christina Koch looks back over her long mission and recalls some favorite moments, including her favorite meal and most memorable view from orbit.
HD Download: https://archive.org/details/jsc2020m000056_Kochs_Memorable_Moments_Part_2
_______________________________________
FOLLOW THE SPACE STATION!
Twitter: https://twitter.com/Space_Station
Facebook: https://www.facebook.com/ISS
Instagram: https://instagram.com/iss</t>
  </si>
  <si>
    <t>54zBlM0pwKo</t>
  </si>
  <si>
    <t>2020 01 14</t>
  </si>
  <si>
    <t>https://youtu.be/MU9vyZ6j-Us</t>
  </si>
  <si>
    <t>Ever Changing Picture   Down To Earth - S1 E6</t>
  </si>
  <si>
    <t>As we enter the year the space station 20th anniversary, NASA astronaut Tracy Caldwell Dyson shares what stood out to her most about seeing Earth from orbit in this episode of “Down to Earth – Ever Changing Picture." The shift in worldview is inspired by space philosopher Frank White.</t>
  </si>
  <si>
    <t>MU9vyZ6j-Us</t>
  </si>
  <si>
    <t>2020 01 10</t>
  </si>
  <si>
    <t>https://youtu.be/lo30ykoaogI</t>
  </si>
  <si>
    <t>Space to Ground  Descending Dragon  01 10 2020</t>
  </si>
  <si>
    <t>lo30ykoaogI</t>
  </si>
  <si>
    <t>2020 01 09</t>
  </si>
  <si>
    <t>https://youtu.be/AoAsHqAQNOQ</t>
  </si>
  <si>
    <t>Christina Koch’s Memorable Moments  Part 1</t>
  </si>
  <si>
    <t>NASA astronaut Christina Koch’s record for the longest single spaceflight ever by a female astronaut or cosmonaut has reached a new milestone: today, it’s been 300 days (and still counting) since her launch on March 14, 2019!  She’s racked up quite a few favorite moments so far—check out two of her most memorable.
HD Download:
https://archive.org/details/jsc2020m000003_Kochs_Memorable_Moments_Part_1
_______________________________________
FOLLOW THE SPACE STATION!
Twitter: https://twitter.com/Space_Station
Facebook: https://www.facebook.com/ISS
Instagram: https://instagram.com/iss</t>
  </si>
  <si>
    <t>AoAsHqAQNOQ</t>
  </si>
  <si>
    <t>https://youtu.be/8c0EW105TRw</t>
  </si>
  <si>
    <t>Christina Koch Congratulatory – NC State University and NC School of Science and Mathematics</t>
  </si>
  <si>
    <t>Students and teachers from the North Carolina School of Science and Mathematics and North Carolina State University, Christina Koch’s high school and college, are saying #CongratsChristina today as she celebrates her 300th day in space.</t>
  </si>
  <si>
    <t>8c0EW105TRw</t>
  </si>
  <si>
    <t>2019 12 31</t>
  </si>
  <si>
    <t>https://youtu.be/Z28gK3zy6dg</t>
  </si>
  <si>
    <t>Out of the Bubble   Down To Earth - S1 E5</t>
  </si>
  <si>
    <t>As we continue to celebrate the space station 20th anniversary, NASA astronaut Karen Nyberg shares what it was like to see the Earth from above during her two spaceflights in this episode of “Down to Earth – Out of the Bubble.” As she describes it, she experienced a shift in her worldview known as “the Overview Effect,” a term coined by space philosopher Frank White.</t>
  </si>
  <si>
    <t>Z28gK3zy6dg</t>
  </si>
  <si>
    <t>https://youtu.be/Xoz9we1KtMQ</t>
  </si>
  <si>
    <t>2019 Space Station Science in Pictures</t>
  </si>
  <si>
    <t>It has been a busy year of science aboard the International Space Station. In November, we kicked off the 20th year of continuous human presence aboard the space station, which so far has hosted 239 people and more than 2,700 science experiments. During the past year, research has ranged from growing leafy greens in microgravity to analyzing mining microbes to testing out autonomous robots. This research is benefiting people on Earth while helping prepare us to go forward to the Moon in 2024, and then on to Mars. Learn more: https://go.nasa.gov/36pXycY
Learn more about the research being conducted on Station: https://www.nasa.gov/iss-science
Follow Twitter updates on the science conducted aboard the space station: https://twitter.com/iss_research</t>
  </si>
  <si>
    <t>Xoz9we1KtMQ</t>
  </si>
  <si>
    <t>2019 12 28</t>
  </si>
  <si>
    <t>https://youtu.be/pQg2_5248bU</t>
  </si>
  <si>
    <t>Christina Koch Congratulations from Students - December 28, 2019</t>
  </si>
  <si>
    <t>Students and teachers from The North Carolina School of Science and Mathematics (NCSSM) and North Carolina State University, astronaut Christina Koch's high school and college, are saying #CongratsChristina today as she sets a new record for the longest single spaceflight by a woman.</t>
  </si>
  <si>
    <t>pQg2_5248bU</t>
  </si>
  <si>
    <t>https://youtu.be/o4csKVXsPn4</t>
  </si>
  <si>
    <t>Christina Koch Congratulatory Message – Naomi Ackie and Kelly Marie Tran</t>
  </si>
  <si>
    <t>NASA astronaut Christina Koch now has a new place in the record book, for the longest single spaceflight ever by a female astronaut or cosmonaut: 228 days as of December 28, and still counting.  She’s getting congratulations from Naomi Ackie and Kelly Marie Tran, two women who went to space “a long time ago in a galaxy far, far away!”
HD Download: https://archive.org/details/jsc2019m001186_Christina_Koch_Congratulatory_Messages
_______________________________________
FOLLOW THE SPACE STATION!
Twitter: https://twitter.com/Space_Station
Facebook: https://www.facebook.com/ISS
Instagram: https://instagram.com/iss</t>
  </si>
  <si>
    <t>o4csKVXsPn4</t>
  </si>
  <si>
    <t>https://youtu.be/bEl8xWsDcqM</t>
  </si>
  <si>
    <t>Christina Koch Congratulatory Message – Patricia Cornwell</t>
  </si>
  <si>
    <t>NASA astronaut Christina Koch now has a new place in the record book, for the longest single spaceflight ever by a female astronaut or cosmonaut: 228 days as of December 28.  Another record-breaker, author Patricia Cornwell, shares her well wishes for Christina, who adds a new number to her record each day!
HD Download: https://archive.org/details/jsc2019m001186_Christina_Koch_Congratulatory_Messages
_______________________________________
FOLLOW THE SPACE STATION!
Twitter: https://twitter.com/Space_Station
Facebook: https://www.facebook.com/ISS
Instagram: https://instagram.com/iss</t>
  </si>
  <si>
    <t>bEl8xWsDcqM</t>
  </si>
  <si>
    <t>https://youtu.be/L2WQR8zMWdI</t>
  </si>
  <si>
    <t>Christina Koch Congratulatory Message – Peggy Whitson</t>
  </si>
  <si>
    <t>NASA astronaut Christina Koch now has a new place in the record book, for the longest single spaceflight ever by a female astronaut or cosmonaut: 228 days as of December 28, and still counting.  Take a look as the previous record-holder, former astronaut Peggy Whitson, sends her congratulations!
HD Download: https://archive.org/details/jsc2019m001186_Christina_Koch_Congratulatory_Messages
_______________________________________
FOLLOW THE SPACE STATION!
Twitter: https://twitter.com/Space_Station
Facebook: https://www.facebook.com/ISS
Instagram: https://instagram.com/iss</t>
  </si>
  <si>
    <t>L2WQR8zMWdI</t>
  </si>
  <si>
    <t>2019 12 27</t>
  </si>
  <si>
    <t>https://youtu.be/4mNM492UlR8</t>
  </si>
  <si>
    <t>Space to Ground  Seeing 2020  12 27 2019</t>
  </si>
  <si>
    <t>4mNM492UlR8</t>
  </si>
  <si>
    <t>2019 12 23</t>
  </si>
  <si>
    <t>https://youtu.be/3rn3-Mw9_TI</t>
  </si>
  <si>
    <t>Expedition 61 Christmas Message</t>
  </si>
  <si>
    <t>Although the astronauts aboard the International Space Station are spending the holidays apart from their families, they have the holiday spirit — and more than just a few of the most important festive supplies. Commander Luca Parmitano and NASA astronauts Christina Koch, Drew Morgan and Jessica Meir share their message for the holidays wrapping up 2019.
HD Download: https://archive.org/details/jsc2019m001205_Expedition_61_Christmas_Message</t>
  </si>
  <si>
    <t>3rn3-Mw9_TI</t>
  </si>
  <si>
    <t>2019 12 17</t>
  </si>
  <si>
    <t>https://youtu.be/FI9w95ezn4k</t>
  </si>
  <si>
    <t>Swimming in the Universe   Down To Earth - S1 E4</t>
  </si>
  <si>
    <t>In anticipation of the space station 20th anniversary, NASA astronaut Mike Fossum shares how he experienced the universe differently during his time in low-Earth orbit in this episode of “Down to Earth – Swimming in the Universe.” This shift is known as "the Overview Effect," a term coined by space philosopher Frank White.</t>
  </si>
  <si>
    <t>FI9w95ezn4k</t>
  </si>
  <si>
    <t>2019 12 16</t>
  </si>
  <si>
    <t>https://youtu.be/Z-hJM3tFP30</t>
  </si>
  <si>
    <t>2019 Johnson Space Center Year in Review</t>
  </si>
  <si>
    <t>Z-hJM3tFP30</t>
  </si>
  <si>
    <t>2019 12 13</t>
  </si>
  <si>
    <t>https://youtu.be/cE4XMWkPwjw</t>
  </si>
  <si>
    <t>Space to Ground  Holiday Traffic  12 13 2019</t>
  </si>
  <si>
    <t>cE4XMWkPwjw</t>
  </si>
  <si>
    <t>2019 12 06</t>
  </si>
  <si>
    <t>https://youtu.be/eO7BfiPvN38</t>
  </si>
  <si>
    <t>Space to Ground  Round Three  12 6 2019</t>
  </si>
  <si>
    <t>eO7BfiPvN38</t>
  </si>
  <si>
    <t>2019 12 03</t>
  </si>
  <si>
    <t>https://youtu.be/J_LNuLnjjpo</t>
  </si>
  <si>
    <t>What Else is Out There      Down To Earth - S1 E3</t>
  </si>
  <si>
    <t>o One year ago today, NASA astronaut Anne McClain launched on her first spaceflight to the International Space Station. In this episode of “Down to Earth – What Else is Out There?” Anne recalls her first spacewalk and how it changed her perception of Earth. The shift in worldview is inspired by space philosopher Frank White. #SpaceStation20th</t>
  </si>
  <si>
    <t>J_LNuLnjjpo</t>
  </si>
  <si>
    <t>2019 11 29</t>
  </si>
  <si>
    <t>https://youtu.be/eJOIFi_icTI</t>
  </si>
  <si>
    <t>Space to Ground  Keeping it Cool  11 29 2019</t>
  </si>
  <si>
    <t>eJOIFi_icTI</t>
  </si>
  <si>
    <t>2019 11 28</t>
  </si>
  <si>
    <t>https://youtu.be/6OJCv8A7F7o</t>
  </si>
  <si>
    <t>NASA Astronauts Read Fan Mail</t>
  </si>
  <si>
    <t>We’re thankful for YOU! In the spirit of Thanksgiving, our astronauts took time to answer some great questions from fan mail they received. Find out what it’s like to be an astronaut and travel to space. 
Happy Thanksgiving to all, and keep sending us your fan mail!
FOLLOW NASA ASTRONAUTS!
Facebook: https://www.facebook.com/NASAAstronauts/
Twitter: https://twitter.com/NASA_Astronauts
Instagram: https://www.instagram.com/nasaastronauts/
Special thank you to the following astronauts for sharing their favorite letters and answering questions: Chris Cassidy, Jeanette Epps, Nick Hague, Zena Cardman, Tracy Caldwell Dyson, and Reid Wiseman.</t>
  </si>
  <si>
    <t>6OJCv8A7F7o</t>
  </si>
  <si>
    <t>2019 11 25</t>
  </si>
  <si>
    <t>https://youtu.be/Us0rYH_i_LQ</t>
  </si>
  <si>
    <t>Expedition 61 Thanksgiving Message</t>
  </si>
  <si>
    <t>Right now, half of the crew members on board the International Space Station are American astronauts who are getting ready to celebrate Thanksgiving, and they have a message for us. Check in with NASA’s Christina Koch, Jessica Meir and Andrew Morgan, to learn more about what the holiday means to them and get a look at what Thanksgiving in space will be like in 2019.
HD Download: https://archive.org/details/jsc2019m001091_Expedition_61_Thanksgiving_Message
_______________________________________
FOLLOW THE SPACE STATION!
Twitter: https://twitter.com/Space_Station
Facebook: https://www.facebook.com/ISS
Instagram: https://instagram.com/iss/</t>
  </si>
  <si>
    <t>Us0rYH_i_LQ</t>
  </si>
  <si>
    <t>2019 11 22</t>
  </si>
  <si>
    <t>https://youtu.be/WAnlxR50Uu4</t>
  </si>
  <si>
    <t>Space to Ground  On A Roll  11 22 2019</t>
  </si>
  <si>
    <t>WAnlxR50Uu4</t>
  </si>
  <si>
    <t>2019 11 20</t>
  </si>
  <si>
    <t>https://youtu.be/mGwANxGbM64</t>
  </si>
  <si>
    <t>Science Launching On SpaceX CRS 19</t>
  </si>
  <si>
    <t>The 19th SpaceX Commercial Resupply Services (CRS-19) contract mission for NASA carries a variety of cutting-edge scientific experiments to the International Space Station. Learn more about some of the scientific investigations riding on Dragon to the orbiting laboratory on CRS-19: https://go.nasa.gov/2qZGYBd 
Learn more about the research being conducted on Station: https://www.nasa.gov/iss-science 
Follow Twitter updates on the science conducted aboard the space station: 
https://twitter.com/iss_research</t>
  </si>
  <si>
    <t>mGwANxGbM64</t>
  </si>
  <si>
    <t>2019 11 19</t>
  </si>
  <si>
    <t>https://youtu.be/w8za0FFO8O0</t>
  </si>
  <si>
    <t>A Giant Astronomical Machine   Down To Earth - S1 E2</t>
  </si>
  <si>
    <t>As we celebrate the space station 20th anniversary, NASA astronaut Don Pettit explains how his perception of the Earth changed during his time aboard the space station.</t>
  </si>
  <si>
    <t>w8za0FFO8O0</t>
  </si>
  <si>
    <t>2019 11 15</t>
  </si>
  <si>
    <t>https://youtu.be/bln6Q08PC_Q</t>
  </si>
  <si>
    <t>Space to Ground  Cosmic Repairs  11 15 2019</t>
  </si>
  <si>
    <t>bln6Q08PC_Q</t>
  </si>
  <si>
    <t>2019 11 14</t>
  </si>
  <si>
    <t>https://youtu.be/O-JSEVMEYGE</t>
  </si>
  <si>
    <t>Suiting Up for a Spacewalk</t>
  </si>
  <si>
    <t>On Friday International Space Station commander Luca Parmitano of ESA (European Space Agency) and NASA’s Andrew Morgan start a series of spacewalks to upgrade the cooling system on the Alpha Magnetic Spectrometer.  Each of those spacewalk days will start with the lengthy process of getting into the spacesuits that support them as they float in the vacuum of space.  Want to see what that looks like?  Here’s an accelerated view of the process, taken from an October 2019 spacewalk in which Parmitano helped Morgan and astronaut Christina Koch get ready for their spacewalk.
HD Download: https://archive.org/details/jsc2019m000990_Suiting_Up_for_a_Spacewalk
_______________________________________
FOLLOW THE SPACE STATION!
Twitter: https://twitter.com/Space_Station
Facebook: https://www.facebook.com/ISS
Instagram: https://instagram.com/iss/</t>
  </si>
  <si>
    <t>O-JSEVMEYGE</t>
  </si>
  <si>
    <t>2019 11 08</t>
  </si>
  <si>
    <t>https://youtu.be/EI1_rLqL3sM</t>
  </si>
  <si>
    <t>Students Supporting Spacewalks</t>
  </si>
  <si>
    <t>Did you know undergrad students are contributing to NASA missions? Check out the MicrogNExT Lone Star College-Cy Fair team’s contribution to International Space Station spacewalks! Learn how you – the Artemis generation -- can contribute to NASA’s mission by visiting stem.nasa.gov/artemis
HD download link: https://archive.org/details/jsc2019m001008_Students_Supporting_Spacewalks</t>
  </si>
  <si>
    <t>EI1_rLqL3sM</t>
  </si>
  <si>
    <t>https://youtu.be/8CI9GcMUWog</t>
  </si>
  <si>
    <t>Space to Ground  Record-Breaking Delivery  11 08 2019</t>
  </si>
  <si>
    <t>8CI9GcMUWog</t>
  </si>
  <si>
    <t>2019 11 04</t>
  </si>
  <si>
    <t>https://youtu.be/zJytmFaypIk</t>
  </si>
  <si>
    <t>It's Alive   Down To Earth - S1 E1</t>
  </si>
  <si>
    <t>"I never imagined in my entire life getting to see something that beautiful." In this episode of “Down to Earth – It’s Alive,” NASA Astronaut Reid Wiseman explains how seeing Earth from space compared to his expectations during his time aboard the space station. 
#SpaceStation20th</t>
  </si>
  <si>
    <t>zJytmFaypIk</t>
  </si>
  <si>
    <t>2019 11 01</t>
  </si>
  <si>
    <t>https://youtu.be/5L6eqgnmlPo</t>
  </si>
  <si>
    <t>Down To Earth - The Overview Effect</t>
  </si>
  <si>
    <t>In “Down to Earth - The Overview Effect” NASA astronauts discuss a shift in worldview from their time living and working in space. The phenomenon is described in space philosopher Frank White's book, The Overview Effect: Space Exploration and Human Evolution. 
#SpaceStation20th</t>
  </si>
  <si>
    <t>5L6eqgnmlPo</t>
  </si>
  <si>
    <t>https://youtu.be/xGYdsx5x49g</t>
  </si>
  <si>
    <t>Space to Ground  Continuous Presence  11 01 2019</t>
  </si>
  <si>
    <t>xGYdsx5x49g</t>
  </si>
  <si>
    <t>2019 10 25</t>
  </si>
  <si>
    <t>https://youtu.be/EVft-Lu5fV0</t>
  </si>
  <si>
    <t>Space to Ground  Space Jam  10 25 2019</t>
  </si>
  <si>
    <t>EVft-Lu5fV0</t>
  </si>
  <si>
    <t>2019 10 23</t>
  </si>
  <si>
    <t>https://youtu.be/_Ecc-wKfPc0</t>
  </si>
  <si>
    <t>Astronauts Christina Koch and Jessica Meir reflect on the first All Woman Spacewalk MP4</t>
  </si>
  <si>
    <t>NASA astronauts Christina Koch and Jessica Meir reflect on the historic spacewalk they performed on Oct. 18 – the first ever to be conducted by two women. They spent a total of 7 hours and 17 minutes in the vacuum of space. It was Koch’s fourth spacewalk and Meir’s first.</t>
  </si>
  <si>
    <t>_Ecc-wKfPc0</t>
  </si>
  <si>
    <t>https://youtu.be/sR92iRovqTw</t>
  </si>
  <si>
    <t>Lunar Geology from Apollo to Artemis</t>
  </si>
  <si>
    <t>NASA’s Artemis program will return Americans to the Moon by 2024 and help get us ready to go on to Mars.  Join the next-to-last man on the Moon, Apollo astronaut Harrison Schmitt, and astronaut candidate Jessica Watkins at the Johnson Space Center’s Moon rock lab where the two geologists discuss what we learned from our first Moon landings and what our next steps there can teach us.
HD download at: https://archive.org/details/jsc2019m000912-Lunar_Geology_from_Apollo_to_Artemis_MXF
Learn more about Artemis: https://nasa.gov/artemis 
Follow Johnson Space Center!
Twitter: https://twitter.com/nasa_johnson
Facebook: https://www.facebook.com/nasajsc
Instagram: https://instagram.com/nasajohnson</t>
  </si>
  <si>
    <t>sR92iRovqTw</t>
  </si>
  <si>
    <t>2019 10 22</t>
  </si>
  <si>
    <t>https://youtu.be/VdTXCOkC8xQ</t>
  </si>
  <si>
    <t>Orion Fuels Artemis</t>
  </si>
  <si>
    <t>The Orion spacecraft is one of the major components of NASA’s Artemis program, which will return humans to the Moon by 2024 in preparation for future missions to Mars.  Astronaut Randy Bresnik explains the role of Orion, in conjunction with the Space Launch System, Gateway lunar outpost and new lunar lander, in carrying a new generation of astronauts to the surface of the Moon and then safely home again to Earth.
_______________________________________
Learn more about Artemis: nasa.gov/artemis 
Follow Johnson Space Center!
Twitter: https://twitter.com/nasa_johnson
Facebook: https://www.facebook.com/nasajsc
Instagram: https://instagram.com/nasajohnson</t>
  </si>
  <si>
    <t>VdTXCOkC8xQ</t>
  </si>
  <si>
    <t>2019 10 18</t>
  </si>
  <si>
    <t>https://youtu.be/t8rI5i2HA48</t>
  </si>
  <si>
    <t>Space to Ground  History Made  10 18 2019</t>
  </si>
  <si>
    <t>t8rI5i2HA48</t>
  </si>
  <si>
    <t>2019 10 16</t>
  </si>
  <si>
    <t>https://youtu.be/1lUhFvL49fo</t>
  </si>
  <si>
    <t>Launch Abort System (LAS) Jettison Motor Hot Fire Test</t>
  </si>
  <si>
    <t>A motor built by Aerojet Rocketdyne for the Launch Abort System (LAS) on NASA’s Orion spacecraft was successfully tested by engineers at the Redstone Test Center on Redstone Arsenal in Huntsville, Alabama, October 16. During the third and final hot fire test, the jettison motor was fired for under two seconds in ambient temperatures to produce more than 40,000 pounds of thrust. With the series of static tests completed, Orion’s LAS jettison motor is qualified and ready for flight on the Artemis II mission with astronauts. The LAS -- which will carry astronauts to safety in case of an emergency during launch or ascent -- consists of three motors, with the jettison motor being the last to fire. It ignites to separate the LAS from Orion for parachute deployment and a safe crew landing. The jettison motor also is the only part of the LAS that operates during normal mission scenarios, and detaches from Orion once it is no longer needed. The jettison motor is built by Aerojet Rocketdyne through a contract by NASA’s prime contractor for Orion, Lockheed Martin.</t>
  </si>
  <si>
    <t>1lUhFvL49fo</t>
  </si>
  <si>
    <t>https://youtu.be/OmIdSFMKZmA</t>
  </si>
  <si>
    <t>Scientific Investigations Set for Space on Northrop Grumman CRS-12</t>
  </si>
  <si>
    <t>A Northrop Grumman Cygnus spacecraft scheduled to liftoff in early November will carry supplies and scientific experiments to the International Space Station. The investigations making the trip range from research into human control of robotics in space to reprocessing materials for 3D printing.
Read more: https://go.nasa.gov/2qgG96A
Learn more about the research being conducted on Station: https://www.nasa.gov/iss-science
Follow Twitter updates on the science conducted aboard the space 
station: https://twitter.com/iss_research</t>
  </si>
  <si>
    <t>OmIdSFMKZmA</t>
  </si>
  <si>
    <t>2019 10 11</t>
  </si>
  <si>
    <t>https://youtu.be/-rvXYvFBUWk</t>
  </si>
  <si>
    <t>Space to Ground  Extravehicular Marathon  10 11 2019</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</si>
  <si>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t>
  </si>
  <si>
    <t>-rvXYvFBUWk</t>
  </si>
  <si>
    <t>2019 10 04</t>
  </si>
  <si>
    <t>https://youtu.be/bEzE14HKr5o</t>
  </si>
  <si>
    <t>Space to Ground  A Slew of Spacewalks  10 04 2019</t>
  </si>
  <si>
    <t>bEzE14HKr5o</t>
  </si>
  <si>
    <t>2019 09 27</t>
  </si>
  <si>
    <t>https://youtu.be/TR7-YG3B1UE</t>
  </si>
  <si>
    <t>Space to Ground  New Arrivals  09 27 2019</t>
  </si>
  <si>
    <t>TR7-YG3B1UE</t>
  </si>
  <si>
    <t>2019 09 24</t>
  </si>
  <si>
    <t>https://youtu.be/_G0JYeBEuIw</t>
  </si>
  <si>
    <t>Astronaut Moments  Jessica Meir- Exploring Extreme Environments</t>
  </si>
  <si>
    <t>Astronaut Jessica Meir is no stranger to extreme environments. She’s studied penguins in Antarctica and mapped caves in Italy, all of which prepared her for the ultimate extreme environment: space.
For a version to download, please visit:
https://images.nasa.gov/details-jsc2019m000717AstronautMoment_JessicaMeir_Extreme_Environments_Final_MP4</t>
  </si>
  <si>
    <t>_G0JYeBEuIw</t>
  </si>
  <si>
    <t>2019 09 20</t>
  </si>
  <si>
    <t>https://youtu.be/Ohc6WoPROxc</t>
  </si>
  <si>
    <t>T-60 Seconds with Jessica Meir</t>
  </si>
  <si>
    <t>You’ve got to know a lot to earn a master’s degree in space science and a doctorate in marine biology, and that’s before you consider all you need to learn to become a NASA astronaut. As it turns out, little of that knowledge applied as astronaut Jessica Meir sat for a barrage of questions just before her launch to the International Space Station—take a look.
HD Download: https://archive.org/details/jsc2019m000512_T-60_Seconds_with_Jessica_Meir
_______________________________________
FOLLOW THE SPACE STATION!
Twitter: https://twitter.com/Space_Station
Facebook: https://www.facebook.com/ISS
Instagram: https://instagram.com/iss/</t>
  </si>
  <si>
    <t>Ohc6WoPROxc</t>
  </si>
  <si>
    <t>https://youtu.be/F1P8dDYEvwA</t>
  </si>
  <si>
    <t>Space to Ground  Dress Rehearsals  09 20 2019</t>
  </si>
  <si>
    <t>F1P8dDYEvwA</t>
  </si>
  <si>
    <t>2019 09 18</t>
  </si>
  <si>
    <t>https://youtu.be/8rv2Fv6iyc0</t>
  </si>
  <si>
    <t>Space Station Microbiology  Where People Go, Microbes Follow</t>
  </si>
  <si>
    <t>Microbes – bacteria and fungi – live everywhere, even the International Space Station. Scientists at NASA’s Johnson Space Center constantly monitor the station’s microbial community and now are testing using DNA sequencing to identify its tiny residents without returning samples to Earth – an important step to keep crews, and the places they visit, safe on future deep-space missions. Read more about space station microbiology: https://go.nasa.gov/2IbtgAL 
Learn more about the research being conducted on station: https://www.nasa.gov/iss-science 
Follow Twitter updates on the science conducted aboard the space station: 
https://twitter.com/iss_research 
HD download link: https://archive.org/detailsjsc2019m000649_Space_Station_Microbiology</t>
  </si>
  <si>
    <t>8rv2Fv6iyc0</t>
  </si>
  <si>
    <t>2019 09 13</t>
  </si>
  <si>
    <t>https://youtu.be/o1QW8zm3bJY</t>
  </si>
  <si>
    <t>Space to Ground  Counting Down  09 13 2019</t>
  </si>
  <si>
    <t>o1QW8zm3bJY</t>
  </si>
  <si>
    <t>2019 09 10</t>
  </si>
  <si>
    <t>https://youtu.be/eiJAZSc-IQM</t>
  </si>
  <si>
    <t>Designing Flames Aboard the International Space Station</t>
  </si>
  <si>
    <t>The Flame Design investigation is studying the quantity of soot produced under different flame conditions. The results of this experiment occurring aboard the International Space Station could enable the design of flames that are more sooty or soot-free, and allow for the creation of burner designs which are more efficient and less polluting. Read more about this and other flame research aboard the International Space Station: https://go.nasa.gov/2LqSzja 
Learn more about the research being conducted on Station: https://www.nasa.gov/iss-science 
Follow Twitter updates on the science conducted aboard the space station: 
https://twitter.com/iss_research
HD download link: https://archive.org/details/jsc2019m000710_Designing-Flames-Aboard-ISS</t>
  </si>
  <si>
    <t>eiJAZSc-IQM</t>
  </si>
  <si>
    <t>2019 09 06</t>
  </si>
  <si>
    <t>https://youtu.be/sLJU_3UtkaQ</t>
  </si>
  <si>
    <t>STEMonstrations  Engineering Design - Trusses</t>
  </si>
  <si>
    <t>The structure of the International Space Station relies heavily on a series of trusses engineered to withstand compression, tension, torsion and shear forces the station may encounter in low-Earth orbit. In this episode, Expedition 55/56 Flight Engineer Ricky Arnold explains the significance of these resilient structures and the forces they are up against in microgravity. Use the lesson plan that coincides with this video to emphasize the value of the engineering design process in your STEM classroom.  Visit https://nasa.gov/stemonstation for more educational resources that explore the research and technology of the International Space Station.</t>
  </si>
  <si>
    <t>sLJU_3UtkaQ</t>
  </si>
  <si>
    <t>https://youtu.be/K13uQoV3sb0</t>
  </si>
  <si>
    <t>Space to Ground  Category 5  09 06 2019</t>
  </si>
  <si>
    <t>K13uQoV3sb0</t>
  </si>
  <si>
    <t>2019 08 30</t>
  </si>
  <si>
    <t>https://youtu.be/s654YJ7PZg8</t>
  </si>
  <si>
    <t>Beautiful World</t>
  </si>
  <si>
    <t>There are times when it is helpful to take a step back and take in the big picture. Thank you @Space_Station, @irvinmayfieldjr, @HaleyReinhart and @KermitRuffins for reminding us that we are all in this together. #Expedition56
Featuring @Astro_Alex, @Astro_Feustel, @OlegMSK, and Sergey Prokopyev</t>
  </si>
  <si>
    <t>s654YJ7PZg8</t>
  </si>
  <si>
    <t>https://youtu.be/280cKaJx30g</t>
  </si>
  <si>
    <t>Space to Ground  At the Midpoint  08 30 2019</t>
  </si>
  <si>
    <t>280cKaJx30g</t>
  </si>
  <si>
    <t>2019 08 29</t>
  </si>
  <si>
    <t>https://youtu.be/C0tr0FmOYW4</t>
  </si>
  <si>
    <t>Researching Regolith on the International Space Station</t>
  </si>
  <si>
    <t>NASA is committed to landing American astronauts, including the first woman and the next man, on the Moon by 2024. When we go, it will be critical to understand how to interact with regolith – the fine 
particles of dust that cover the Moon’s surface, and the surfaces of small, airless bodies. We’re using the International Space Station to study how regolith particles move in microgravity over a long period of time, in the Hermes facility recently launched to the orbiting laboratory. 
Read more about Hermes: 
https://go.nasa.gov/2UxraOZ 
Learn more about the research being conducted on Station: https://www.nasa.gov/iss-science 
Follow Twitter updates on the science conducted aboard the space station: 
https://twitter.com/iss_research 
HD Link: 
https://archive.org/details/jsc2019m000631_Researching_Regolith_on_the_International_Space_Station</t>
  </si>
  <si>
    <t>C0tr0FmOYW4</t>
  </si>
  <si>
    <t>2019 08 23</t>
  </si>
  <si>
    <t>https://youtu.be/eP1_T8vKgwE</t>
  </si>
  <si>
    <t>Preparing America for Deep Space  Episode 22   Building &amp; Testing for Artemis</t>
  </si>
  <si>
    <t>NASA is working to land the first woman and the next man on the Moon by 2024. Teams across the country are charging ahead to make that happen as they build and test the Space Launch System (SLS) rocket, Orion spacecraft, and Exploration Ground Systems (EGS) at NASA’s Kennedy Space Center. 
Some major recent milestones include: Orion – Spacecraft processing at the Operations &amp; Checkout Building at NASA’s Kennedy Space Center; Successfully testing the launch abort system during the Ascent Abort-2 Test at Cape Canaveral. SLS – Connecting the Liquid Hydrogen Tank to the Core Stage; loading the Liquid Oxygen Tank Structural Test Article onto the Pegasus Barge at Michoud Assembly Facility in New Orleans. EGS – Mobile Launcher (ML) Roll-Out to Launch Pad 39B; Water Flow Test with the ML; Lightning Tower Painting at Pad 39B; and the Tail Service Mast Umbilical Drop Test.</t>
  </si>
  <si>
    <t>eP1_T8vKgwE</t>
  </si>
  <si>
    <t>https://youtu.be/-V2WZ5tApoc</t>
  </si>
  <si>
    <t>Orion's Launch Abort System Attitude Control Motor Test</t>
  </si>
  <si>
    <t>Hot fire of the attitude control motor on Orion's launch abort system (LAS), the second to last test before it’s qualified for Artemis 2 – the first flight with astronauts. The LAS is designed to pull Orion and its crew to safety in the event of an emergency during ascent.</t>
  </si>
  <si>
    <t>-V2WZ5tApoc</t>
  </si>
  <si>
    <t>https://youtu.be/6cCxaYVyuv4</t>
  </si>
  <si>
    <t>Space to Ground  Additional Parking  08 23 2019</t>
  </si>
  <si>
    <t>6cCxaYVyuv4</t>
  </si>
  <si>
    <t>2019 08 19</t>
  </si>
  <si>
    <t>https://youtu.be/Nmil9vid4NY</t>
  </si>
  <si>
    <t>IDA 3 Spacewalk Animation</t>
  </si>
  <si>
    <t>An animation of the planned procedures for a spacewalk with Expedition 60 Flight Engineers Nick Hague and Andrew Morgan of NASA. The duo will assist in the installation of International Docking Adapter-3 (IDA-3) to Pressurized Mating Adapter-3 on the space-facing side of the station’s Harmony module. 
IDA-3 will provide a second docking port to the International Space Station to accommodate the future arrivals of Boeing CST-100 Starliner and SpaceX Crew Dragon commercial crew spacecraft. The docking port was launched to the station in July 2019 on a SpaceX Dragon on the company’s 18th commercial cargo resupply services mission to the station. IDA-2 was installed to the forward end of the Harmony module in the summer of 2016. 
NASA’s commercial crew partnership with Boeing and SpaceX will restore launches of American astronauts from American soil on American rockets and maximize the time U.S. crews can dedicate to scientific research and technological advances aboard the orbiting laboratory to enable the agency’s ambitious goals for the Artemis lunar exploration program and future missions to the Moon and Mars.</t>
  </si>
  <si>
    <t>Nmil9vid4NY</t>
  </si>
  <si>
    <t>2019 08 16</t>
  </si>
  <si>
    <t>https://youtu.be/_LPDZ6gDzRw</t>
  </si>
  <si>
    <t>Space to Ground  Robotic Refueling  08 16 2019</t>
  </si>
  <si>
    <t>_LPDZ6gDzRw</t>
  </si>
  <si>
    <t>2019 08 13</t>
  </si>
  <si>
    <t>https://youtu.be/8obopaD8bXA</t>
  </si>
  <si>
    <t>Biomining in Space</t>
  </si>
  <si>
    <t>As humans plan expeditions to places such as the Moon and Mars, biomining could offer a way to obtain needed materials on other planetary bodies rather than bringing them from Earth. However, microbes and rocks interact differently outside of Earth’s gravity, potentially affecting output from extraterrestrial biomining. A new investigation on the International Space Station is studying how microbes grow on and alter planetary rocks in microgravity and simulated Martian gravity. Read more: 
https://go.nasa.gov/2JHgJX5 
Learn more about the research being conducted on Station: https://www.nasa.gov/iss-science 
Follow Twitter updates on the science conducted aboard the space station: 
https://twitter.com/iss_research 
HD Link:  https://archive.org/details/jsc2019m000619_Biomining_in_Space-MXF</t>
  </si>
  <si>
    <t>8obopaD8bXA</t>
  </si>
  <si>
    <t>2019 08 09</t>
  </si>
  <si>
    <t>https://youtu.be/HDV1IZ-RPyU</t>
  </si>
  <si>
    <t>Space to Ground  A New Mission  08 09 2019</t>
  </si>
  <si>
    <t>HDV1IZ-RPyU</t>
  </si>
  <si>
    <t>2019 08 07</t>
  </si>
  <si>
    <t>https://youtu.be/XEhgp2EhPao</t>
  </si>
  <si>
    <t>Major Props! Orion Propulsion Test in New Mexico a Success</t>
  </si>
  <si>
    <t>On Aug 5, engineers at NASA’s White Sands Test Facility near Las Cruces, New Mexico, tested the Orion spacecraft’s service module with a ground-based firing of its propulsion and pressurization systems. 
The 12-minute firing simulated an abort-to-orbit scenario – in which the system would fire long enough to place Orion in a safe, temporary orbit in the event of an issue setting Orion in the precise trajectory required to get to the Moon. That temporary orbit would allow time to evaluate the crew and spacecraft before deciding to either continue with an alternate mission profile, or return to Earth.
A test version of the propulsion system was used to fire Orion’s main engine and all eight of its auxiliary engines simultaneously. Each of the six reaction control thrusters were also periodically fired throughout the test to simulate attitude control and overall propulsion system capacity.
Download link: https://images.nasa.gov/details-8-5-2019_Orion_PQM_WSTFshortFinal.html</t>
  </si>
  <si>
    <t>XEhgp2EhPao</t>
  </si>
  <si>
    <t>2019 08 02</t>
  </si>
  <si>
    <t>https://youtu.be/DXs5NmRyFrU</t>
  </si>
  <si>
    <t>Space to Ground  Fast Track  08 02 2019</t>
  </si>
  <si>
    <t>DXs5NmRyFrU</t>
  </si>
  <si>
    <t>2019 07 26</t>
  </si>
  <si>
    <t>https://youtu.be/W85SJE3krPE</t>
  </si>
  <si>
    <t>Space to Ground  Gateway to the Future  07 26 2019</t>
  </si>
  <si>
    <t>W85SJE3krPE</t>
  </si>
  <si>
    <t>2019 07 25</t>
  </si>
  <si>
    <t>https://youtu.be/qDltkPn7J2s</t>
  </si>
  <si>
    <t>Explore Your Project Ideas for Space Station</t>
  </si>
  <si>
    <t>Have a science or technology idea? Flying experiments on the International Space Station is a unique opportunity to eliminate gravity as a variable, provide exposure to vacuum and radiation, and have a clear view of the Earth and universe. For more information on how you can conduct your research in microgravity, visit https://www.nasa.gov/stationopportunities
HD Download Link:
https://archive.org/details/jsc2019m000572_Explore_Your_Project_Ideas_for_Space_Station-MXF</t>
  </si>
  <si>
    <t>qDltkPn7J2s</t>
  </si>
  <si>
    <t>2019 07 19</t>
  </si>
  <si>
    <t>https://youtu.be/h1Y3CeNA_AU</t>
  </si>
  <si>
    <t>Space to Ground  History's Greatest Adventure  07 19 2019</t>
  </si>
  <si>
    <t>h1Y3CeNA_AU</t>
  </si>
  <si>
    <t>2019 07 18</t>
  </si>
  <si>
    <t>https://youtu.be/zHUo5-6LKyg</t>
  </si>
  <si>
    <t>Astronaut Training  Then and Now</t>
  </si>
  <si>
    <t>Mission training for astronauts reflects the missions themselves: rigorous. In the Apollo era, astronauts and engineers prepared for the unknown as much as possible, but knew how to improvise in unprecedented situations. Currently, we’ve set our sights on going further, and our modern technology has allowed us to train much more safely – all in pursuit of our next giant leap.</t>
  </si>
  <si>
    <t>zHUo5-6LKyg</t>
  </si>
  <si>
    <t>https://youtu.be/JD_B1QK-Jok</t>
  </si>
  <si>
    <t>Astronaut Moments   Drew Morgan</t>
  </si>
  <si>
    <t>Description:  Before launching to the International Space Station on the anniversary of Neil Armstrong’s “giant leap for mankind,” astronaut Drew Morgan was making his own giant leaps out of airplanes as part of his training. 
jsc2019m000608 AstronautMoment DrewMorgan
Higher resolution file here:  https://archive.org/details/jsc2019m000608_AstronautMoment_DrewMorgan_MXF</t>
  </si>
  <si>
    <t>JD_B1QK-Jok</t>
  </si>
  <si>
    <t>2019 07 17</t>
  </si>
  <si>
    <t>https://youtu.be/qXqlgub8neE</t>
  </si>
  <si>
    <t>We Chose  The Inspiration of Apollo</t>
  </si>
  <si>
    <t>President John Kennedy’s challenge to land men on the Moon and return them safely to Earth in the 1960s was meant to encourage the United States to do what was hard, and to achieve what was considered by many to be impossible.  But the effect of that challenge, and of its realization, went even deeper: generations of men and women from around the world were inspired to commit to a lifetime of exploration, and the pursuit of the next giant leap.
HD Download: https://archive.org/details/jsc2019m000363_We_Chose_the_Inspiration_of_Apollo
___________________________
FOLLOW THE 50TH AT NASA/JSC
https://www.nasa.gov/specials/apollo50th/
https://twitter.com/NASA_Johnson
https://www.facebook.com/NASAJSC/</t>
  </si>
  <si>
    <t>qXqlgub8neE</t>
  </si>
  <si>
    <t>2019 07 12</t>
  </si>
  <si>
    <t>https://youtu.be/0mVyxtFIvj4</t>
  </si>
  <si>
    <t>Camera Captures Orion Abort Test Mid-Air</t>
  </si>
  <si>
    <t>During the successful test of Orion’s launch abort system, known as Ascent Abort-2, a camera mounted on a ring connecting the crew module and launch abort system to its booster captured a view of Orion escaping the booster. After the booster separated, its motor continued to burn for several seconds and maintained stability, which allowed for a clear, mid-air view of the Orion elements continuing to execute the abort test. About 27 seconds after the abort is initiated and the Orion elements separate from the booster, the launch abort system’s jettison motor is seen firing, releasing the capsule. The July 2 test demonstrated the Orion’s launch abort system works during high-stress aerodynamic conditions and can pull the capsule to safety if an emergency ever arises during launch. The test was a critical milestone needed to help pave the way for Artemis missions with astronauts.
HD download link: https://archive.org/details/NASA-Orion-Resource-Reel</t>
  </si>
  <si>
    <t>0mVyxtFIvj4</t>
  </si>
  <si>
    <t>https://youtu.be/Rww7zst5XhA</t>
  </si>
  <si>
    <t>T-60 Seconds with Andrew Morgan</t>
  </si>
  <si>
    <t>You’ve got to know about a lot of different subjects to graduate from West Point, and then become a doctor, and then become an astronaut (when you have to know some of it in Russian!).  But, can you think fast on your feet?  NASA astronaut Andrew Morgan has fun with a rapid-fire Q-and-A on non-technical topics as he finishes up preparations to launch to the International Space Station.
HD Download: https://archive.org/details/jsc2019m000387_T_Minus_60_Seconds_With_Andrew_Morgan
_______________________________________
FOLLOW THE SPACE STATION!
Twitter: https://twitter.com/Space_Station
Facebook: https://www.facebook.com/ISS
Instagram: https://instagram.com/iss/</t>
  </si>
  <si>
    <t>Rww7zst5XhA</t>
  </si>
  <si>
    <t>https://youtu.be/m-KAT78zU3s</t>
  </si>
  <si>
    <t>Space to Ground  Farm-to-Table  07 12 2019</t>
  </si>
  <si>
    <t>m-KAT78zU3s</t>
  </si>
  <si>
    <t>2019 07 08</t>
  </si>
  <si>
    <t>https://youtu.be/FEjjEgjacIY</t>
  </si>
  <si>
    <t>Highlights of Science Launching on SpaceX CRS 18 - July 8, 2019</t>
  </si>
  <si>
    <t>Dozens of scientific experiments are scheduled to travel to the International Space Station aboard a Dragon cargo spacecraft in late July. This 18th SpaceX Commercial Resupply Services (CRS) contract 
mission for NASA blasts off from Cape Canaveral Air Force Station in Florida on a Falcon 9 rocket. The springboard to NASA's missions to the Moon and Mars, the space station also provides opportunities for 
other U.S. government agencies, private industry, and academic and research institutions to conduct microgravity research. Such research can lead to the development of new technologies, medical 
treatments and products that improve life on Earth.
Read more about some of the science traveling to the space station on Dragon: 
https://go.nasa.gov/2KXUBJE 
Learn more about the research being conducted on Station: https://www.nasa.gov/iss-science 
Follow Twitter updates on the science conducted aboard the space station: 
https://twitter.com/iss_research 
HD Link:
https://archive.org/details/jsc2019m000569-Highlights_of_Science_Launching_on_SpaceX_CRS-18-MXF</t>
  </si>
  <si>
    <t>FEjjEgjacIY</t>
  </si>
  <si>
    <t>2019 07 05</t>
  </si>
  <si>
    <t>https://youtu.be/H_qPWZbxFl8</t>
  </si>
  <si>
    <t>Moving Water in Space - 8K Ultra HD</t>
  </si>
  <si>
    <t>Water in space behaves… differently. Surface tension and capillary flow can be harnessed to move fluids in more efficient ways. What looks like fun could actually help us improve systems for moving fluids in microgravity, in things like fuel tanks for space travel. Find out more about fluid physics in space in our researcher’s guide: https://go.nasa.gov/2KShhuT
Learn more about the research being conducted on Station: https://www.nasa.gov/iss-science 
Follow Twitter updates on the science conducted aboard the space station: https://twitter.com/iss_research</t>
  </si>
  <si>
    <t>H_qPWZbxFl8</t>
  </si>
  <si>
    <t>https://youtu.be/y2nr6X1QN0g</t>
  </si>
  <si>
    <t>Space to Ground  On the Bubble  07 05 2019</t>
  </si>
  <si>
    <t>y2nr6X1QN0g</t>
  </si>
  <si>
    <t>2019 06 28</t>
  </si>
  <si>
    <t>https://youtu.be/ZqK2zG8EWnY</t>
  </si>
  <si>
    <t>Historic Mission Control</t>
  </si>
  <si>
    <t>From this legendary room, America conducted some of its most amazing space missions.  This video montage captures the  significance of the Historic Mission Control Center at the NASA Johnson Space Center, which has undergone a massive restoration to bring the room back to life as it appeared during the Apollo era.  Historians and technicians have made every effort to ensure historical accuracy and to preserve this room for future generations.  As NASA looks to send humans deeper into space than ever before, the Historic Mission Control will serve as a reminder that anything is possible. 
jsc2019m000564</t>
  </si>
  <si>
    <t>ZqK2zG8EWnY</t>
  </si>
  <si>
    <t>https://youtu.be/HvSz7DeeqSo</t>
  </si>
  <si>
    <t>Space to Ground  Back on Terra Firma  06 28 2019</t>
  </si>
  <si>
    <t>HvSz7DeeqSo</t>
  </si>
  <si>
    <t>2019 06 27</t>
  </si>
  <si>
    <t>https://youtu.be/G4rrizQLmoo</t>
  </si>
  <si>
    <t>Apollo Historic Mission Control Restoration Time-lapse</t>
  </si>
  <si>
    <t>The Historic Mission Control center at the NASA Johnson Space Center has undergone a major restoration.   From this legendary room America conducted some of its most historic space missions. 
This time-lapse videography shows the removal and return of the original consoles which were rebuilt with historically accurate buttons, lights and displays.  The carpet, wallpaper, ceiling tiles and other elements of the room were also brought back to life to reflect the Apollo era look.  Furnishings and other details were added to recreate the room as it appeared during the Apollo era, preserving our nation's history of human spaceflight for future generations.
jsc2019m00562_HistoricMCC_Timelapse</t>
  </si>
  <si>
    <t>G4rrizQLmoo</t>
  </si>
  <si>
    <t>https://youtu.be/fczAR0Hp7pw</t>
  </si>
  <si>
    <t>Apollo Mission Control Media B roll</t>
  </si>
  <si>
    <t>Apollo Mission Control Media Resource Reel
jsc2019m000563</t>
  </si>
  <si>
    <t>fczAR0Hp7pw</t>
  </si>
  <si>
    <t>2019 06 25</t>
  </si>
  <si>
    <t>https://youtu.be/fw-jFxHn5WA</t>
  </si>
  <si>
    <t>Expedition 59 Crew Lands Safely in Kazakhstan</t>
  </si>
  <si>
    <t>Expedition 59 Commander Oleg Kononenko of Roscosmos and Flight Engineers Anne McClain of NASA and David Saint-Jacques of the Canadian Space Agency landed safely near the town of Dzhezkazgan, Kazakhstan June 24, U.S. time, after bidding farewell to their colleagues on the complex and undocking their Soyuz MS-11 spacecraft from the Poisk Module on the International Space Station. The trio spent more than six months in space conducting research and operational work in support of the station.</t>
  </si>
  <si>
    <t>fw-jFxHn5WA</t>
  </si>
  <si>
    <t>2019 06 23</t>
  </si>
  <si>
    <t>https://youtu.be/-L6AMwZDmhs</t>
  </si>
  <si>
    <t>Space Station Research  Intersecting the Magical and the Technical</t>
  </si>
  <si>
    <t>At any given time, we have about 300 experiments being conducted aboard the International Space Station. Anne McClain shares an inspiring perspective on the research she's helped conduct.
Learn more about the research being conducted on Station: https://www.nasa.gov/iss-science 
Follow Twitter updates on the science conducted aboard the space station: https://twitter.com/iss_research</t>
  </si>
  <si>
    <t>-L6AMwZDmhs</t>
  </si>
  <si>
    <t>2019 06 21</t>
  </si>
  <si>
    <t>https://youtu.be/13HJ62g4tPQ</t>
  </si>
  <si>
    <t>Space to Ground  Tending the Hive  06 21 2019</t>
  </si>
  <si>
    <t>13HJ62g4tPQ</t>
  </si>
  <si>
    <t>2019 06 20</t>
  </si>
  <si>
    <t>https://youtu.be/Ol7foiNEAXo</t>
  </si>
  <si>
    <t>Breathing for the Sake of Science</t>
  </si>
  <si>
    <t>For five years, researchers with the European Space Agency have analyzed exhaled Nitric Oxide in astronauts’ breath to detect dust and other toxins. Future astronauts on the Moon or Mars could inhale 
dust that has collected in their habitats or on their spacesuits potentially inflaming their airways.  
Monitoring a crewmember’s airways could improve the mission environment and optimize crew health for a successful long-term mission. The research has also contributed to asthma diagnosis and treatment back on Earth. This week the crew completed the final session on the final subject for the investigation. 
More: https://go.nasa.gov/2WRPVeZ 
Follow updates on the science conducted aboard the space station on Twitter:
https://twitter.com/iss_research 
For more information on how you can conduct your research in microgravity, visit https://go.nasa.gov/2q84LJj.</t>
  </si>
  <si>
    <t>Ol7foiNEAXo</t>
  </si>
  <si>
    <t>2019 06 14</t>
  </si>
  <si>
    <t>https://youtu.be/VVSGBneN9tk</t>
  </si>
  <si>
    <t>Space to Ground  Open for Business  06 14 2019</t>
  </si>
  <si>
    <t>VVSGBneN9tk</t>
  </si>
  <si>
    <t>2019 06 07</t>
  </si>
  <si>
    <t>https://youtu.be/mLQn0hI7CC0</t>
  </si>
  <si>
    <t>Space to Ground  Release the Dragon  06 07 2019</t>
  </si>
  <si>
    <t>mLQn0hI7CC0</t>
  </si>
  <si>
    <t>2019 05 31</t>
  </si>
  <si>
    <t>https://youtu.be/ov_O0wyMFVA</t>
  </si>
  <si>
    <t>Space to Ground  Saluting an Icon  05 31 2019</t>
  </si>
  <si>
    <t>ov_O0wyMFVA</t>
  </si>
  <si>
    <t>2019 05 24</t>
  </si>
  <si>
    <t>https://youtu.be/t5ps88groLs</t>
  </si>
  <si>
    <t>Space to Ground  The ABC's of DNA  05 24 2019</t>
  </si>
  <si>
    <t>t5ps88groLs</t>
  </si>
  <si>
    <t>2019 05 17</t>
  </si>
  <si>
    <t>https://youtu.be/CJffqAQpq9g</t>
  </si>
  <si>
    <t>Spot the Station</t>
  </si>
  <si>
    <t>Did you know there are six humans living in space, and you can see their home from your home?  NASA astronaut Nick Hague shares how you can use spotthestation.nasa.gov to find out when the International Space Station will be visible from your town!
HD Download: https://archive.org/details/Jjsc2016m00112_Spot_the_Station
_______________________________________
FOLLOW THE SPACE STATION!
Twitter: https://twitter.com/Space_Station
Facebook: https://www.facebook.com/ISS
Instagram: https://instagram.com/iss/</t>
  </si>
  <si>
    <t>CJffqAQpq9g</t>
  </si>
  <si>
    <t>https://youtu.be/F-CzttBEb_Y</t>
  </si>
  <si>
    <t>Space to Ground  Watching the Earth Breathe  05 17 2019</t>
  </si>
  <si>
    <t>F-CzttBEb_Y</t>
  </si>
  <si>
    <t>2019 05 10</t>
  </si>
  <si>
    <t>https://youtu.be/_xAwDYXiVZk</t>
  </si>
  <si>
    <t>Preparing America for Deep Space - Episode21 – Backbone of Lunar Exploration</t>
  </si>
  <si>
    <t>NASA’s Orion, Space Launch System (SLS), and Exploration Ground Systems (EGS) programs are continuing work on one of the most complex and sophisticated space systems ever built. Across America and in Europe, teams are developing and building the spacecraft, rocket, and infrastructure necessary to send humans to deep space destinations including the surface of the Moon and beyond. 
Some major recent milestones include: Orion – Crew Module Uprighting System Test at Atlantic Beach, North Carolina; European Service Module Solar Array Expanded; Fit Check in the Super Guppy Aircraft; Ascent Abort-2 Launch Abort System Stacking and Integration at Kennedy Space Center in Cape Canaveral, Florida; Launch Abort System Attitude Control Motor Test in Elkton, Maryland. SLS – Liquid Oxygen Tank and Forward Skirt join at Michoud Assembly Facility in New Orleans, Liquid Hydrogen Tank Structural Test Article Unload from Pegasus Barge at Marshall Space Flight Center in Huntsville, Alabama; RS-25 Engine Testing at Stennis Space Center in Bay St. Louis, Mississippi; Core Stage-1 Engine Section and Boat Tail Completed and Mated at Michoud. EGS – at NASA’s Kennedy Space Center: Core Stage Intertank Umbilical Swing Testing; Launch Pad 39B Upgrades; Crawler Engine Maintenance.</t>
  </si>
  <si>
    <t>_xAwDYXiVZk</t>
  </si>
  <si>
    <t>https://youtu.be/HVTZNb-uTf0</t>
  </si>
  <si>
    <t>Space to Ground  Reservations for Seven  05 10 2019</t>
  </si>
  <si>
    <t>NASA's Space to Ground is your weekly update on what's happening aboard the International Space Station. 
Got a question or comment? Use #asknasa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t>
  </si>
  <si>
    <t>HVTZNb-uTf0</t>
  </si>
  <si>
    <t>2019 05 09</t>
  </si>
  <si>
    <t>https://youtu.be/tZupyfyfyl0</t>
  </si>
  <si>
    <t xml:space="preserve">So You Want to Go to Mars   Episode 4   How Does NASA's History Help Future Exploration </t>
  </si>
  <si>
    <t>NASA has been exploring space for 60 years!  Learn how 60 years of knowledge and discovery prepares us to go farther than humanity has ever gone before.</t>
  </si>
  <si>
    <t>tZupyfyfyl0</t>
  </si>
  <si>
    <t>2019 05 06</t>
  </si>
  <si>
    <t>https://youtu.be/SGxGiD6rI9w</t>
  </si>
  <si>
    <t>Expedition 59 SpaceX CRS 17 Installation May 6, 2019</t>
  </si>
  <si>
    <t>U.S. COMMERCIAL CARGO CRAFT ARRIVES AT THE INTERNATIONAL SPACE STATION
The unpiloted SpaceX Dragon cargo craft arrived at the International Space Station May 6, two days after launch atop a Falcon 9 rocket from the Cape Canaveral Air Force Station, Florida. Expedition 59 Flight Engineers David Saint-Jacques of the Canadian 
Space Agency and Nick Hague of NASA used the Canadian-built Canadarm2 robotic arm to capture Dragon before turning the operation over to robotic ground controllers who maneuvered Dragon for its installation to the Earth-facing port of the Harmony module where it was bolted into place for a month-long stay. Dragon is delivering almost three tons of supplies and scientific experiments to the orbital outpost.</t>
  </si>
  <si>
    <t>SGxGiD6rI9w</t>
  </si>
  <si>
    <t>2019 05 03</t>
  </si>
  <si>
    <t>https://youtu.be/c27zrOh6qkY</t>
  </si>
  <si>
    <t>Space to Ground  The Droids You're Looking For  05 03 2019</t>
  </si>
  <si>
    <t>NASA's Space to Ground is your weekly update on what's happening aboard the International Space Station. 
Got a question or comment? Use #spacetoground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t>
  </si>
  <si>
    <t>c27zrOh6qkY</t>
  </si>
  <si>
    <t>2019 04 30</t>
  </si>
  <si>
    <t>https://youtu.be/dcsiIoQody4</t>
  </si>
  <si>
    <t>Earth Views from the International Space Station</t>
  </si>
  <si>
    <t>The International Space Station’s High Definition Earth Viewing (HDEV) experiment is an external camera platform located on the Columbus module of the space station. In addition to providing beautiful views of Earth, one of the goals of HDEV is to monitor the longevity and quality of its image sensors in the space environment. HDEV operations began April 30, 2014 and only a single bad pixel has been identified.
Testing new engineering processes and camera system longevity expanded into having avid Earth-viewing followers and educational activities. To date, HDEV has reached over 300 million total views on UStream.
Learn more: https://www.nasa.gov/mission_pages/station/research/experiments/explorer/Investigation.html?#id=892 
Watch the view from the space station: https://eol.jsc.nasa.gov/ESRS/HDEV/
https://www.youtube.com/c/NASA/live
HD download link: https://archive.org/details/EarthViewsFromTheInternationalSpaceStation</t>
  </si>
  <si>
    <t>dcsiIoQody4</t>
  </si>
  <si>
    <t>2019 04 26</t>
  </si>
  <si>
    <t>https://youtu.be/orWZ1BXRg_Y</t>
  </si>
  <si>
    <t>Space to Ground  Extreme Exposure  04 26 2019</t>
  </si>
  <si>
    <t>orWZ1BXRg_Y</t>
  </si>
  <si>
    <t>2019 04 19</t>
  </si>
  <si>
    <t>https://youtu.be/pJXSxS8dA1s</t>
  </si>
  <si>
    <t>Space to Ground  Marathon Mission  04 19 2019</t>
  </si>
  <si>
    <t>pJXSxS8dA1s</t>
  </si>
  <si>
    <t>2019 04 18</t>
  </si>
  <si>
    <t>https://youtu.be/XI9bgWEwv8c</t>
  </si>
  <si>
    <t>Highlights of Science Launching on SpaceX CRS-17</t>
  </si>
  <si>
    <t>A SpaceX Dragon cargo spacecraft scheduled to launch in late April takes supplies and a variety of scientific experiments to the International Space Station. Lifted into orbit by a Falcon 9 rocket from Cape Canaveral Air Force Station in Florida, the craft represents the 17th SpaceX Commercial Resupply Services contract mission for NASA.
Read more about some of the scientific investigations traveling to the space station on this launch: https://go.nasa.gov/2GjYsME
HD Link:
https://archive.org/details/jsc2019m000282_Highlights_of_Science_Launching_on_SpaceX_CRS-17</t>
  </si>
  <si>
    <t>XI9bgWEwv8c</t>
  </si>
  <si>
    <t>2019 04 12</t>
  </si>
  <si>
    <t>https://youtu.be/H-UVSIIgxRw</t>
  </si>
  <si>
    <t>Space to Ground  Extended Duration  04 12 2019</t>
  </si>
  <si>
    <t>H-UVSIIgxRw</t>
  </si>
  <si>
    <t>https://youtu.be/xv3uSmMBPPw</t>
  </si>
  <si>
    <t>STEMonstrations  Spacewalk Part 2  Spacesuits</t>
  </si>
  <si>
    <t>During their time on the International Space Station many astronauts have the opportunity to participate in spacewalks, also known as Extravehicular Activities (EVA). These spacewalks play a critical role in keeping the station functional as it travels approximately 17,500 miles per hour 250 miles above the Earth’s surface. In this episode, Expedition 55/56 Flight Engineer Ricky Arnold talks about the critical parts of the spacesuit that keep astronauts safe as they perform maintenance in the harsh environment surrounding the space station. 
Visit https://nasa.gov/stemonstation for more educational resources that explore the research and technology of the International Space Station. 
HD download link: https://archive.org/details/jsc2018m000905_STEMonstrations_Spacewalk_Part2_Spacesuits_MXF</t>
  </si>
  <si>
    <t>xv3uSmMBPPw</t>
  </si>
  <si>
    <t>https://youtu.be/J8xmbMZEXBk</t>
  </si>
  <si>
    <t>STEMonstrations  Spacewalk Part 1  Safety and Training</t>
  </si>
  <si>
    <t>During their time on the International Space Station many astronauts have the opportunity to participate in spacewalks, also known as Extravehicular Activities (EVA). These spacewalks play a critical role in keeping the station functional as it travels approximately 17,500 miles per hour 250 miles above the Earth’s surface. In this episode, Expedition 55/56 Flight Engineer Ricky Arnold talks about the extensive training needed for spacewalks on the ground prior to a mission on the space station, and how it helps prepare astronauts for spacewalks outside of the station in low-Earth orbit. Visit https://nasa.gov/stemonstation for more educational resources that explore the research and technology of the International Space Station.
Try the activity in your classroom! 
https://www.nasa.gov/sites/default/files/atoms/files/stemonstrations_spacewalking.pdf
HD download link: https://archive.org/details/jsc2018m000904_STEMonstrations_Spacewalk_Part1_Safety_and_Training_MXF</t>
  </si>
  <si>
    <t>J8xmbMZEXBk</t>
  </si>
  <si>
    <t>2019 04 09</t>
  </si>
  <si>
    <t>https://youtu.be/bSqrmRE5g3Y</t>
  </si>
  <si>
    <t>Science on the Space Station  Women's History Month Edition</t>
  </si>
  <si>
    <t>Of the 64 women who have ever flown in space, 37 of them have spent time on board the International Space Station.  In honor of Women’s History Month, here’s a look at a few of the women who have made history doing scientific research in Earth orbit.
For more information, check out: http://www.nasa.gov/iss-science
HD Video Download Link: https://archive.org/details/jsc2019m000184_Science_on_the_Space_Station_Womens_History_Month
___________________________
FOLLOW THE SPACE STATION! 
Twitter: https://twitter.com/Space_Station
Facebook: https://www.facebook.com/ISS
Instagram: https://instagram.com/iss/</t>
  </si>
  <si>
    <t>bSqrmRE5g3Y</t>
  </si>
  <si>
    <t>https://youtu.be/GqRITyuIojY</t>
  </si>
  <si>
    <t>Scientific Investigations Set for Space on NG CRS-11</t>
  </si>
  <si>
    <t>A Northrop Grumman Cygnus spacecraft scheduled to liftoff no earlier than April 17 will carry supplies and scientific experiments to the International Space Station. For this mission, Northrop Grumman will use a new late load capability that allows time-sensitive experiments to be loaded just 24 hours before liftoff.
More: https://go.nasa.gov/2UuJhcn 
Follow updates on the science conducted aboard the space station on Twitter: https://twitter.com/iss_research  
For more information on how you can conduct your research in microgravity, visit https://go.nasa.gov/2q84LJj.</t>
  </si>
  <si>
    <t>GqRITyuIojY</t>
  </si>
  <si>
    <t>2019 04 05</t>
  </si>
  <si>
    <t>https://youtu.be/9ylhxZc0So0</t>
  </si>
  <si>
    <t>Space to Ground  Express Delivery  04 05 2019</t>
  </si>
  <si>
    <t>9ylhxZc0So0</t>
  </si>
  <si>
    <t>2019 04 02</t>
  </si>
  <si>
    <t>https://youtu.be/6ILU7-945L8</t>
  </si>
  <si>
    <t>Space-Grown Crystals Offer Clarity on Parkinson's Disease</t>
  </si>
  <si>
    <t>Parkinson’s disease affects more than 5 million people on Earth. Research on the International Space Station could provide insight into this chronic neurodegenerative disease and help scientists find ways to treat and prevent it. In this video, NASA astronaut Serena Auñon-Chancellor narrates as European Space Agency (ESA) astronaut Alexander Gerst uses a microscope to examine and photograph the LRRK2 crystals. 
Learn more about this research: https://go.nasa.gov/2FtsPiY 
HD download link: https://archive.org/details/jsc2018m001032Space-Grown_Crystals_Offer_Clarity_on_Parkinsons_Disease-MXF
Follow updates on the science conducted aboard the space station on Twitter: 
https://twitter.com/iss_research  
For more information on how you can conduct your research in microgravity, visit: 
https://go.nasa.gov/2q84LJj.</t>
  </si>
  <si>
    <t>6ILU7-945L8</t>
  </si>
  <si>
    <t>2019 03 29</t>
  </si>
  <si>
    <t>https://youtu.be/rBnjgOtiiME</t>
  </si>
  <si>
    <t>Space to Ground  Power Walking  03 29 2019</t>
  </si>
  <si>
    <t>rBnjgOtiiME</t>
  </si>
  <si>
    <t>2019 03 26</t>
  </si>
  <si>
    <t>https://youtu.be/5CzuwztCw-E</t>
  </si>
  <si>
    <t>STEMonstrations  Solar Energy</t>
  </si>
  <si>
    <t>Solar energy is a key element in keeping the International Space Station functional as it provides a working laboratory for astronauts in the unique microgravity environment. Astronauts rely on this renewable energy source to power the electronics needed for research and survival. In this episode, Expedition 55/56 Flight Engineer Ricky Arnold explains the process of generating power from the solar arrays on the space station to produce electricity for astronauts as they orbit approximately 250 miles above the earth’s surface. Visit https://nasa.gov/stemonstation for more educational resources that explore the research and technology of the International Space Station. 
HD quality download of this video at: https://archive.org/details/jsc2018m000903-STEMonstrations_Solar_Energy_MXF</t>
  </si>
  <si>
    <t>5CzuwztCw-E</t>
  </si>
  <si>
    <t>2019 03 21</t>
  </si>
  <si>
    <t>https://youtu.be/j1pNekMc3Co</t>
  </si>
  <si>
    <t>Space to Ground  Stepping Out  03 22 2019</t>
  </si>
  <si>
    <t>j1pNekMc3Co</t>
  </si>
  <si>
    <t>2019 03 15</t>
  </si>
  <si>
    <t>https://youtu.be/BwxctJQwn9I</t>
  </si>
  <si>
    <t>Space to Ground  Fire in the Sky  03 15 2019</t>
  </si>
  <si>
    <t>BwxctJQwn9I</t>
  </si>
  <si>
    <t>2019 03 14</t>
  </si>
  <si>
    <t>https://youtu.be/r7Dr3loRIH8</t>
  </si>
  <si>
    <t>Nick Hague Recap</t>
  </si>
  <si>
    <t>Think it’s been a busy last five months for you?  Check out what NASA astronaut Nick Hague has been doing during the time he had expected to be on board the International Space Station.  After an abort occurred following his first launch, Hague is poised for a return engagement at the launch pad in Kazakhstan and another effort to pursue his mission in space.
Follow Nick @AstroHague!
Twitter: https://twitter.com/astrohague
Facebook: https://www.facebook.com/astrohague/
___________________________
FOLLOW THE SPACE STATION! 
Twitter: https://twitter.com/Space_Station
Facebook: https://www.facebook.com/ISS 
Instagram: https://instagram.com/iss/</t>
  </si>
  <si>
    <t>r7Dr3loRIH8</t>
  </si>
  <si>
    <t>2019 03 13</t>
  </si>
  <si>
    <t>https://youtu.be/KfljMbcN_AI</t>
  </si>
  <si>
    <t>International Space Station  Preparing For The New Era</t>
  </si>
  <si>
    <t>The International Space Station has given us 20 years of scientific research and a platform to test and perfect a new fleet of vehicles. Check out this video to see how the knowledge we continue to gain from this orbiting laboratory is vital to our future in space.
For an HD copy of this video: https://archive.org/details/jsc2018m001053_International_Space_Station_Preparing_For_The_New_Era_MXF.mxf</t>
  </si>
  <si>
    <t>KfljMbcN_AI</t>
  </si>
  <si>
    <t>https://youtu.be/h5T37kIEXa8</t>
  </si>
  <si>
    <t>5 Things You Didn't Know About Astronaut Christina Koch</t>
  </si>
  <si>
    <t>Engineering and physics degrees? Check.  Previous work for NASA?  Another check.  Experience working at the South Pole and America Samoa?  Of course.  But the “usual credentials” aren’t the whole story about astronaut Christina Koch.  As she gets ready to launch on her first trip to space, check out her favorite extreme adventures, her dabbling with lightning, and a foreign trip that changed her perspective on life.
HD download link: ttps://archive.org/details/jsc2018m001054_5_Things_You_Didn't_Know_About_Astronaut_Christina_Koch
Follow Christina @Astro_Christina!
Twitter: https://twitter.com/astro_christina
Instagram: https://www.instagram.com/astro_christina
___________________________
FOLLOW THE SPACE STATION! 
Twitter: https://twitter.com/Space_Station
Facebook: https://www.facebook.com/ISS 
Instagram: https://instagram.com/iss/</t>
  </si>
  <si>
    <t>h5T37kIEXa8</t>
  </si>
  <si>
    <t>2019 03 08</t>
  </si>
  <si>
    <t>https://youtu.be/sEIK49joICE</t>
  </si>
  <si>
    <t>Space to Ground  A New Era  03 08 2019</t>
  </si>
  <si>
    <t>sEIK49joICE</t>
  </si>
  <si>
    <t>2019 03 05</t>
  </si>
  <si>
    <t>https://youtu.be/cKaZdxqygRM</t>
  </si>
  <si>
    <t>Preparing America for Deep Space - Episode20 - Underway and Moving</t>
  </si>
  <si>
    <t>NASA’s Orion, Space Launch System (SLS), and Exploration Ground Systems (EGS) programs made huge strides in late 2018 and early 2019. Across America and in Europe, teams are developing and building the spacecraft, rocket, and infrastructure necessary to send humans to deep space destinations including the Moon and beyond. Some major recent milestones include: 
Orion – European Service Module Arrival and Processing at Kennedy Space Center; Exploration Mission-1 Orion Spacecraft Processing; Exploration Mission-2 Orion Spacecraft Construction at Michoud Assembly Facility; Ascent Abort-2 Jettison Motor Qualification at Redstone Test Facility. 
SLS – Liquid Hydrogen Tank Structural Test Article Processing and Transport; 
EGS – at NASA’s Kennedy Space Center: Wet Flow Test at Launch Pad 39B Ascent Abort-2 Aeroshells Arrival; Exploration Mission-1 / Terminal Countdown Demonstration, Underway Recovery Testing in the Pacific Ocean.</t>
  </si>
  <si>
    <t>cKaZdxqygRM</t>
  </si>
  <si>
    <t>2019 03 01</t>
  </si>
  <si>
    <t>https://youtu.be/kLY8q5Rnh0M</t>
  </si>
  <si>
    <t>Astronaut Moments  Christina Koch</t>
  </si>
  <si>
    <t>It may not look like mountain climbing has much to do with being an astronaut, even though both involve great heights and special equipment.  But NASA’s Christina Koch says the concentration and control she learned in climbing helped her prepare to be an astronaut and to make the climb to space for her first mission to the International Space Station.
For high resolution download visit: https://archive.org/details/jsc2018m001027_Astronaut_Moment_Koch_MASTER_MXF</t>
  </si>
  <si>
    <t>kLY8q5Rnh0M</t>
  </si>
  <si>
    <t>https://youtu.be/mGd9bz52OqQ</t>
  </si>
  <si>
    <t>Space to Ground  An American Dawn  03 01 2019</t>
  </si>
  <si>
    <t>mGd9bz52OqQ</t>
  </si>
  <si>
    <t>2019 02 22</t>
  </si>
  <si>
    <t>https://youtu.be/exNcWaUFIYY</t>
  </si>
  <si>
    <t>Space to Ground  Personal Space  02 22 2019</t>
  </si>
  <si>
    <t>exNcWaUFIYY</t>
  </si>
  <si>
    <t>2019 02 15</t>
  </si>
  <si>
    <t>https://youtu.be/XqyA0trJUqI</t>
  </si>
  <si>
    <t>Space to Ground  Busy as Astrobees  02 15 2019</t>
  </si>
  <si>
    <t>XqyA0trJUqI</t>
  </si>
  <si>
    <t>2019 02 08</t>
  </si>
  <si>
    <t>https://youtu.be/vrLivzPNNNA</t>
  </si>
  <si>
    <t>Space to Ground  Femtosatellites  02 08 2019</t>
  </si>
  <si>
    <t>vrLivzPNNNA</t>
  </si>
  <si>
    <t>2019 02 01</t>
  </si>
  <si>
    <t>https://youtu.be/_Qgjalf62-Y</t>
  </si>
  <si>
    <t>Space to Ground  Packing and Prepping  02 01 2019</t>
  </si>
  <si>
    <t>_Qgjalf62-Y</t>
  </si>
  <si>
    <t>2018 12 21</t>
  </si>
  <si>
    <t>https://youtu.be/an6hE3g2LZM</t>
  </si>
  <si>
    <t>’Twas the Apollo Before Christmas</t>
  </si>
  <si>
    <t>The historic year 1968 was closed out by NASA with a first-of-its-kind accomplishment: putting human beings in orbit around Earth’s Moon, a feat that also provided the people of Earth with their first-ever view of their planet from afar.  So cozy up around the fire and join us to recall the events of fifty years ago which forged the path to those first footprints on the Moon.
___________________________
For more on the Apollo missions: https://www.nasa.gov/specials/apollo50th/missions.html</t>
  </si>
  <si>
    <t>an6hE3g2LZM</t>
  </si>
  <si>
    <t>https://youtu.be/pr0Mm-vbdxw</t>
  </si>
  <si>
    <t>Space to Ground  Holiday Homecoming  12 21 2018</t>
  </si>
  <si>
    <t>pr0Mm-vbdxw</t>
  </si>
  <si>
    <t>2018 12 20</t>
  </si>
  <si>
    <t>https://youtu.be/5czckmjorR0</t>
  </si>
  <si>
    <t xml:space="preserve">So You Want to Go To Mars   Episode 3  How Do We Send Humans to Deep Space </t>
  </si>
  <si>
    <t>Discover all the elements needed to send humans to deep space.  First, you’ll need a spaceport!  A spaceport has all the gear necessary to assemble and launch space systems. You’ll need a rocket!  The Space Launch System will be the largest, most powerful rocket that NASA has ever built. You’ll also need a spacecraft! NASA’s Orion is a unique and versatile spacecraft, one that is capable of taking astronauts into deep space and returning them safely home.  For in-space exploration, you’ll need the Gateway. This outpost will orbit around the Moon and will be a stepping stone for astronauts to travel deeper into the solar system, returning knowledge and discovery back to our home planet. Learn more about human exploration in deep space in this short animated video!
HD download here:    https://archive.org/details/jsc2018m000134_SoYouWantMarsE3_HowDoWeSendHumansDeepSpaceMXF.mxf</t>
  </si>
  <si>
    <t>5czckmjorR0</t>
  </si>
  <si>
    <t>2018 12 19</t>
  </si>
  <si>
    <t>https://youtu.be/b0ggTjHwZJ4</t>
  </si>
  <si>
    <t>2018 Johnson Space Center Year In Review</t>
  </si>
  <si>
    <t>b0ggTjHwZJ4</t>
  </si>
  <si>
    <t>2018 12 14</t>
  </si>
  <si>
    <t>https://youtu.be/Vy28SQuw0Pw</t>
  </si>
  <si>
    <t>Space to Ground  A Second Chance  12 14 2018</t>
  </si>
  <si>
    <t>Vy28SQuw0Pw</t>
  </si>
  <si>
    <t>2018 12 13</t>
  </si>
  <si>
    <t>https://youtu.be/1AG9f0dmg2w</t>
  </si>
  <si>
    <t>STEMonstrations  Sleep Science</t>
  </si>
  <si>
    <t>Establishing a routine for sleep is a key component to an astronaut’s ability to function aboard the International Space Station. In this episode, Expedition 55/56 Flight Engineer Ricky Arnold discusses the crew sleeping quarters, why sleep is important and how they adapt for circadian rhythms aboard the station. Use the lesson plan that coincides with this video to invigorate your STEM classroom.  Be sure to visit https://www.nasa.gov/stemonstrations for the Classroom Connection related to this video and more educational resources that explore the research and technology of the International Space Station. 
Try the activity in your classroom! https://www.nasa.gov/sites/default/files/atoms/files/stemonstrations_sleep-science.pdf
HD download link: https://archive.org/details/jsc2018m000902-STEMonstrations_Sleep_Science_MXF</t>
  </si>
  <si>
    <t>1AG9f0dmg2w</t>
  </si>
  <si>
    <t>2018 12 07</t>
  </si>
  <si>
    <t>https://youtu.be/eP3iLOuo3Is</t>
  </si>
  <si>
    <t>Space to Ground  Four Orbits Later  12 07 2018</t>
  </si>
  <si>
    <t>eP3iLOuo3Is</t>
  </si>
  <si>
    <t>2018 12 03</t>
  </si>
  <si>
    <t>https://youtu.be/0B9F0stb3s0</t>
  </si>
  <si>
    <t>Robotic Refueling Experiment Heads to Space</t>
  </si>
  <si>
    <t>Technology to make routine refueling of vehicles and satellites in space a reality will be tested on the International Space Station when the Robotic Refueling Mission 3 experiment arrives on the next SpaceX Dragon cargo ship.  You can learn more about the plans for storing and transferring cryogenic fluids in zero g here: https://go.nasa.gov/2TRnoAR
Follow updates on the science conducted aboard the space station on Twitter:
https://twitter.com/iss_research
For more information on how you can conduct your research in microgravity, visit https://go.nasa.gov/2q84LJj.
HD download link: https://archive.org/details/jsc2018m000997_Robotic_Refueling_Experiment_Heads_to_Space-MXF</t>
  </si>
  <si>
    <t>0B9F0stb3s0</t>
  </si>
  <si>
    <t>2018 11 30</t>
  </si>
  <si>
    <t>https://youtu.be/cXNoVoKgtG0</t>
  </si>
  <si>
    <t>5 Things You Didn’t Know About Astronaut Anne McClain</t>
  </si>
  <si>
    <t>She’s a native of Spokane, Washington and a colonel in the U.S. Army with a degree in astronautical engineering from West Point and a couple of master’s degrees on top of that, but there’s more to know about NASA astronaut Anne McClain on the eve of her first spaceflight.  Check out these details: her unusual birthday request in the sixth grade, her favorite sport, and the fate that befell her favorite movie at the hands of her brother.
Follow Anne @AstroAnnimal
Twitter:  https://twitter.com/AstroAnnimal
___________________________
FOLLOW THE SPACE STATION! 
Twitter: https://twitter.com/Space_Station
Facebook: https://www.facebook.com/ISS 
Instagram: https://instagram.com/iss/</t>
  </si>
  <si>
    <t>cXNoVoKgtG0</t>
  </si>
  <si>
    <t>https://youtu.be/4LFM3VFSpsQ</t>
  </si>
  <si>
    <t>Astronaut Moments   Anne McClain</t>
  </si>
  <si>
    <t>What does the game of rugby have to do with spaceflight?  Former U.S. national rugby team player and current NASA astronaut Anne McClain explains how her time playing rugby has helped her prepare for a space mission.
For HD download of this video please visit:
https://archive.org/details/jsc2018m000822_AstronautMoments_AnneMcClain_MXF</t>
  </si>
  <si>
    <t>4LFM3VFSpsQ</t>
  </si>
  <si>
    <t>https://youtu.be/zvptkWTeSas</t>
  </si>
  <si>
    <t>Space to Ground  Constructive Ideas  11 30 2018</t>
  </si>
  <si>
    <t>zvptkWTeSas</t>
  </si>
  <si>
    <t>2018 11 28</t>
  </si>
  <si>
    <t>https://youtu.be/TxJ69IYshJY</t>
  </si>
  <si>
    <t>Highlights of Science Launching on SpaceX CRS-16</t>
  </si>
  <si>
    <t>SpaceX is scheduled to launch its 16th commercial resupply mission to the International Space Station no earlier than Tuesday, Dec. 4. The Falcon 9 rocket will launch from Cape Canaveral Air Force Station in Florida carrying a cargo Dragon spacecraft loaded with supplies, equipment and scientific research for the crew aboard the orbiting laboratory. Investigations on this flight include a test of robotic technology for refueling spacecraft, a project to map the world’s forests and two student studies inspired by Marvel’s “Guardians of the Galaxy” series. More: https://go.nasa.gov/2TQx3I4 
Follow updates on the science conducted aboard the space station on Twitter:
https://twitter.com/iss_research
For more information on how you can conduct your research in microgravity, visit https://go.nasa.gov/2q84LJj.
HD download link: https://archive.org/details/JSC2018m000992_Highlights_of_Science_Launching_on SpaceX_CRS-16</t>
  </si>
  <si>
    <t>TxJ69IYshJY</t>
  </si>
  <si>
    <t>2018 11 23</t>
  </si>
  <si>
    <t>https://youtu.be/1iMUwXP5nGA</t>
  </si>
  <si>
    <t>Space to Ground  The Beginning of Tomorrow  11 23 2018</t>
  </si>
  <si>
    <t>1iMUwXP5nGA</t>
  </si>
  <si>
    <t>2018 11 16</t>
  </si>
  <si>
    <t>https://youtu.be/PD2d4jBSv1M</t>
  </si>
  <si>
    <t>Space to Ground  Honoring a Legend  11 16 2018</t>
  </si>
  <si>
    <t>PD2d4jBSv1M</t>
  </si>
  <si>
    <t>2018 11 14</t>
  </si>
  <si>
    <t>https://youtu.be/FG409y1WN4M</t>
  </si>
  <si>
    <t>Preparing America for Deep Space Episode 19  Showing Off Our Wares</t>
  </si>
  <si>
    <t>Big progress continues to be made in 2018 for NASA’s Orion, Space Launch System (SLS), and Exploration Ground Systems (EGS) programs. Teams across America and in Europe are developing and building the spacecraft, rocket, and infrastructure necessary to send humans to deep space destinations including the Moon and beyond. Some major recent milestones include: Orion – final Orion Airdrop Test Complete; AA-2, stacked and on track; Orion’s EM1 Service Module Completed and ready for shipment from Bremen, Germany to the United States. SLS – SLS right on schedule with RS-25 engine tests; EM-1 LH2 Core Stage Tank Thermal Protection Application; Intertank for NASA's new rocket readied for final assembly; EGS – Mobile Launcher moves to the Vehicle Assembly Building; Liquid Oxygen Tail Service Mast Umbilical Install to Mobile Launcher; Mobile Launcher Swing Arm Test.</t>
  </si>
  <si>
    <t>FG409y1WN4M</t>
  </si>
  <si>
    <t>2018 11 09</t>
  </si>
  <si>
    <t>https://youtu.be/8kLw0mKU6Zk</t>
  </si>
  <si>
    <t>Tissue Chips In Space</t>
  </si>
  <si>
    <t>A small device that contains human cells in a 3D matrix represents a giant leap in the ability of scientists to test how those cells respond to stresses, drugs and genetic changes. About the size of a thumb drive, the devices are known as tissue chips or organs on chips. 
A series of investigations to test tissue chips in microgravity aboard the International Space Station is planned through a collaboration between the National Institutes for Health (NIH) (National Center for Advancing Translational Sciences (NCATS) and National Institute of Biomedical Imaging and Bioengineering (NIBIB) at the National Institutes for Health (NIH) and the Center for the Advancement of Science in Space (CASIS) in partnership with NASA. The Tissue Chips in Space initiative seeks to better understand the role of microgravity on human health and disease and to translate that understanding to improved human health on Earth.
Read more about the Tissue Chips in Space Initiative: https://ncats.nih.gov/tissuechip/projects/space 
More: https://www.nasa.gov/tissue-chips
Follow updates on the science conducted aboard the space station on Twitter:
https://twitter.com/iss_research 
For more information on how you can conduct your research in microgravity, visit https://go.nasa.gov/2q84LJj.</t>
  </si>
  <si>
    <t>8kLw0mKU6Zk</t>
  </si>
  <si>
    <t>https://youtu.be/iwZ0Agu-3kE</t>
  </si>
  <si>
    <t>Space to Ground  Surviving the Plunge  11 09 2018</t>
  </si>
  <si>
    <t>NASA's Space to Ground is your weekly update on what's happening aboard the International Space Station. 
Got a question or comment? Use #spacetoground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
ion</t>
  </si>
  <si>
    <t>iwZ0Agu-3kE</t>
  </si>
  <si>
    <t>2018 11 02</t>
  </si>
  <si>
    <t>https://youtu.be/1vDvKRtZmVw</t>
  </si>
  <si>
    <t>Space to Ground  Getting a Grip  11 02 2018</t>
  </si>
  <si>
    <t>NASA's Space to Ground is your weekly update on what's happening aboard the International Space Station. 
Got a question or comment? Use #spacetoground to talk to us.
To view the first 8K ultra high definition (UHD) video from the International Space Station:
https://www.youtube.com/watch?v=7k2uKb9vCOI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t>
  </si>
  <si>
    <t>1vDvKRtZmVw</t>
  </si>
  <si>
    <t>2018 10 29</t>
  </si>
  <si>
    <t>https://youtu.be/a6Chhb75k_s</t>
  </si>
  <si>
    <t>Checking In With The 2017 NASA Astronaut Class, Part 2</t>
  </si>
  <si>
    <t>The 2017 NASA Astronaut Class has passed the one-year mark in their extensive training. Check out the video to see how much they’ve accomplished since the last time we saw them.
Here's a look at the first time we checked in. https://www.youtube.com/watch?v=XuDUFKaVum0</t>
  </si>
  <si>
    <t>a6Chhb75k_s</t>
  </si>
  <si>
    <t>2018 10 26</t>
  </si>
  <si>
    <t>https://youtu.be/29SIX6YFYGY</t>
  </si>
  <si>
    <t>Space to Ground  Neutron Dance  10 26 2018</t>
  </si>
  <si>
    <t>DescNASA's Space to Ground is your weekly update on what's happening aboard the International Space Station. 
Got a question or comment? Use #spacetoground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
ription</t>
  </si>
  <si>
    <t>29SIX6YFYGY</t>
  </si>
  <si>
    <t>2018 10 19</t>
  </si>
  <si>
    <t>https://youtu.be/1VV6CwxJYtM</t>
  </si>
  <si>
    <t>Space to Ground  A Successful Failure  10 19 2018</t>
  </si>
  <si>
    <t>1VV6CwxJYtM</t>
  </si>
  <si>
    <t>2018 10 15</t>
  </si>
  <si>
    <t>https://youtu.be/Tu5BgjZRYKA</t>
  </si>
  <si>
    <t>Science at 17,500 Miles Per Hour</t>
  </si>
  <si>
    <t>The International Space Station is a unique scientific platform that enables researchers from all over the world to put their talents to work on innovative experiments in the microgravity environment, which could not be done anywhere else. Although each space station partner has distinct agency goals for station research, each partner shares a unified goal to extend the resulting knowledge for the betterment of humanity. We may not know yet what will be the most important discovery gained from the space station, but we already have some amazing breakthroughs.
Learn more about the important research being operated on Station:
https://www.nasa.gov/stationresearchnews
HD Link: 
https://archive.org/details/jsc2018m000714_Science_at_17500_Miles_Per_Hour-MXF.mxf</t>
  </si>
  <si>
    <t>Tu5BgjZRYKA</t>
  </si>
  <si>
    <t>2018 10 10</t>
  </si>
  <si>
    <t>https://youtu.be/3BoO0obihPs</t>
  </si>
  <si>
    <t>ARES  Arriving Realistically to Earth's Sister</t>
  </si>
  <si>
    <t>Project Mars Film Competition Grand Prize 
ARES: Arriving Realistically to Earth's Sister
A film by: Mark Belan, Hamilton, Ontario, Canada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</si>
  <si>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3BoO0obihPs</t>
  </si>
  <si>
    <t>https://youtu.be/MVY09DfbcyI</t>
  </si>
  <si>
    <t>Rendezvous with Mars</t>
  </si>
  <si>
    <t>Project Mars Film Competition Grand Prize 
Rendezvous with Mars
A film by: Mayukh Goswami, Subigya Basnet, Divya More, New York City, New York,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</si>
  <si>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MVY09DfbcyI</t>
  </si>
  <si>
    <t>https://youtu.be/BISAsi3uyhM</t>
  </si>
  <si>
    <t>LANDFALL OF HURRICANE MICHAEL FROM SPACE</t>
  </si>
  <si>
    <t>Cameras outside the International Space Station captured views of Hurricane Michael at 12:58 p.m. EDT Oct. 10 from an altitude of 255 miles as the storm made landfall as a category 4 hurricane over the Florida panhandle. The National Hurricane Center reported maximum sustained winds near 150 mph with the potential to bring dangerous storm surge and heavy rains to the Florida panhandle area.</t>
  </si>
  <si>
    <t>BISAsi3uyhM</t>
  </si>
  <si>
    <t>https://youtu.be/45hEdNMUHpc</t>
  </si>
  <si>
    <t>Red Dream</t>
  </si>
  <si>
    <t>Project Mars Film Competition Grand Prize 
Red Dream
A film by: Kamil Janko, Tychy, Silesia, Poland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</si>
  <si>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45hEdNMUHpc</t>
  </si>
  <si>
    <t>https://youtu.be/CHzoZ98a2iY</t>
  </si>
  <si>
    <t>NASA</t>
  </si>
  <si>
    <t>Project Mars Film Competition Grand Prize 
NASA
A film by: Alexey Khamkin, Saint Petersburg, Russian Federation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</si>
  <si>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CHzoZ98a2iY</t>
  </si>
  <si>
    <t>https://youtu.be/lbGpk8yG6CA</t>
  </si>
  <si>
    <t>HIGHER</t>
  </si>
  <si>
    <t>Project Mars Film Competition Grand Prize 
HIGHER
A film by: Valentin Belleville, Seynod, France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</si>
  <si>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lbGpk8yG6CA</t>
  </si>
  <si>
    <t>https://youtu.be/vwc74Y3e774</t>
  </si>
  <si>
    <t>Dreaming of Mars</t>
  </si>
  <si>
    <t>Project Mars Film Competition Grand Prize 
Dreaming of Mars
A film by: Ross Ziegelmeier, David Franklyn, Alicia Fernandez, London, United Kingdom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</si>
  <si>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vwc74Y3e774</t>
  </si>
  <si>
    <t>https://youtu.be/w53JFVZtwhA</t>
  </si>
  <si>
    <t>92MARS</t>
  </si>
  <si>
    <t>Project Mars Film Competition Grand Prize 
92MARS
A film by: Ricardo Bernardini, Orlando, FL,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</si>
  <si>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w53JFVZtwhA</t>
  </si>
  <si>
    <t>https://youtu.be/10Pb6xQ_IYY</t>
  </si>
  <si>
    <t xml:space="preserve">What if </t>
  </si>
  <si>
    <t>Project Mars Film Competition Grand Prize 
What if?
A film by: Valera Boluchevsky, Moscow, Russian Federation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</si>
  <si>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10Pb6xQ_IYY</t>
  </si>
  <si>
    <t>https://youtu.be/619bUFGsD5A</t>
  </si>
  <si>
    <t>Expecting</t>
  </si>
  <si>
    <t>Project Mars Film Competition Grand Prize 
Expecting
A film by: Kalia Firester, Cambridge, MA,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</si>
  <si>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619bUFGsD5A</t>
  </si>
  <si>
    <t>https://youtu.be/6IDeu5pjWuY</t>
  </si>
  <si>
    <t>DREAM RED</t>
  </si>
  <si>
    <t>Project Mars Film Competition Grand Prize 
DREAM RED
A film by: Nik Hallik, Kevin Keator, Stanton, California,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</si>
  <si>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6IDeu5pjWuY</t>
  </si>
  <si>
    <t>https://youtu.be/8tK8sAU-Cyk</t>
  </si>
  <si>
    <t>On the Shoulders of Giants</t>
  </si>
  <si>
    <t>Project Mars Film Competition Grand Prize 
On the Shoulders of Giants
A film by: Eric Hayes, Calgary, Alberta, Canada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</si>
  <si>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8tK8sAU-Cyk</t>
  </si>
  <si>
    <t>https://youtu.be/A87YPC3SBko</t>
  </si>
  <si>
    <t>Redemption</t>
  </si>
  <si>
    <t>Project Mars Film Competition Grand Prize 
Redemption
A film by: Andrea Palaia, Tomide Olowoyo, Dallas, Texas,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</si>
  <si>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A87YPC3SBko</t>
  </si>
  <si>
    <t>https://youtu.be/Cz4ib70kpZE</t>
  </si>
  <si>
    <t>Approach</t>
  </si>
  <si>
    <t>Project Mars Film Competition Grand Prize 
Approach
A film by: Marion Parajes, Sean Casamento, Shanti Hands, Amanda Niles, Huntington Beach, CA,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</si>
  <si>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Cz4ib70kpZE</t>
  </si>
  <si>
    <t>https://youtu.be/DpoIYI2cU7c</t>
  </si>
  <si>
    <t>Morning Blue</t>
  </si>
  <si>
    <t>Project Mars Film Competition Grand Prize 
Morning Blue
A film by: Bas Hordijk, Daniel Pinto Nabais, Hoofddorp, Noord-Holland,  Netherlands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</si>
  <si>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DpoIYI2cU7c</t>
  </si>
  <si>
    <t>https://youtu.be/LSgUf3SGXdg</t>
  </si>
  <si>
    <t>Inevitable</t>
  </si>
  <si>
    <t>Project Mars Film Competition Grand Prize 
Inevitable
A film by: Luke Menard, Liam Trumble, Lafayette, Indiana,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</si>
  <si>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LSgUf3SGXdg</t>
  </si>
  <si>
    <t>https://youtu.be/OBBBT4V0Acw</t>
  </si>
  <si>
    <t>First Generation</t>
  </si>
  <si>
    <t>Project Mars Film Competition Grand Prize 
First Generation
A film by: Aaron Chavez, Round Rock, TX,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</si>
  <si>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OBBBT4V0Acw</t>
  </si>
  <si>
    <t>https://youtu.be/VMxB55C2qeU</t>
  </si>
  <si>
    <t>LEGO  Dreaming of Mars</t>
  </si>
  <si>
    <t>Project Mars Film Competition Grand Prize 
LEGO: Dreaming of Mars
A film by: Wiliam Thomason, Austin, Texas,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</si>
  <si>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VMxB55C2qeU</t>
  </si>
  <si>
    <t>https://youtu.be/VwrWafrxsSE</t>
  </si>
  <si>
    <t xml:space="preserve"> We are Explorers </t>
  </si>
  <si>
    <t>Project Mars Film Competition Grand Prize 
"We are Explorers"
A film by: Michael Golez, Naga City, Camarines Sur, Philippines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</si>
  <si>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VwrWafrxsSE</t>
  </si>
  <si>
    <t>https://youtu.be/iyncWZVONm0</t>
  </si>
  <si>
    <t>Mayhem</t>
  </si>
  <si>
    <t>Project Mars Film Competition Grand Prize 
Mayhem
A film by: Lucas Lazarre, Bridgeport, Connecticut,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</si>
  <si>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iyncWZVONm0</t>
  </si>
  <si>
    <t>https://youtu.be/ugwNv0E3hwM</t>
  </si>
  <si>
    <t>Patience</t>
  </si>
  <si>
    <t>Project Mars Film Competition Grand Prize 
Patience
A film by: Tom Lansdown, North Berwick, East Lothian, United Kingdom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</si>
  <si>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ugwNv0E3hwM</t>
  </si>
  <si>
    <t>https://youtu.be/w7pkPkjRi3k</t>
  </si>
  <si>
    <t>Forever Seeking</t>
  </si>
  <si>
    <t>Project Mars Film Competition Grand Prize 
Forever Seeking
A film by: Marius Krivičius, Lina Margaitytė, Vilnius, Lithuania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</si>
  <si>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w7pkPkjRi3k</t>
  </si>
  <si>
    <t>https://youtu.be/wuQK_2xUzsc</t>
  </si>
  <si>
    <t>Godspeed</t>
  </si>
  <si>
    <t>Project Mars Film Competition Grand Prize 
Godspeed
A film by: Kyle Gallagher, David LeMoyne, Josh Bain, Sam Skelton, Kelly Hulderman, Guillaume Muller-Greven, Thomas Spurio, Cleveland Heights, OH,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</si>
  <si>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wuQK_2xUzsc</t>
  </si>
  <si>
    <t>https://youtu.be/x0dPDLtTVjY</t>
  </si>
  <si>
    <t>It's Time To Go Farther</t>
  </si>
  <si>
    <t>Project Mars Film Competition Grand Prize 
It's Time To Go Farther
A film by: Camille Ralston, Seabrook, TX,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</si>
  <si>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x0dPDLtTVjY</t>
  </si>
  <si>
    <t>https://youtu.be/xJjEQYohgG4</t>
  </si>
  <si>
    <t>Nomadic Cloud</t>
  </si>
  <si>
    <t>Project Mars Film Competition Grand Prize 
Nomadic Cloud
A film by: Zhounang Wang, Wai Ching Cheng, Los Angeles, CA, United States
NASA is building a plan for Americans to orbit the Moon, land astronauts on the surface, and establish a lunar orbiting platform to host astronauts farther from Earth than ever before. The work NASA will do on the Moon in the coming years will serve as a critical precursor to an eventual series of crewed missions to Mars.</t>
  </si>
  <si>
    <t>xJjEQYohgG4</t>
  </si>
  <si>
    <t>https://youtu.be/--Oy44w1cmY</t>
  </si>
  <si>
    <t>5 Things You Didn’t Know About Astronaut Nick Hague</t>
  </si>
  <si>
    <t>He’s a colonel in the U.S. Air Force, an astronautical engineer by training, and the first member of NASA’s 2013 Astronaut Class to fly to space.  But that just scratches the surface of what there is to know about Kansas native Nick Hague as he gets set to launch to the International Space Station.  Check out more of the story: his favorite science fiction, his food craves, and the physical training that got him in shape to squeeze into a Soyuz spacecraft.
Follow Nick @AstroHague!
Twitter: https://twitter.com/astrohague
Facebook: https://www.facebook.com/astrohague/
___________________________
FOLLOW THE SPACE STATION! 
Twitter: https://twitter.com/Space_Station
Facebook: https://www.facebook.com/ISS 
Instagram: https://instagram.com/iss/</t>
  </si>
  <si>
    <t>--Oy44w1cmY</t>
  </si>
  <si>
    <t>2018 10 09</t>
  </si>
  <si>
    <t>https://youtu.be/TLxoWSBpBxE</t>
  </si>
  <si>
    <t>SPACE STATION CAMERAS CAPTURE VIEWS OF HURRICANE MICHAEL</t>
  </si>
  <si>
    <t>Cameras outside the International Space Station captured views of Hurricane Michael at 11:13 a.m. and 12:50 p.m. EDT Oct. 9 from an altitude of 255 miles as the storm churned over the Gulf of Mexico moving northwest at 12 miles an hour. Michael is expected to make landfall Wednesday, Oct. 10 as a category 3 hurricane over the Florida panhandle.</t>
  </si>
  <si>
    <t>TLxoWSBpBxE</t>
  </si>
  <si>
    <t>https://youtu.be/RKcxNsaLxEM</t>
  </si>
  <si>
    <t>Astronaut Moments   Nick Hague</t>
  </si>
  <si>
    <t>The NASA astronaut headed to the International Space Station as part of Expedition 57-58, Air Force Colonel Nick Hague is the first member of the astronaut class of 2013 to fly to space.  But Hague would be quick to say that this mission, like everything else he’s done in his life, is the result of a team effort.</t>
  </si>
  <si>
    <t>RKcxNsaLxEM</t>
  </si>
  <si>
    <t>2018 10 05</t>
  </si>
  <si>
    <t>https://youtu.be/F9YUaAomNrI</t>
  </si>
  <si>
    <t>Benefits for Humanity  After the Storm</t>
  </si>
  <si>
    <t>When Hurricane Maria devastated Puerto Rico in the fall of 2017, it had a profound effect upon the youth of the island. High above on the International Space Station, the astronauts living and working took notice. Joe Acaba, NASA's first astronaut of Puerto Rican descent, heard the heartbreaking stories of the island's youth and did all he could to connect. What transpired provided hope to thousands in a way that only the International Space Station could deliver.
HD download link: https://archive.org/details/jsc2018m000424_After-the-Storm_MXF
_______________________________________
FOLLOW THE SPACE STATION!
Twitter: https://twitter.com/Space_Station 
Facebook: https://www.facebook.com/ISS Instagram: https://instagram.com/iss/</t>
  </si>
  <si>
    <t>F9YUaAomNrI</t>
  </si>
  <si>
    <t>https://youtu.be/_v97DjFoq8s</t>
  </si>
  <si>
    <t>Space to Ground  Hello, Goodbye  10 05 2018</t>
  </si>
  <si>
    <t>NASA's Space to Ground is your weekly update on what's happening aboard the International Space Station. 
Got a question or comment? Use #spacetoground to talk to us.
Learn more about the important research being operated on Station:
https://www.nasa.gov/iss-science 
For more information about STEM on Station:
https://www.nasa.gov/audience/foreducators/stem_on_station/</t>
  </si>
  <si>
    <t>_v97DjFoq8s</t>
  </si>
  <si>
    <t>2018 10 04</t>
  </si>
  <si>
    <t>https://youtu.be/IgvjLRNIrhk</t>
  </si>
  <si>
    <t>Year of Education on Station  Fun Facts</t>
  </si>
  <si>
    <t>Check out this packed-with-info video to find out how many students, educators, and countries benefited from NASA’s Year of Education on Station! YES consisted of astronauts and former teachers Joe Acaba and Ricky Arnold making the International Space Station their home on separate missions that ran from September 2017 through October 2018. While on board, they shared their love of STEM and their passion for teaching.
Find out more of what NASA STEM Engagement has to offer at: https://www.nasa.gov/audience/forstudents/index.html</t>
  </si>
  <si>
    <t>IgvjLRNIrhk</t>
  </si>
  <si>
    <t>2018 10 03</t>
  </si>
  <si>
    <t>https://youtu.be/uE4k4P1nKuk</t>
  </si>
  <si>
    <t>Tennis in Space</t>
  </si>
  <si>
    <t>Expedition 56 crew members including NASA astronauts Drew Feustel, Ricky Arnold, and Serena Auñón-Chancellor, and European Space Agency astronaut Alexander Gerst embark upon a tennis match in space aboard the International Space Station.
Commander Drew Feustel commented on the match saying, “Our match in space was pretty challenging due to the fact that we are in a microgravity environment. We did have a net, but the rules allowed the ball to go over or under the net. Also, there was no requirement for us to stay on the ground, so to speak, so we had the freedom to play on the walls, ceiling, or floor. The game space was a bit cramped so we could not really smack the ball without making it unplayable for our opponents. Also, we did not observe a service or base line or any lines for that matter. We just did not have them. We made a lot of modifications, including to the racquets.”
For more on the International Space Station, visit:www.nasa.gov/station</t>
  </si>
  <si>
    <t>uE4k4P1nKuk</t>
  </si>
  <si>
    <t>2018 09 28</t>
  </si>
  <si>
    <t>https://youtu.be/N7v4hnzA9e0</t>
  </si>
  <si>
    <t>Space to Ground  Kounotori 7  09 28 2018</t>
  </si>
  <si>
    <t>N7v4hnzA9e0</t>
  </si>
  <si>
    <t>2018 09 21</t>
  </si>
  <si>
    <t>https://youtu.be/ddXdeNTYq_U</t>
  </si>
  <si>
    <t>Houston We Have a Podcast  Reach New Heights and Reveal the Unknown</t>
  </si>
  <si>
    <t>The NASA Johnson Space Center’s audio podcast goes visual for a special episode. On the day that Vice President Mike Pence came to Houston to talk about the future of NASA, we sat down with NASA Administrator Jim Bridenstine and Johnson Space Center Director Mark Geyer to get the details. They discuss the next exciting period in spaceflight and the mission and direction of America’s space agency with show host Gary Jordan. Learn about the era of not only the International Space Station but the upcoming commercial crew missions, the commercialization of low Earth orbit, the plans for exploring the Moon and Mars, and much more.
_____________________________________
FOLLOW THE PODCAST AND OTHER NEWS FROM NASA’S JOHNSON SPACE CENTER! 
Twitter: https://twitter.com/NASA_Johnson
Facebook: https://www.facebook.com/NASAJSC/
Instagram: https://www.instagram.com/nasajohnson</t>
  </si>
  <si>
    <t>ddXdeNTYq_U</t>
  </si>
  <si>
    <t>https://youtu.be/AzEVBAJlaKE</t>
  </si>
  <si>
    <t>Space to Ground  Long Distance Call  09 21 2018</t>
  </si>
  <si>
    <t>AzEVBAJlaKE</t>
  </si>
  <si>
    <t>2018 09 20</t>
  </si>
  <si>
    <t>https://youtu.be/sXudYIkkyE0</t>
  </si>
  <si>
    <t>ADVISOR TO THE PRESIDENT IVANKA TRUMP SPEAKS WITH SPACE STATION CREW MEMBERS</t>
  </si>
  <si>
    <t>Advisor to the President Ivanka Trump visited NASA’s Johnson Space Center in Houston and its Mission Control Center on Thursday, Sept. 20, 2018, where she spoke with Expedition 56 crew members Commander Drew Feustel, Flight Engineers Ricky Arnold and Serena Auñón-Chancellor, all of NASA, Flight Engineer Alex Gerst of ESA (European Space Agency) and Flight Engineers Oleg Artemyev and Sergey Prokopyev of the Russian space Agency Roscosmos on board the International Space Station.</t>
  </si>
  <si>
    <t>sXudYIkkyE0</t>
  </si>
  <si>
    <t>2018 09 19</t>
  </si>
  <si>
    <t>https://youtu.be/NjMuWXZgtQs</t>
  </si>
  <si>
    <t>Studying Sediments in Space</t>
  </si>
  <si>
    <t>Studying Sediments in Space
Quantifying Cohesive Sediment Dynamics for Advanced Environmental Modeling (BCAT-CS) focuses on the study of forces between particles that cluster together by studying sediments of quartz and clay particles. By conducting the research aboard the International Space Station (ISS), it is possible to separate the forces acting on the particles over a short range (adhesive forces) versus those acting over a long range (cohesive forces). The quartz/clay system is commonly found in a wide variety of environmental settings (such as rivers, lakes, and oceans) and plays an important role in technological efforts related to deep sea hydrocarbon drilling and carbon dioxide sequestration.
Learn more about BCAT-CS: https://go.nasa.gov/2p6WBSV
HD download: HTTPS://archive.org/details/Studying_Sediments_In_Space_MXF
 _____________________________________________________
Follow updates on the science conducted aboard the space station on Twitter:
https://twitter.com/iss_research
For more information on how you can conduct your research in microgravity, visit https://go.nasa.gov/2q84LJj.</t>
  </si>
  <si>
    <t>NjMuWXZgtQs</t>
  </si>
  <si>
    <t>2018 09 14</t>
  </si>
  <si>
    <t>https://youtu.be/sdqkw2zL_0w</t>
  </si>
  <si>
    <t>Space to Ground  Above the Storm  09 14 2018</t>
  </si>
  <si>
    <t>sdqkw2zL_0w</t>
  </si>
  <si>
    <t>https://youtu.be/z_3BOpVOPTY</t>
  </si>
  <si>
    <t>Views of Hurricane Florence at Landfall</t>
  </si>
  <si>
    <t>Cameras outside the International Space Station captured views of Hurricane Florence on Sept. 14 at 7:41 a.m. EDT minutes after the storm made landfall near Wrightsville Beach, North Carolina packing winds of 90 miles an hour. The National Hurricane Center said Florence is moving very slowly to the west at only 6 miles an hour, then is expected to turn to the southwest, increasing the threat for historic storm surge and catastrophic flooding to coastline areas and inland cities in North Carolina and South Carolina.</t>
  </si>
  <si>
    <t>z_3BOpVOPTY</t>
  </si>
  <si>
    <t>2018 09 13</t>
  </si>
  <si>
    <t>https://youtu.be/6x34twf7mOs</t>
  </si>
  <si>
    <t>New Views of Hurricane Florence</t>
  </si>
  <si>
    <t>High definition cameras outside the International Space Station captured new views of a somewhat weakened Hurricane Florence at 6:56 a.m. EDT Sept. 13 as it neared the U.S. Eastern seaboard. According to the National Hurricane Center, Florence is moving northwest with winds of 110 miles an hour. On the forecast track, the center of Florence will approach the coasts of North and South Carolina later today, then move near or over the coast of southern North Carolina and eastern South Carolina in the hurricane warning area tonight and Friday. A slow motion over eastern South Carolina is forecast Friday night through Saturday night. The region is facing potential catastrophic flooding from Florence with some rainfall totals predicted to reach 40 inches.</t>
  </si>
  <si>
    <t>6x34twf7mOs</t>
  </si>
  <si>
    <t>https://youtu.be/qPiT-Q4kaBE</t>
  </si>
  <si>
    <t>Final Orion Parachute Test for Missions with Astronauts (Aerial views)</t>
  </si>
  <si>
    <t>An Orion test capsule was dropped from a C-17 aircraft at an altitude of more than six miles to verify the spacecraft’s complex system of 11 parachutes, cannon-like mortars, and pyrotechnic devices work in sequence to slow the capsule’s descent for a safe landing on Earth. This test and a series of others have evaluated Orion’s parachute performance during normal landing sequences, several failure scenarios, and a variety of potential aerodynamic conditions, to ensure the safe return of astronauts from deep space missions. It occurred Sept. 12 at the U.S. Army Yuma Proving Ground in Arizona, and was the final test to certify the system for missions with crew.
Video credit: U.S. Army</t>
  </si>
  <si>
    <t>qPiT-Q4kaBE</t>
  </si>
  <si>
    <t>2018 09 12</t>
  </si>
  <si>
    <t>https://youtu.be/YlEZ8Idogps</t>
  </si>
  <si>
    <t>Final Orion Parachute Test for Missions with Astronauts</t>
  </si>
  <si>
    <t>An Orion test capsule was dropped from a C-17 aircraft at an altitude of more than six miles to verify the spacecraft’s complex system of 11 parachutes, cannon-like mortars, and pyrotechnic devices work in sequence to slow the capsule’s descent for a safe landing on Earth. This test and a series of others have evaluated Orion’s parachute performance during normal landing sequences, several failure scenarios, and a variety of potential aerodynamic conditions, to ensure the safe return of astronauts from deep space missions. It occurred Sept. 12 at the U.S. Army Yuma Proving Ground in Arizona, and was the final test to certify the system for missions with crew.</t>
  </si>
  <si>
    <t>YlEZ8Idogps</t>
  </si>
  <si>
    <t>https://youtu.be/uyitOTGCCYo</t>
  </si>
  <si>
    <t>Stark View of Hurricane Florence from ISS</t>
  </si>
  <si>
    <t>A high definition camera outside the International Space Station captured a stark and sobering view of Hurricane Florence at 7:50 a.m. EDT on Sept. 12 as it churned across the Atlantic in a west-northwesterly direction with winds of 130 miles an hour. The National Hurricane Center forecasts additional strengthening for Florence before it reaches the coastline of North Carolina and South Carolina early Friday, Sept. 14.
HD download link: https://archive.org/details/HurricaneFlorence180912</t>
  </si>
  <si>
    <t>uyitOTGCCYo</t>
  </si>
  <si>
    <t>2018 09 10</t>
  </si>
  <si>
    <t>https://youtu.be/IJ2HKIoYln0</t>
  </si>
  <si>
    <t>Dramatic Views of Hurricane Florence</t>
  </si>
  <si>
    <t>Cameras outside the International Space Station captured dramatic views of rapidly strengthening Hurricane Florence at 8:10 a.m. EDT Sept. 10 as it moved in a westerly direction across the Atlantic, headed for a likely landfall along the eastern seaboard of the U.S. late Thursday or early Friday. Now a major hurricane with winds of 115 miles an hour and increasing, the National Hurricane Center says Florence’s forecast track will take the system over the southwestern Atlantic Ocean between Bermuda and the Bahamas Tuesday and Wednesday, and Florence will approach the coast of South Carolina or North Carolina on Thursday. The station was flying 255 miles over the storm at the time this video was captured.</t>
  </si>
  <si>
    <t>IJ2HKIoYln0</t>
  </si>
  <si>
    <t>2018 09 07</t>
  </si>
  <si>
    <t>https://youtu.be/l8lGfUV3_ZQ</t>
  </si>
  <si>
    <t>Space to Ground  Batteries Included  09 07 2018</t>
  </si>
  <si>
    <t>l8lGfUV3_ZQ</t>
  </si>
  <si>
    <t>2018 09 04</t>
  </si>
  <si>
    <t>https://youtu.be/WsTOhOYqq4w</t>
  </si>
  <si>
    <t>Space Station Cameras Capture Views of Tropical Storm Gordon</t>
  </si>
  <si>
    <t>Cameras outside the International Space Station captured views of Tropical Storm Gordon at 11:30 a.m. EDT Sept. 4 from an altitude of 255 miles as the storm churned over the northern Gulf of Mexico moving northwest at 15 miles an hour. Gordon was expected to make landfall tonight as a category 1 hurricane over the southeast Louisiana or southwestern Mississippi coastline.</t>
  </si>
  <si>
    <t>WsTOhOYqq4w</t>
  </si>
  <si>
    <t>2018 08 31</t>
  </si>
  <si>
    <t>https://youtu.be/sGuTEaR4h_g</t>
  </si>
  <si>
    <t>Space to Ground  Potential Game Changer  08 31 2018</t>
  </si>
  <si>
    <t>sGuTEaR4h_g</t>
  </si>
  <si>
    <t>https://youtu.be/ezhKIPfEZII</t>
  </si>
  <si>
    <t>Preparing America for Deep Space Episode 18 On The Move</t>
  </si>
  <si>
    <t>Big progress continues to be made in 2018 for NASA’s Orion, Space Launch System (SLS), and Exploration Ground Systems (EGS) programs. Teams across America and in Europe are developing and building the spacecraft, rocket, and infrastructure necessary to send humans to deep space destinations including the Moon and beyond. Some major milestones include: Orion – Orion tank integration, Engine Gimbal System Test, and Solar Wing Test in Bremen, Germany, Structural Test Article Testing in Littleton, CO, and Exploration Mission-3 Machining in Fountain Valley, CA and Brea, CA. SLS – Application of thermal protection to Launch Vehicle Stage Adapter, Intertank Structural test article lifted to test stand at Marshall Space Flight Center (MSFC), Orion stage adapter loaded onto Super Guppy at MSFC and shipped to Kennedy Space Center (KSC). LOX Flight Hardware move to Area 6 at Michoud Assembly Facility, and LH2 Structural Test Article move for thermal protection system processing at MAF. EGS – Flame Deflector Installation at Pad 39B (KSC), Crawler-Transporter 2 move to Pad 39B, Crawler lifts the Mobile Launcher, Water Deluge Test at Pad 39B. 
For HD copy: https://archive.org/details/ jsc2018m000717_PreparingAmericaforDeepSpaceEpisode18_On The Move_MXF.mxf</t>
  </si>
  <si>
    <t>ezhKIPfEZII</t>
  </si>
  <si>
    <t>2018 08 29</t>
  </si>
  <si>
    <t>https://youtu.be/v1Bej_a2tgM</t>
  </si>
  <si>
    <t>STEMonstrations  Water Filtration</t>
  </si>
  <si>
    <t>Water filtration plays a key part in crew survival aboard the International Space Station. In this episode, Expedition 56 Commander Drew Feustel discusses the water recovery system used to recycle crew waste water for consumption.  Use the lesson plan that coincides with this video to invigorate your STEM classroom.  Be sure to visit https://www.nasa.gov/stemonstation for more educational resources that explore the research and technology of the International Space Station.
Try the activity in your classroom! https://www.nasa.gov/sites/default/files/atoms/files/stemonstrations_water-filtration.pdf
HD download link: https://archive.org/details/JSC2018m000488_STEMonstrations_Water_Filtration_MXF</t>
  </si>
  <si>
    <t>v1Bej_a2tgM</t>
  </si>
  <si>
    <t>2018 08 22</t>
  </si>
  <si>
    <t>https://youtu.be/fNHRGK3pILU</t>
  </si>
  <si>
    <t>Dangerous Hurricane Lane approaches Hawaii</t>
  </si>
  <si>
    <t>Cameras on the International Space Station captured views of Hurricane Lane churning in the Pacific Ocean Aug. 22 as it flew 254 miles south of the Hawaiian Islands at 12:47 p.m. EDT. At the time of the station’s pass, Lane was a major hurricane packing winds of 155 miles an hour moving west-northwest on a track that would bring the storm close to or over the islands between Wednesday and Saturday. Hurricane warnings and watches were posted by the Central Pacific Hurricane Center in Honolulu for the entire island chain. 
HD download link: 
https://archive.org/details/JSC20180822HurricaneLane
FOLLOW THE SPACE STATION
Twitter: https://twitter.com/Space_Station
Facebook: https://www.facebook.com/ISS
Instagram: https://instagram.com/iss/</t>
  </si>
  <si>
    <t>fNHRGK3pILU</t>
  </si>
  <si>
    <t>https://youtu.be/erGhIf55IVE</t>
  </si>
  <si>
    <t>Astronaut Moment  Serena Auñón-Chancellor</t>
  </si>
  <si>
    <t>How do you rehearse for a space mission?  One way Astronaut Serena M. Auñón-Chancellor prepared for space was by visiting extreme environments, under the sea and in the Antarctic.  
Find out how conducting research under the ocean and searching for meteorites in the snow prepared Serena for a mission to the International Space Station.</t>
  </si>
  <si>
    <t>erGhIf55IVE</t>
  </si>
  <si>
    <t>2018 08 21</t>
  </si>
  <si>
    <t>https://youtu.be/AyfMCNfcWSc</t>
  </si>
  <si>
    <t>Angiex Cancer Therapy in Space</t>
  </si>
  <si>
    <t>Did you ever see a cancer experiment up close?  Here’s your chance: watch as Flight Engineer Serena Auñón-Chancellor works with the Angiex Cancer Therapy experiment in the International Space Station’s Destiny laboratory module.  Auñón-Chancellor gives us a look as she grows and examines endothelial cells, which are important in the human body’s blood supply system.  Scientists want to know if the space-grown cells can improve testing methods for drugs which are aimed at choking off blood supply to cancerous tumors in the body.
For more on Angiex, visit: https://www.nasa.gov/mission_pages/station/research/experiments/explorer/Investigation.html?#id=7502
HD Link: 
https://archive.org/details/jsc2018m000691_Angiex_Cancer_Therapy_in_Space-MXF
___________________________
FOLLOW THE SPACE STATION!
Twitter: https://twitter.com/Space_Station
Facebook: https://www.facebook.com/ISS
Instagram: https://instagram.com/iss/</t>
  </si>
  <si>
    <t>AyfMCNfcWSc</t>
  </si>
  <si>
    <t>2018 08 17</t>
  </si>
  <si>
    <t>https://youtu.be/-DyKl307xKY</t>
  </si>
  <si>
    <t>Space to Ground  ICARUS Ascending  08 17 2018</t>
  </si>
  <si>
    <t>-DyKl307xKY</t>
  </si>
  <si>
    <t>2018 08 10</t>
  </si>
  <si>
    <t>https://youtu.be/Csq8aAg5Y78</t>
  </si>
  <si>
    <t>Space to Ground  A Star to Steer By  08 10 2018</t>
  </si>
  <si>
    <t>Csq8aAg5Y78</t>
  </si>
  <si>
    <t>2018 08 09</t>
  </si>
  <si>
    <t>https://youtu.be/HxiQwo5IFTA</t>
  </si>
  <si>
    <t>A Day In The Life Of A NASA Intern</t>
  </si>
  <si>
    <t>This video reveals the extraordinary ordinary life of a NASA Johnson Space Center intern! There is never a dull day with so many opportunities for exploration. Take a journey with one of our star interns— and who knows—one day you might make this journey yourself! 
The video tours you through NASA’s Johnson Space Center in Houston which begins at Rocket Park where the Saturn V rocket is housed. The Saturn V rocket is the tallest, heaviest and most powerful rocket ever flown. NASA used the colossal Saturn V rockets primarily during the Apollo program to send Americans to the moon. Next, you see NASA’s Neutral Buoyancy Laboratory, the giant pool where astronauts train for spacewalks. Mockups of the International Space Station are underwater in the 40-foot-deep pool. Finally, you see the Space Vehicle Mockup Facility which contains life-size mockups of the International Space Station and Orion spacecraft as well as a variety of robotic and engineering projects.
To learn more about NASA internships, visit: https://intern.nasa.gov/
To learn more about NASA Johnson Space Center, visit: https://www.nasa.gov/centers/johnson/home/index.html
Point of contact: Thalia Patrinos and Theo Sorg 
Director: Thalia Patrinos 
Video editing: Thalia Patrinos 
Script: Daniel Merlino
Actors:  Jimmy Lazo, Mary Williams, Kevin Ramos, Aaron Kirtland, Theo Sorg, Thalia Patrinos
Camera: Norah Moran and James Blair
Special thanks: Arthur Knell and all of the members of the Intern Video Committee!</t>
  </si>
  <si>
    <t>HxiQwo5IFTA</t>
  </si>
  <si>
    <t>2018 08 05</t>
  </si>
  <si>
    <t>https://youtu.be/_SYlObhyDqI</t>
  </si>
  <si>
    <t>Live Interviews with Starliner and Crew Dragon Astronauts 8.3.18 1</t>
  </si>
  <si>
    <t>Commercial Crew Program Astronauts Robert Behnken, Doug Hurley, Eric Boe, Chris Ferguson, and Nicole Aunapu Mann conduct a series of interviews with media on NASA-TV.  (Part 1)</t>
  </si>
  <si>
    <t>_SYlObhyDqI</t>
  </si>
  <si>
    <t>2018 08 04</t>
  </si>
  <si>
    <t>https://youtu.be/r38UygZMc0o</t>
  </si>
  <si>
    <t>Live_Interviews_with_Starliner_and_Crew_Dragon_Astronauts_8.3.18_2</t>
  </si>
  <si>
    <t>Commercial Crew Program Astronauts Robert Behnken, Doug Hurley, Eric Boe, Chris Ferguson, and Nicole Aunapu Mann conduct a series of interviews with media on NASA-TV. (Part 2)</t>
  </si>
  <si>
    <t>r38UygZMc0o</t>
  </si>
  <si>
    <t>2018 08 03</t>
  </si>
  <si>
    <t>https://youtu.be/Tmn9SiZZUmA</t>
  </si>
  <si>
    <t>Space to Ground  From American Soil  08 03 2018</t>
  </si>
  <si>
    <t>Tmn9SiZZUmA</t>
  </si>
  <si>
    <t>https://youtu.be/uwWLPW7ZG0Y</t>
  </si>
  <si>
    <t>NASA Announces Crews for First Commercial Vehicle Flights</t>
  </si>
  <si>
    <t>NASA announces the men and women who will be on board the first flights of the new spaceships built by Boeing and SpaceX when Americans are once again launched into space from the USA.  The nine astronauts targeted to make the first flights on the Boeing Starliner and SpaceX Crew Dragon share their thoughts about the assignment and the importance of this new capability to support the International Space Station as part of the nation’s overall space exploration plan.
FOR MORE ABOUT THE COMMERCIAL CREW PROGRAM: https://www.nasa.gov/exploration/commercial/crew/index.html
HD DOWNLOAD:
https://archive.org/details/jsc2018m000647_NASA_Announces_Crews_for_First_Commercial_Vehicle_Flights
___________________________
FOLLOW THE SPACE STATION! 
Twitter: https://twitter.com/Space_Station
Facebook: https://www.facebook.com/ISS 
Instagram: https://instagram.com/iss/</t>
  </si>
  <si>
    <t>uwWLPW7ZG0Y</t>
  </si>
  <si>
    <t>2018 08 01</t>
  </si>
  <si>
    <t>https://youtu.be/LlFCvOzdpoI</t>
  </si>
  <si>
    <t>Tiny Organisms, Big Impact</t>
  </si>
  <si>
    <t>Trillions of microorganisms live on and in the human body, many of them essential to its function and health. These organisms, collectively known as the microbiota, outnumber cells in the body by at least five times.  
Microorganisms in the intestinal tract, the gut microbiota, play an especially important role in human health. An investigation on the International Space Station, Rodent Research-7 (RR-7), examines how the gut microbiota changes in response to spaceflight, and how that change in turn affects the immune system, metabolic system, and circadian or daily rhythms.
Read more about RR-7: https://www.nasa.gov/mission_pages/station/research/news/microbiota_research
Follow updates on the science conducted aboard the space station on Twitter:
https://twitter.com/iss_research
For more information on how you can conduct your research in microgravity, visit https://go.nasa.gov/2q84LJj. 
HD DOWNLOAD: https://archive.org/details/jsc2018m000638_Tiny_Organisms_Big_Impact</t>
  </si>
  <si>
    <t>LlFCvOzdpoI</t>
  </si>
  <si>
    <t>2018 07 31</t>
  </si>
  <si>
    <t>https://youtu.be/1uCs2MKyYek</t>
  </si>
  <si>
    <t>The Battle for Space Breakfast</t>
  </si>
  <si>
    <t>Spatulas at the ready, teams of students from more than 30 high schools across the country faced off at Space Center Houston to find the best breakfast entrée to send to the crew on the International Space Station.  Take a look at the action from the fourth annual High school students United with NASA to Create Hardware (HUNCH) Culinary Challenge, and the winning dish from Decatur High School in Decatur, Alabama.
For more on the Culinary Challenge: http://hunchculinary.com/
HD Link:
https://archive.org/details/jsc2018m000357_The_Battle_for_Space_Breakfast-MXF</t>
  </si>
  <si>
    <t>1uCs2MKyYek</t>
  </si>
  <si>
    <t>2018 07 27</t>
  </si>
  <si>
    <t>https://youtu.be/ofNkfSdpOzM</t>
  </si>
  <si>
    <t>Space to Ground  Locally Grown  07 27 2018</t>
  </si>
  <si>
    <t>ofNkfSdpOzM</t>
  </si>
  <si>
    <t>2018 07 20</t>
  </si>
  <si>
    <t>https://youtu.be/l9G1vfIpM5Y</t>
  </si>
  <si>
    <t>Space to Ground  Concrete Science  07 20 2018</t>
  </si>
  <si>
    <t>NASA's Space to Ground is your weekly update on what's happening aboard the International Space Station.
Got a question or comment? Use #spacetoground to talk to us.
Learn more about the important research being operated on Station:
https://www.nasa.gov/iss-science
For more information about STEM on Station:
https://www.nasa.gov/audience/foreducators/stem_on_station/
________________________________________
FOLLOW THE SPACE STATION!
Twitter: https://twitter.com/Space_Station
Facebook: https://www.facebook.com/ISS
Instagram: https://instagram.com/iss/</t>
  </si>
  <si>
    <t>l9G1vfIpM5Y</t>
  </si>
  <si>
    <t>2018 07 17</t>
  </si>
  <si>
    <t>https://youtu.be/TGQx5todiHM</t>
  </si>
  <si>
    <t xml:space="preserve">So You Want to Go to Mars   Episode 2   What Does it Take to be a NASA Hero </t>
  </si>
  <si>
    <t>There are many heroes at NASA, and they’re not just astronauts.   In this episode of “So You Want to Go to Mars?” we take a special behind the scenes look at spaceflight and discover the heroes that are solving the major challenges of our space missions today and in the future.
For more information:  www.nasa.gov
For HD copy of this video:  Archive.org:  https://archive.org/details/jsc2018m000133_SoYouWantMars_E2_NASA_Heroes_MXF</t>
  </si>
  <si>
    <t>TGQx5todiHM</t>
  </si>
  <si>
    <t>2018 07 13</t>
  </si>
  <si>
    <t>https://youtu.be/ymxzfJmUO0w</t>
  </si>
  <si>
    <t>Space to Ground  Same Day Delivery  07 13 2018</t>
  </si>
  <si>
    <t>ymxzfJmUO0w</t>
  </si>
  <si>
    <t>2018 07 10</t>
  </si>
  <si>
    <t>https://youtu.be/ul3f5xP0_bI</t>
  </si>
  <si>
    <t>NASA's New Flight Directors 2018</t>
  </si>
  <si>
    <t>Meet the six new flight directors selected to join the team leading human space flights from Mission Control at NASA’s Johnson Space Center in Houston.  These men and women join a team of 32 active flight directors who lead teams of flight controllers, payload customers and station partners, with overall responsibility to manage and carry out all human space flights, including those of American-made commercial spaceships and future flights of the Orion spacecraft to the Moon and beyond.
Learn more about careers at NASA at: https://www.nasa.gov/careers
HD Link:
https://archive.org/details/jsc2018m000528_NASA_New_Flight_Directors_2018-MXF</t>
  </si>
  <si>
    <t>ul3f5xP0_bI</t>
  </si>
  <si>
    <t>2018 07 06</t>
  </si>
  <si>
    <t>https://youtu.be/pGpWuKaZKac</t>
  </si>
  <si>
    <t>Preparing America for Deep Space Episode 17  Building the Future</t>
  </si>
  <si>
    <t>Important strides have been made in 2018 for NASA’s Orion, Space Launch System (SLS) and Exploration Ground Systems (EGS) programs. Teams across America and in Europe are developing and building the spacecraft, rocket and infrastructure necessary to send humans to deep space destinations including the Moon and beyond. Some major milestones include: Orion – parachute drop testing at the Yuma Proving Ground; Exploration Mission 2 crew module cone welding; Ascent Abort-2 crew module outfitting; crew module uprighting system testing; SLS – intertank test article transported to NASA’s Pegasus barge at Michoud Assembly Facility and arrival at Marshall Space Flight Center; core stage engine section structural tests; successful RS-25 rocket engine testing; EGS – Orion crew module recovery rehearsal; crew access arm install on the Mobile Launcher; Interim Cryogenic Propulsion Stage umbilical install; Firing Room 1 demonstration.
HD Archive link:  https://archive.org/details/jsc2018m000527_2018_Quarterly01_MXF</t>
  </si>
  <si>
    <t>pGpWuKaZKac</t>
  </si>
  <si>
    <t>https://youtu.be/zqVE_3Z6IiQ</t>
  </si>
  <si>
    <t>Space to Ground  Meet CIMON  07 06 2018</t>
  </si>
  <si>
    <t>zqVE_3Z6IiQ</t>
  </si>
  <si>
    <t>2018 07 01</t>
  </si>
  <si>
    <t>https://youtu.be/NMc-5QGBPp8</t>
  </si>
  <si>
    <t>Benefits for Humanity  Fighting Cancer from Space</t>
  </si>
  <si>
    <t>Robotic technology originally designed for the International Space Station is finding its way into healthcare by targeting breast cancer tumors.
Dr. Mehran Anvari, chief executive officer at the Centre for Surgical Invention and Innovation (CSii), has developed a robotic procedure to provide MRI guided breast biopsies to women in remote areas through the use of telerobotic technology which was originally developed for robotics on the ISS.
This video was created in conjunction with the Canadian Space Agency.
HD download link: https://archive.org/details/JSC2018M000478_Fighting-Cancer-From-Space
_______________________________________
FOLLOW THE SPACE STATION!
Twitter: https://twitter.com/Space_Station  
Facebook: https://www.facebook.com/ISS  
Instagram: https://instagram.com/iss/</t>
  </si>
  <si>
    <t>NMc-5QGBPp8</t>
  </si>
  <si>
    <t>2018 06 29</t>
  </si>
  <si>
    <t>https://youtu.be/wL13Ti3aV_E</t>
  </si>
  <si>
    <t>Space to Ground  Rocket's Red Glare  06 29 2018</t>
  </si>
  <si>
    <t>wL13Ti3aV_E</t>
  </si>
  <si>
    <t>2018 06 27</t>
  </si>
  <si>
    <t>https://youtu.be/34bFgA3H3hQ</t>
  </si>
  <si>
    <t>STEMonstrations  Surface Tension</t>
  </si>
  <si>
    <t>Surface Tension of water plays a unique role in living and working aboard the International Space Station. In this episode, Expedition 55/56 Flight Engineer Ricky Arnold demonstrates how water’s molecular properties behave in microgravity. Use the lesson plan that coincides with this video to invigorate your STEM classroom. Be sure to visit https://www.nasa.gov/stemonstation for more educational resources that explore the research and technology of the International Space Station.
Try the activity in your classroom! https://www.nasa.gov/sites/default/files/atoms/files/stemonstrations_surface-tension.pdf
For an HD download:  https://archive.org/details/jsc2018m000487-STEMonstrations_Surface_Tension_MXF</t>
  </si>
  <si>
    <t>34bFgA3H3hQ</t>
  </si>
  <si>
    <t>https://youtu.be/2SLlLAMIMLk</t>
  </si>
  <si>
    <t>Highlights of Science Launching on SpaceX CRS-15</t>
  </si>
  <si>
    <t>A new batch of science is headed to the International Space Station aboard the SpaceX Dragon on the company’s 15th mission for commercial resupply services. Among the research being delivered is science that studies the use of artificial intelligence for crew support, plant water use all over the planet, gut health in space, more efficient drug development and the formation of inorganic structures without the influence of Earth’s gravity. 
The International Space Station is a convergence of science, technology and human innovation that demonstrates new technologies and enables research not possible on Earth. The space station has been occupied continuously since November 2000. In that time, more than 230 people and a variety of international and commercial spacecraft have visited the orbiting laboratory. The space station remains the springboard to NASA's next great leap in exploration, including future human missions to the Moon and eventually to Mars.
Highlighted investigations shown:
Mobile Companion/CIMON: https://go.nasa.gov/2JCgPRf
ECOSTRESS: https://go.nasa.gov/2sT87DV
Angiex Cancer Therapy: https://go.nasa.gov/2LA1Cgc
Rodent Research-7: https://go.nasa.gov/2JlVQlC
Chemical Gardens: https://go.nasa.gov/2JDCYie
Follow updates on the science conducted aboard the space station on Twitter:
https://twitter.com/iss_research
For more information on how you can conduct your research in microgravity, visit https://go.nasa.gov/2q84LJj.
HD Download: https://archive.org/details/jsc2018m000428_Highlights_of_Science_Launching_on_SpaceX_CRS-15</t>
  </si>
  <si>
    <t>2SLlLAMIMLk</t>
  </si>
  <si>
    <t>2018 06 22</t>
  </si>
  <si>
    <t>https://youtu.be/X-9eIyWyGYU</t>
  </si>
  <si>
    <t>Space to Ground  Clearing the Cosmos  06 22 2018</t>
  </si>
  <si>
    <t>X-9eIyWyGYU</t>
  </si>
  <si>
    <t>2018 06 20</t>
  </si>
  <si>
    <t>https://youtu.be/AGR3FiEkBwA</t>
  </si>
  <si>
    <t>Eat Like an Astronaut</t>
  </si>
  <si>
    <t>Astronauts on the International Space Station get food that’s carefully chosen for its nutritional value and specially prepared and packaged to be easily accessible to them in a weightless world on orbit.  Could the same food feed the needs of people stuck on planet Earth?  We conducted an experiment to find out how well two regular people could get by eating only astronaut food for a full week—a week that included a holiday weekend feast, just to up the difficulty factor.  Could they resist the lure of their favorite foods? Take a look at how they fared…
HD Download: https://archive.org/details/jsc2018m000103_Eat_Like_an_Astronaut
___________________________
FOLLOW THE SPACE STATION! 
Twitter: https://twitter.com/Space_Station
Facebook: https://www.facebook.com/ISS 
Instagram: https://instagram.com/iss/</t>
  </si>
  <si>
    <t>AGR3FiEkBwA</t>
  </si>
  <si>
    <t>2018 06 19</t>
  </si>
  <si>
    <t>https://youtu.be/LVqjvvLO5XY</t>
  </si>
  <si>
    <t>Navigating Space by the Stars</t>
  </si>
  <si>
    <t>A tool that has helped guide sailors across oceans for centuries is now being tested aboard the International Space Station as a potential emergency navigation tool for guiding future spacecraft across the cosmos. The Sextant Navigation investigation tests use of a hand-held sextant aboard the space station. 
Sextants have a telescope-like optical sight to take precise angle measurements between pairs of stars from land or sea, enabling navigation without computer assistance. NASA’s Gemini missions conducted the first sextant sightings from a spacecraft, and designers built a sextant into Apollo vehicles as a navigation backup in the event the crew lost communications from their spacecraft. Jim Lovell demonstrated on Apollo 8 that sextant navigation could return a space vehicle home. Astronauts conducted additional sextant experiments on Skylab.
Read more about the Sextant experiment happening aboard the space station:
https://www.nasa.gov/mission_pages/station/research/news/Sextant_ISS
HD Download: https://archive.org/details/jsc2018m000418_Navigating_Space_by_the_Stars</t>
  </si>
  <si>
    <t>LVqjvvLO5XY</t>
  </si>
  <si>
    <t>2018 06 15</t>
  </si>
  <si>
    <t>https://youtu.be/9WFP8rDXVp0</t>
  </si>
  <si>
    <t>To Touch the Stars</t>
  </si>
  <si>
    <t>NASA astronaut Scott Tingle’s son wrote, produced, and sent to him in space the song “To Touch the Stars” in honor of his family's journey to reach his dreams. 
The video shows footage from Tingle’s mission to the International Space Station as part of Expedition 54/55. He launched aboard a Soyuz spacecraft on December 17, 2017 and returned to Earth on June 3, 2018. This mission was the first for Tingle. He and his crew completed hundreds of experiments, including materials testing, a study of the effect of microgravity on the bone marrow and research into plant growth in space.  He also completed one spacewalk.
“To Touch the Stars”
Writer, Producer, Musician: Sean Tingle
Vocals: Madison Deadman
To learn more about the International Space Station, visit: www.nasa.gov/station 
HD download link: https://archive.org/details/To-Touch-The-Stars</t>
  </si>
  <si>
    <t>9WFP8rDXVp0</t>
  </si>
  <si>
    <t>https://youtu.be/ksQSSuhovh8</t>
  </si>
  <si>
    <t>Space to Ground  Enhancing the View  06 15 2018</t>
  </si>
  <si>
    <t>ksQSSuhovh8</t>
  </si>
  <si>
    <t>2018 06 13</t>
  </si>
  <si>
    <t>https://youtu.be/J8dL7_obPwc</t>
  </si>
  <si>
    <t>STEMonstrations  Orbits</t>
  </si>
  <si>
    <t>Watch NASA astronaut Scott Tingle demonstrate the orbit of spacecraft such as the International Space Station! Can you solve for the distance the station travels in one orbit around the planet?
Try the activity in your classroom! https://www.nasa.gov/sites/default/files/atoms/files/stemonstrations_orbits.pdf
For a high quality copy for download, visit: https://archive.org/details/jsc2018m000447_STEMonstrations_Orbits_MXF</t>
  </si>
  <si>
    <t>J8dL7_obPwc</t>
  </si>
  <si>
    <t>2018 06 08</t>
  </si>
  <si>
    <t>https://youtu.be/Rg0wfmvtax4</t>
  </si>
  <si>
    <t>Space to Ground  Launches and Landings  06 08 2018</t>
  </si>
  <si>
    <t>Rg0wfmvtax4</t>
  </si>
  <si>
    <t>2018 06 05</t>
  </si>
  <si>
    <t>https://youtu.be/8xiScHgbsd8</t>
  </si>
  <si>
    <t>5 Things You Didn’t Know About Astronaut Serena Auñón-Chancellor</t>
  </si>
  <si>
    <t>So, you already know she’s a doctor—a former flight surgeon!—with an engineering background, an Indiana native who graduated from high school in Colorado and went off to college with an eye toward working at NASA someday.  But did you know that astronaut Serena Auñón-Chancellor has mismatched twin dogs, a background in martial arts, and a college baseball jones?  Click to here to learn five things you didn’t already know about the next American astronaut to launch to the International Space Station.
HD Link:
https://archive.org/details/Jsc2018m000349_5_Things_You_Didnt_Know_About_Astronaut_Serena_Aunon-Chancellor-MXF</t>
  </si>
  <si>
    <t>8xiScHgbsd8</t>
  </si>
  <si>
    <t>2018 06 01</t>
  </si>
  <si>
    <t>https://youtu.be/MTZKlEr8fVw</t>
  </si>
  <si>
    <t>Space to Ground  Handoff  06 01 2018</t>
  </si>
  <si>
    <t>MTZKlEr8fVw</t>
  </si>
  <si>
    <t>2018 05 31</t>
  </si>
  <si>
    <t>https://youtu.be/lg3JIG8jk5M</t>
  </si>
  <si>
    <t>Welcome Home  Soyuz Landing In 360 VR</t>
  </si>
  <si>
    <t>How’d you like to stand on the snowy ground of Kazakhstan to retrieve a crew returning from the International Space Station?  If you’d like to do it without having to wear a parka, check out this 360 VR video captured in February 2018 and join NASA personnel on the last leg of the trip to pick up astronauts Joe Acaba and Mark Vande Hei and cosmonaut Alexander Misurkin at the end of Expedition 54 after five and a half months in space.  Click in the frame and maneuver all around the scene, front and back, both sides, even straight up and straight down!
VR/360 Video File Download: 
https://archive.org/details/jsc2018m000299_Welcome_Home_
___________________________
FOLLOW THE SPACE STATION!
Twitter: https://twitter.com/Space_Station
Facebook: https://www.facebook.com/ISS
Instagram: https://instagram.com/iss/</t>
  </si>
  <si>
    <t>lg3JIG8jk5M</t>
  </si>
  <si>
    <t>2018 05 25</t>
  </si>
  <si>
    <t>https://youtu.be/Do-Q3dUjLoo</t>
  </si>
  <si>
    <t>Space to Ground  Cold Hard Science  05 25 2018</t>
  </si>
  <si>
    <t>Do-Q3dUjLoo</t>
  </si>
  <si>
    <t>2018 05 18</t>
  </si>
  <si>
    <t>https://youtu.be/9TeGPKAhJNc</t>
  </si>
  <si>
    <t>Space to Ground  Kilauea Volcano  05 18 2018</t>
  </si>
  <si>
    <t>NASA's Space to Ground is your weekly update on what's happening aboard the International Space Station. 
Got a question or comment? Use #spacetoground to talk to us.
For more information about STEM on Station:
https://www.nasa.gov/audience/foreducators/stem_on_station/
________________________________________
FOLLOW THE SPACE STATION!
Twitter: https://twitter.com/Space_Station
Facebook: https://www.facebook.com/ISS
Instagram: https://instagram.com/iss/</t>
  </si>
  <si>
    <t>9TeGPKAhJNc</t>
  </si>
  <si>
    <t>2018 05 17</t>
  </si>
  <si>
    <t>https://youtu.be/K04oMDygu9Y</t>
  </si>
  <si>
    <t>When Cool Science Gets Positively COLD</t>
  </si>
  <si>
    <t>The new Cold Atom Lab (CAL) facility could help answer some big questions in modern physics. CAL produces clouds of atoms that are ten billion times colder than deep space. The facility uses lasers and magnetic forces to freeze the atoms until they are almost motionless. In the microgravity environment on the space station, it’s possible to observe these ultra-cold atoms for much longer in than what’s possible on the ground. The research done using CAL could potentially lead to a number of improved technologies, including sensors, quantum computers and atomic clocks used in spacecraft navigation.
Read more at: 
https://coldatomlab.jpl.nasa.gov/
HD DOWNLOAD:
archive.org/details/jsc2018m000350_When_Cool_Science_Gets_Positively_COLD</t>
  </si>
  <si>
    <t>K04oMDygu9Y</t>
  </si>
  <si>
    <t>2018 05 15</t>
  </si>
  <si>
    <t>https://youtu.be/aKMqYhlnnyQ</t>
  </si>
  <si>
    <t>Science Launching to Space Station Looks Forward and Back</t>
  </si>
  <si>
    <t>Orbital ATK’s Cygnus spacecraft is scheduled to launch its ninth contracted cargo resupply mission to the space station no earlier than May 20. Science and research delivered by the spacecraft includes a test of centuries-old sextant navigation and forward-thinking work advancing the orbiting lab’s ability to support cutting-edge molecular research and its commercial capabilities. Also aboard will be the Cold Atom Lab (CAL), a facility to create a spot ten billion times colder than the vacuum of space, which could help answer some big questions in modern physics. The International Commercial Experiment, or ICE Cubes Service, tests and commissions the first European commercial system to increase access to this unique lab.
Read more at: 
https://www.nasa.gov/mission_pages/station/research/news/OA9_research
HD Link:
https://archive.org/details/jsc2018m000315_Science_Launching_to_Space_Station_Looks_Forward_and_Back-MXF</t>
  </si>
  <si>
    <t>aKMqYhlnnyQ</t>
  </si>
  <si>
    <t>2018 05 14</t>
  </si>
  <si>
    <t>https://youtu.be/Yn1h_D4NpZ4</t>
  </si>
  <si>
    <t>Investigation Seeks to Create Self-Assembling Materials</t>
  </si>
  <si>
    <t>As we travel farther into space, clever solutions to problems like engine part malfunctions and other possible mishaps will be a vital part of the planning process. 3D printing, or additive manufacturing, is an emerging technology that may be used to custom-create mission-critical parts. An integral piece of this process is understanding how particle shape, size distribution and packing behavior affect the manufacturing process. The Advanced Colloids Experiment-Temperature-7 investigation (ACE-T-7) aboard the International Space Station explores the feasibility of creating self-assembling microscopic particles for use in the manufacturing of materials during spaceflight.
Read more about ACE-T-7 here:  https://www.nasa.gov/feature/investigation-seeks-to-create-self-assembling-materials
HD Link:  https://archive.org/details/jsc2018m000297_Investigation_Seeks_to_Create_Self-Assembling_Materials-MX</t>
  </si>
  <si>
    <t>Yn1h_D4NpZ4</t>
  </si>
  <si>
    <t>2018 05 11</t>
  </si>
  <si>
    <t>https://youtu.be/shZgzWWJkj8</t>
  </si>
  <si>
    <t>NASA Johnson Space Center Internship Experience</t>
  </si>
  <si>
    <t>NASA Johnson Space Center Internship Experience
Video Description:
Discover internship opportunities at the NASA Johnson Space Center! This video shows some of the places interns work and some of the projects they contribute to. Interns work to make their mark and enjoy the entirety of the internship experience which includes touring laboratories and facilities, hearing lectures from astronauts and NASA’s leaders, participating in professional and social committees (like Video Committee) even in spare time, and much more.
Start your journey!
For more on NASA internships:
https://intern.nasa.gov/
https://nasajobs.nasa.gov/studentopps/default.htm 
For Johnson Space Center specific internships:
https://pathways.jsc.nasa.gov/ 
https://www.nasa.gov/centers/johnson/education/interns/index.html
Video download link: https://archive.org/details/NASA-Johnson-Space-Center-Internship-Experience
---------------------------------
FOLLOW JOHNSON SPACE CENTER INTERNS!
Facebook: @NASA.JSC.Students https://www.facebook.com/NASA.JSC.Students/ 
Instagram: @nasajscstudents https://www.instagram.com/nasajscstudents/ 
Twitter: @NASAJSCStudents https://twitter.com/nasajscstudents 
FOLLOW NASA INTERNS!
Facebook: @NASAInterns https://www.facebook.com/NASAInterns/ 
Twitter: @NASAInterns https://twitter.com/nasainterns</t>
  </si>
  <si>
    <t>shZgzWWJkj8</t>
  </si>
  <si>
    <t>https://youtu.be/fG_SrFDcyXU</t>
  </si>
  <si>
    <t>Destination Station</t>
  </si>
  <si>
    <t>When you can’t come to the International Space Station, the essence of the space station can come to you!  Beginning May 15, Destination Station arrives in Salt Lake City, UT to share the impacts of the station on our daily lives.  Here’s a peek at some of the ways you can learn more about what the International Space Station is doing right now.
HD Link: https://archive.org/details/jsc2018m000321_Destination_Station-MXF
___________________________
FOLLOW THE SPACE STATION!
Twitter: https://twitter.com/Space_Station
Facebook: https://www.facebook.com/ISS
Instagram: https://instagram.com/iss/</t>
  </si>
  <si>
    <t>fG_SrFDcyXU</t>
  </si>
  <si>
    <t>https://youtu.be/eE79qxNhkKY</t>
  </si>
  <si>
    <t>Space to Ground  Ready for a Walk  05 11 2018</t>
  </si>
  <si>
    <t>eE79qxNhkKY</t>
  </si>
  <si>
    <t>2018 05 09</t>
  </si>
  <si>
    <t>https://youtu.be/kzUXMrhAY28</t>
  </si>
  <si>
    <t>Spinning Science  Multi-use Variable-g Platform Arrives at the Space Station</t>
  </si>
  <si>
    <t>The Multi-use Variable-gravity Platform (MVP) Validation mission will install and test the MVP, a new hardware platform developed and owned by Techshot Inc., on the International Space Station (ISS). Though the MVP is designed for research with many different kinds of organisms and cell types, this validation mission will focus on Drosophila melanogaster, more commonly known as the fruit fly. This platform will be especially important for fruit fly research, as it will allow researchers to study larger sample sizes of Drosophila melanogaster than in other previous hardware utilizing centrifuges and it will be able to support fly colonies for multiple generations. 
Feature Story Link:  https://go.nasa.gov/2FUmEmx
HD Link:  
https://archive.org/details/jsc2018m000314_Spinning_Science_Multi-use_Variable-g_Platform_Arrives_at_the_Space_Station-MXF</t>
  </si>
  <si>
    <t>kzUXMrhAY28</t>
  </si>
  <si>
    <t>https://youtu.be/n66Q0rlUbxs</t>
  </si>
  <si>
    <t>STEMonstration  Nutrition</t>
  </si>
  <si>
    <t>Watch NASA astronaut Scott Tingle demonstrate the importance of astronaut nutrition on the International Space Station! Do you have what it takes to stay healthy in space?  Try developing your own astronaut menu! Check out https://www.nasa.gov/stemonstrations
 for this video’s corresponding lesson plan and see more videos like this one. 
Try the activity in your classroom! https://www.nasa.gov/sites/default/files/atoms/files/stemonstrations_nutrition.pdf
For a high quality copy for download, visit: https://archive.org/details/jsc2018m000319_STEMonstrations_Nutrition_MXF</t>
  </si>
  <si>
    <t>n66Q0rlUbxs</t>
  </si>
  <si>
    <t>2018 05 04</t>
  </si>
  <si>
    <t>https://youtu.be/ogVe90hg2NA</t>
  </si>
  <si>
    <t>Space to Ground  Releasing Dragon  05 04 2018</t>
  </si>
  <si>
    <t>ogVe90hg2NA</t>
  </si>
  <si>
    <t>2018 05 03</t>
  </si>
  <si>
    <t>https://youtu.be/XuDUFKaVum0</t>
  </si>
  <si>
    <t>Checking In with the 2017 NASA Astronaut Class, Part 1</t>
  </si>
  <si>
    <t>Have you wondered what NASA’s new class of astronaut candidates has been up to since they arrived for training in August? The answer is, a lot! Get an inside look here, and then visit https://go.usa.gov/xQKMJ to find out more about the candidates and how you can follow them on social media.
HD Download link: https://archive.org/details/jsc2018m000184_Checking_In_with_the_2017_Astronaut_Candidate_Class_Part_1
_______________________________________
FOLLOW THE ASTRONAUTS!
https://www.nasa.gov/2017astronauts
https://www.nasa.gov/astronauts/biographies/candidates 
https://www.nasa.gov/astronauts/
https://twitter.com/NASA_Astronauts</t>
  </si>
  <si>
    <t>XuDUFKaVum0</t>
  </si>
  <si>
    <t>2018 04 27</t>
  </si>
  <si>
    <t>https://youtu.be/EWKSx88LYdQ</t>
  </si>
  <si>
    <t>Space to Ground  Color of the Sun  04 27 2018</t>
  </si>
  <si>
    <t>EWKSx88LYdQ</t>
  </si>
  <si>
    <t>2018 04 20</t>
  </si>
  <si>
    <t>https://youtu.be/V4qe0bsXFoQ</t>
  </si>
  <si>
    <t>Space to Ground  Operating an Outpost  04 20 2018</t>
  </si>
  <si>
    <t>V4qe0bsXFoQ</t>
  </si>
  <si>
    <t>2018 04 18</t>
  </si>
  <si>
    <t>https://youtu.be/xEd2BENQ-kE</t>
  </si>
  <si>
    <t>Go For Launch  The Story of Your Science</t>
  </si>
  <si>
    <t>Your science is heading to space, now let’s make sure you get the most from it. We have a team of communicators who are ready to take your science and share it with the world, sparking potential collaboration and new opportunities. See how we take the information you provide to feed stories, videos, social media, and other communications efforts across NASA’s highly visible platforms. Your science has a story. Help us share it. 
For more information, visit our Research Opportunities page:
https://www.nasa.gov/mission_pages/station/research/research_information.html
HD download link: https://archive.org/details/jsc2018m000179_Go_For_Launch-MXF.mxf</t>
  </si>
  <si>
    <t>xEd2BENQ-kE</t>
  </si>
  <si>
    <t>2018 04 13</t>
  </si>
  <si>
    <t>https://youtu.be/7AQ4iDpvtuY</t>
  </si>
  <si>
    <t>Space to Ground  Genes in Space  04 13 2018</t>
  </si>
  <si>
    <t>7AQ4iDpvtuY</t>
  </si>
  <si>
    <t>2018 04 11</t>
  </si>
  <si>
    <t>https://youtu.be/UCNNTwlu9kE</t>
  </si>
  <si>
    <t>So You Want to Go to Mars   Episode 1  International Space Station</t>
  </si>
  <si>
    <t>So you want to go to Mars? The International Space Station (ISS) is helping us get there.  This short 1.18 minute video highlights several ways the ISS is helping NASA extend human presence into deep space.
Orion Spacecraft and SLS webpage
https://www.nasa.gov/content/j2m-getting-to-mars-sls-and-orion
International Space Station 
https://www.nasa.gov/mission_pages/station/main/index.html
HD Download:
https://archive.org/details/jsc2018m000132_SoYouWantToGoToMars_E1</t>
  </si>
  <si>
    <t>UCNNTwlu9kE</t>
  </si>
  <si>
    <t>2018 04 06</t>
  </si>
  <si>
    <t>https://youtu.be/OM1WXFZq3kk</t>
  </si>
  <si>
    <t>Space to Ground  A Learning Doubleheader  04 06 2018</t>
  </si>
  <si>
    <t>OM1WXFZq3kk</t>
  </si>
  <si>
    <t>2018 04 03</t>
  </si>
  <si>
    <t>https://youtu.be/OpxGp2P48kI</t>
  </si>
  <si>
    <t>STEMonstrations  Kinetic and Potential Energy</t>
  </si>
  <si>
    <t>Watch NASA astronaut Joe Acaba demonstrate kinetic and potential energy on the International Space Station by showing how an object’s potential energy changes due to its position. How can potential be converted into kinetic energy? 
Try the activity in your classroom! https://www.nasa.gov/sites/default/files/atoms/files/stemonstrations_kinetic-potential-energy.pdf 
For a high-quality copy for download, visit: https://archive.org/details/jsc2018m000277_STEMonstrations_Kinetic_and_Potential_Energy</t>
  </si>
  <si>
    <t>OpxGp2P48kI</t>
  </si>
  <si>
    <t>2018 03 30</t>
  </si>
  <si>
    <t>https://youtu.be/OWxBjIXDQCc</t>
  </si>
  <si>
    <t>Alpha Space  Small Business Makes Big Strides</t>
  </si>
  <si>
    <t>The path to discovery and exploration is paved with determination, innovation, and most of all, big ideas. The International Space Station is home to many of those ideas and creating new ways for small businesses, entrepreneurs and researchers to test their science and technology in space every day.Formed in 2015 in response to the need for a commercial payload that would be available to private companies aboard the space station, Alpha Space is a woman- and minority-owned small business responsible for developing the Materials International Space Station Experiment Flight Facility (MISSE-FF).
https://archive.org/details/jsc2018m000274_Alpha-Space-Small-Business-Makes-Big-Strides_MXF</t>
  </si>
  <si>
    <t>OWxBjIXDQCc</t>
  </si>
  <si>
    <t>https://youtu.be/FGneUrG2LKs</t>
  </si>
  <si>
    <t>Space to Ground  Upgrading the Outpost  03 30 2018</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</si>
  <si>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</si>
  <si>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FGneUrG2LKs</t>
  </si>
  <si>
    <t>2018 03 23</t>
  </si>
  <si>
    <t>https://youtu.be/9Yl1ryoDwWA</t>
  </si>
  <si>
    <t>Space to Ground  Night Launch  03 23 2018</t>
  </si>
  <si>
    <t>9Yl1ryoDwWA</t>
  </si>
  <si>
    <t>2018 03 22</t>
  </si>
  <si>
    <t>https://youtu.be/hKrSGGINxT4</t>
  </si>
  <si>
    <t>Rooting for Answers  Simulating G-Force in Plants</t>
  </si>
  <si>
    <t>On Earth, plants use gravity and light to orient their roots and shoots, but in space, microgravity is too weak to provide a growth cue. The Gravity Perception Systems (Plant Gravity Perception) investigation germinates normal and variant forms of thale cress, a model research plant, to study the plants’ gravity and light perception. Results provide new information about plants’ ability to detect gravity and adapt to an environment without it. The investigation continues efforts to grow plants for food on future missions.
HD Link: https://archive.org/details/jsc2018m000256_Rooting_for_Answers-MXF</t>
  </si>
  <si>
    <t>hKrSGGINxT4</t>
  </si>
  <si>
    <t>2018 03 21</t>
  </si>
  <si>
    <t>https://youtu.be/ikAoDONksZc</t>
  </si>
  <si>
    <t>Astronaut Moments with NASA astronaut Drew Feustel</t>
  </si>
  <si>
    <t>Drew Feustel went from being an automobile mechanic to repairing the Hubble Space Telescope as a NASA astronaut. Now, he is preparing to launch to the International Space Station on March 21, 2018 to live and work aboard the orbiting laboratory for about six months.
HD Link: 
https://archive.org/details/jsc2017m001161_AstroMoment_Feustel_MXF 
https://www.nasa.gov/astronauts/biographies/andrew-j-feustel
https://www.nasa.gov/press-release/nasa-television-coverage-set-for-space-station-crew-launch-docking</t>
  </si>
  <si>
    <t>ikAoDONksZc</t>
  </si>
  <si>
    <t>https://youtu.be/QfQi4AqJIMk</t>
  </si>
  <si>
    <t>Astronaut Moments with NASA astronaut Ricky Arnold</t>
  </si>
  <si>
    <t>Ricky Arnold was selected to be an astronaut 2004. Before his NASA career, he worked in the marine sciences and as a teacher in places like Morocco, Saudi Arabia, and Indonesia. He recalls watching the Challenger accident with Christa McAuliffe, NASA’s first “Teacher in Space”. During his mission to the International Space Station launching on March 21, 2018, Ricky will conduct some of the lost lessons that Christa had planned to film during her mission.
HD Link:  https://archive.org/details/jsc2017m001162_AstroMoment_RickyArnold_MXF
Learn more: https://www.nasa.gov/feature/nasa-challenger-center-collaborate-to-perform-christa-mcauliffe-s-legacy-experiments
https://www.nasa.gov/astronauts/biographies/richard-r-arnold
https://www.nasa.gov/press-release/nasa-television-coverage-set-for-space-station-crew-launch-docking</t>
  </si>
  <si>
    <t>QfQi4AqJIMk</t>
  </si>
  <si>
    <t>2018 03 20</t>
  </si>
  <si>
    <t>https://youtu.be/tPBXT1zUafo</t>
  </si>
  <si>
    <t>5 Things You Didn't Know About Astronaut Ricky Arnold</t>
  </si>
  <si>
    <t>Nine years after his first trip to space, NASA’s Ricky Arnold is ready to begin his next adventure: a long-duration flight to the International Space Station.  The former classroom teacher will be the point man for Year of Education on Station tasks during his mission, but his experience in schools around the world might match what he’ll gain while circling the world—check out 5 Things You Didn’t Know About Astronaut Ricky Arnold: Teacher Edition!
HD Download link: https://archive.org/details/jsc2018m000151_5_Things_You_Didnt_Know_About_Astronaut_Ricky_Arnold
_______________________________________   
Follow Ricky's mission:
Instagram: @astro_ricky
Twitter: @astro_ricky
FOLLOW THE SPACE STATION!
Twitter: https://twitter.com/Space_Station
Facebook: https://www.facebook.com/ISS
Instagram: https://instagram.com/iss/</t>
  </si>
  <si>
    <t>tPBXT1zUafo</t>
  </si>
  <si>
    <t>2018 03 19</t>
  </si>
  <si>
    <t>https://youtu.be/QVoBLElTO-g</t>
  </si>
  <si>
    <t>5 Things You Didn't Know About Astronaut Drew Feustel</t>
  </si>
  <si>
    <t>NASA Astronaut Drew Feustel is all set to start his third flight into space, his second to the International Space Station and his first as a long-duration crew member. We already knew he’s from Michigan, has a doctorate in geological sciences, and has done six spacewalks—three on the Hubble Space Telescope—but did not know his secrets about his citizenship, his irrational fears, and his childhood dreams.  Until now!
HD Download: https://archive.org/details/jsc2018m000152_5_Things_You_Didnt_Know_About_Astronaut_Drew_Feustel
Follow Drew's mission:
Instagram: @astro_feustel
Twitter: @astro_feustel
_______________________________________   
FOLLOW THE SPACE STATION!
Twitter: https://twitter.com/Space_Station
Facebook: https://www.facebook.com/ISS
Instagram: https://instagram.com/iss/</t>
  </si>
  <si>
    <t>QVoBLElTO-g</t>
  </si>
  <si>
    <t>2018 03 16</t>
  </si>
  <si>
    <t>https://youtu.be/iUd3q4jf-ZE</t>
  </si>
  <si>
    <t>Space to Ground  Neuromapping  03 16 2018</t>
  </si>
  <si>
    <t>iUd3q4jf-ZE</t>
  </si>
  <si>
    <t>2018 03 15</t>
  </si>
  <si>
    <t>https://youtu.be/dCF--YOjiOw</t>
  </si>
  <si>
    <t>STEMonstrations  Newton's Third Law of Motion</t>
  </si>
  <si>
    <t>Watch NASA astronaut Mark Vande Hei demonstrate Newton’s Third Law of Motion on the International Space Station by exhibiting an equal and opposite force pair. What are some examples of equal and opposite force pairs on earth and in space?
Try the activity in your classroom! https://www.nasa.gov/sites/default/files/atoms/files/stemonstrations_newtons-third-law.pdf
For a high quality copy for download, visit: https://archive.org/details/Jsc2018m000190STEMonstrations_Newtons_Third_Law_of_Motion</t>
  </si>
  <si>
    <t>dCF--YOjiOw</t>
  </si>
  <si>
    <t>2018 03 13</t>
  </si>
  <si>
    <t>https://youtu.be/9vYnJ2de-EM</t>
  </si>
  <si>
    <t>International Space Station as Art</t>
  </si>
  <si>
    <t>The International Space Station has been humanity’s outpost in space for nearly two decades, hosting astronauts from around the globe working on groundbreaking science to push the boundaries in a variety of fields. NASA astronaut Randy Bresnik sought to capture the beauty of the immense spacecraft amidst the endless tangle of cables and hardware in this series of photos taken during his most recent stay onboard. 
HD LINK:  https://archive.org/details/jsc2018m000189_ISS_As_Art
Follow Randy Bresnik on social media at:
https://twitter.com/astrokomrade
https://www.instagram.com/astrokomrade 
_______________________________________   
FOLLOW THE SPACE STATION!
Twitter: https://twitter.com/Space_Station
Facebook: https://www.facebook.com/ISS
Instagram: https://instagram.com/iss/</t>
  </si>
  <si>
    <t>9vYnJ2de-EM</t>
  </si>
  <si>
    <t>2018 03 09</t>
  </si>
  <si>
    <t>https://youtu.be/KdPnCWyetyo</t>
  </si>
  <si>
    <t>Orion Crew Module for Ascent Abort-2 Arrives in Houston</t>
  </si>
  <si>
    <t>NASA’s Johnson Space Center is the center of activity leading the design and build up for a critical safety test of America’s new exploration spacecraft.  An Orion crew module was delivered to Houston last week for assembly and outfitting for the April 2019 Ascent Abort-2 test, to demonstrate the ability of the spacecraft’s Launch Abort System to pull the crew module to safety if an emergency ever arises during ascent to space.  Doing this work at JSC is part of a lean approach to development, to minimize cost and schedule risks associated with the test.
HD Link:
https://archive.org/details/jsc2018m000130_Ascent_Abort-2_Module_Arrives_in_Houston-MXF
_______________________________________
FOLLOW ORION!
Twitter: https://twitter.com/NASA_Orion/
Facebook: https://www.facebook.com/NASAOrion/
Instagram: https://www.instagram.com/explorenasa/</t>
  </si>
  <si>
    <t>KdPnCWyetyo</t>
  </si>
  <si>
    <t>https://youtu.be/SXFpLREdKbs</t>
  </si>
  <si>
    <t>Space to Ground  A Unique Experience  03 09 2018</t>
  </si>
  <si>
    <t>SXFpLREdKbs</t>
  </si>
  <si>
    <t>2018 03 02</t>
  </si>
  <si>
    <t>https://youtu.be/qp7IhNV8xfc</t>
  </si>
  <si>
    <t>Space to Ground  Home at Last  03 02 2018</t>
  </si>
  <si>
    <t>qp7IhNV8xfc</t>
  </si>
  <si>
    <t>2018 02 26</t>
  </si>
  <si>
    <t>https://youtu.be/sPZ2bjW53c8</t>
  </si>
  <si>
    <t>STEMonstrations  Newton's 2nd Law of Motion</t>
  </si>
  <si>
    <t>Watch NASA astronaut Randy Bresnik demonstrate Newton’s Second Law of Motion on the International Space Station by applying a force to objects of different mass. Do you see the differences in acceleration?
Try the activity in your classroom! https://www.nasa.gov/sites/default/files/atoms/files/stemonstrations_newtons-second-law.pdf
For a high quality copy for download, visit: https://archive.org/details/jsc2018m000122_STEMonstration_Newtons_Second_Law_of_Motion</t>
  </si>
  <si>
    <t>sPZ2bjW53c8</t>
  </si>
  <si>
    <t>2018 02 23</t>
  </si>
  <si>
    <t>https://youtu.be/0l5y8osoaLk</t>
  </si>
  <si>
    <t>Space to Ground  Successful Spacewalk  02 23 2018</t>
  </si>
  <si>
    <t>NASA's Space to Ground is your weekly update on what's happening aboard the International Space Station. 
Got a question or comment? Use #spacetoground to talk to us.
For more information about NASA’s Heart to Heart curriculum:
https://education.ti.com/html/nasa/activities-2.shtml
For more information about STEM on Station:
https://www.nasa.gov/audience/foreducators/stem_on_station/
________________________________________
FOLLOW THE SPACE STATION!
Twitter: https://twitter.com/Space_Station
Facebook: https://www.facebook.com/ISS
Instagram: https://instagram.com/iss/</t>
  </si>
  <si>
    <t>0l5y8osoaLk</t>
  </si>
  <si>
    <t>2018 02 22</t>
  </si>
  <si>
    <t>https://youtu.be/aDSJBG8aDUc</t>
  </si>
  <si>
    <t>Benefits for Humanity  From Space to Surgery</t>
  </si>
  <si>
    <t>Robotic technology originally developed for the International Space Station is finding a new home in the operating room.
MacDonald, Dettwiler and Associates (MDA), a Canadian Space Agency contractor, has collaborated with Synaptive Medical to create Drive, an automated robotic arm that tracks the movement of a surgeon’s tools and helps to expedite brain and spinal surgeries.
HD download link: https://archive.org/details/jsc2018m000125_B4H_From-Space-to-Surgery
_______________________________________
FOLLOW THE SPACE STATION!
Twitter: https://twitter.com/Space_Station  
Facebook: https://www.facebook.com/ISS  
Instagram: https://instagram.com/iss/</t>
  </si>
  <si>
    <t>aDSJBG8aDUc</t>
  </si>
  <si>
    <t>https://youtu.be/0-wpj-XdTF8</t>
  </si>
  <si>
    <t>Preparing America for Deep Space Exploration - Episode 16  Exploration On The Move</t>
  </si>
  <si>
    <t>NASA is pressing full steam ahead toward sending humans farther than ever before. Take a look at the work being done by teams across the nation for NASA’s Deep Space Exploration System, including the Space Launch System, Orion, and Exploration Ground Systems programs, as they continue to propel human spaceflight into the next generation. Highlights from the fourth quarter of 2017 included Orion parachute drop tests at the Yuma Proving Ground in Arizona; the EM-1 Crew Module move from Cleanroom to Workstation at Kennedy Space Center; Crew Training, Launch Pad Evacuation Scenario, and Crew Module Vibration and Legibility Testing at NASA’s Johnson Space Center; RS-25 Rocket Engine Testing at Stennis Space Center; Core Stage Engine Section arrival, Core Stage Pathfinder; LH2 Qualification Tank; Core Stage Intertank Umbilical lift at Mobile Launcher; Crew Access Arm move to Mobile Launcher; Water Flow Test at Launch Complex 39-B.
HD Version: 
https://archive.org/details/jsc2018m000123_DSES_Quarterly-2017-Q4</t>
  </si>
  <si>
    <t>0-wpj-XdTF8</t>
  </si>
  <si>
    <t>2018 02 16</t>
  </si>
  <si>
    <t>https://youtu.be/GMLi8XfWAg0</t>
  </si>
  <si>
    <t>Space to Ground  Light Storm  02 16 2018</t>
  </si>
  <si>
    <t>GMLi8XfWAg0</t>
  </si>
  <si>
    <t>https://youtu.be/UKnDXqYZQyc</t>
  </si>
  <si>
    <t>U.S. Spacewalk 48 Animation (Feb. 16, 2018)</t>
  </si>
  <si>
    <t>The first task for spacewalkers Mark Vande Hei and Norishige Kanai is to move a Latching End Effector (LEE), or hand, for the Canadian-built robotic arm, Canadarm2, from a payload attachment on the station’s Mobile Base System rail car to the Quest airlock. This LEE was replaced during an Expedition 53 spacewalk in October 2017 and will be returned to Earth to be refurbished and relaunched to the orbiting laboratory as a spare.
Once they have completed that activity, they will move an aging, but functional, LEE that was detached from the arm during a Jan. 23 spacewalk and move it from its temporary storage outside the airlock to a long-term storage location on the Mobile Base System, which is used to move the arm and astronauts along the station’s truss structure.</t>
  </si>
  <si>
    <t>UKnDXqYZQyc</t>
  </si>
  <si>
    <t>2018 02 08</t>
  </si>
  <si>
    <t>https://youtu.be/2cFi-n14-dw</t>
  </si>
  <si>
    <t>Space to Ground  Some Serious Science  02 08 2018</t>
  </si>
  <si>
    <t>2cFi-n14-dw</t>
  </si>
  <si>
    <t>2018 02 03</t>
  </si>
  <si>
    <t>https://youtu.be/QkQ4z4QjisA</t>
  </si>
  <si>
    <t>Space to Ground  Russian Spacewalk  02 02 2018</t>
  </si>
  <si>
    <t>QkQ4z4QjisA</t>
  </si>
  <si>
    <t>2018 02 01</t>
  </si>
  <si>
    <t>https://youtu.be/_sbRqQ4YDec</t>
  </si>
  <si>
    <t>One World Many Views</t>
  </si>
  <si>
    <t>Taking a look at something from a different perspective can make all the difference—especially if your second angle is from 250 miles straight up!  NASA astronaut Randy Bresnik took it to extremes during his mission to the International Space Station in 2017, shooting photographs of spots on Earth and matching them up with pictures he’d taken of the same locations when he’d visited them previously.  Enjoy this sample of photo pairs, and check out the rest at #OneWorldManyViews
Bresnik’s Facebook https://www.facebook.com/AstroKomrade/
Bresnik’s Twitter https://twitter.com/astrokomrade
_______________________________________    
FOLLOW THE SPACE STATION!
Twitter: https://twitter.com/Space_Station
Facebook: https://www.facebook.com/ISS
Instagram: https://instagram.com/iss/</t>
  </si>
  <si>
    <t>_sbRqQ4YDec</t>
  </si>
  <si>
    <t>2018 01 26</t>
  </si>
  <si>
    <t>https://youtu.be/ZvjK-U1R4mc</t>
  </si>
  <si>
    <t>Fly Me to the Moon</t>
  </si>
  <si>
    <t>Human spaceflight inspires humans to create art, in many forms—a collection of fiber art quilts entitled Fly Me To The Moon has been touring the country since late 2016 with more stops on the schedule.  A group of those quilts was displayed at NASA’s Johnson Space Center in Houston a year ago in recognition of the 50th anniversary of the Apollo 1 fire; curator Susanne Jones comments on the artistic elements of some of the pieces as well as the educational value of the exhibit to a nation inspired by space exploration.
For more on the collection: http://www.susannemjones.com/fly-me-to-the-moon/
For more on Apollo: www.nasa.gov/apollo
HD Download: https://archive.org/details/jsc2017m000324_Fly_Me_to_the_Moon</t>
  </si>
  <si>
    <t>ZvjK-U1R4mc</t>
  </si>
  <si>
    <t>https://youtu.be/HIItDmg5Ww4</t>
  </si>
  <si>
    <t>Space to Ground  Christa's Lessons  01 26 2018</t>
  </si>
  <si>
    <t>HIItDmg5Ww4</t>
  </si>
  <si>
    <t>https://youtu.be/02QbU89KzWc</t>
  </si>
  <si>
    <t>Astronaut Moments  Scott Tingle  Guitarist</t>
  </si>
  <si>
    <t>Before becoming an astronaut, Scott Tingle was in a rock band. He shares his story and how being in a band relates to his training as a NASA astronaut. Tingle is currently living and working aboard the International Space Station.
More on Tingle: https://www.nasa.gov/astronauts/biographies/scott-d-tingle 
More on the space station: https://www.nasa.gov/mission_pages/station/main/index.html 
For a high resolution copy of this video, visit:
Archive.org:  https://archive.org/details/jsc2017m001124_AstronautMoments_Scott_Tingle_Guitarist</t>
  </si>
  <si>
    <t>02QbU89KzWc</t>
  </si>
  <si>
    <t>2018 01 19</t>
  </si>
  <si>
    <t>https://youtu.be/ZvlbcA9XhPU</t>
  </si>
  <si>
    <t>Space to Ground  Prepping for a Spacewalk  01 19 2018</t>
  </si>
  <si>
    <t>NASA's Space to Ground is your weekly update on what's happening aboard the International Space Station. 
Got a question or comment? Use #spacetoground to talk to us.
For more information about STEM on Station:
https://www.nasa.gov/audience/foreducators/stem_on_station/
________________________________________
FOLLOW THE SPACE STATION!
Twitter: https://twitter.com/Space_Station 
Facebook: https://www.facebook.com/ISS
Instagram: https://instagram.com/iss/</t>
  </si>
  <si>
    <t>ZvlbcA9XhPU</t>
  </si>
  <si>
    <t>2018 01 16</t>
  </si>
  <si>
    <t>https://youtu.be/Sc8SDd_5Qfg</t>
  </si>
  <si>
    <t>Putting the Brakes on Muscle Breakdown</t>
  </si>
  <si>
    <t>Rodent Research-6 is a two-fold investigation aboard the International Space Station into the treatment of muscle loss in spaceflight, which may have implications for patients on Earth with muscle-wasting diseases.  The experiment will study the effectiveness of a drug compound as well as the nano-channel drug delivery implant, a device implanted beneath the skin of the patient allowing for a constant, steady delivery of the drug.
Rodent Research: https://www.nasa.gov/mission_pages/station/research/experiments/explorer/Investigation.html?#id=7423
HD Download: HD Download: https://archive.org/details/jsc2018m000072_Putting_the_Brakes_on_Muscle_Breakdown_MXF
_______________________________________    
FOLLOW THE SPACE STATION!
Twitter: https://twitter.com/Space_Station
Facebook: https://www.facebook.com/ISS
Instagram: https://instagram.com/iss/</t>
  </si>
  <si>
    <t>Sc8SDd_5Qfg</t>
  </si>
  <si>
    <t>2018 01 12</t>
  </si>
  <si>
    <t>https://youtu.be/2NqEVwcGawA</t>
  </si>
  <si>
    <t>Space to Ground  Rocket and Groot  01 12 2018</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</si>
  <si>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</si>
  <si>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2NqEVwcGawA</t>
  </si>
  <si>
    <t>2018 01 05</t>
  </si>
  <si>
    <t>https://youtu.be/rrf8zhxd2rY</t>
  </si>
  <si>
    <t>Exploration Mission-1 in a Minute</t>
  </si>
  <si>
    <t>Exploration Mission-1 (EM-1) will be the first integrated flight of NASA's Space Launch System and Orion spacecraft and launch from the agency’s modernized spaceport in Florida. The uncrewed mission will send Orion thousands of miles beyond the Moon and is a critical flight test for NASA’s human deep space exploration goals. EM-1 lays the foundation for the first crewed flight of SLS and Orion, as well as a regular cadence of missions thereafter near the Moon and beyond.
HD download link: https://archive.org/details/ExplorationMission-1_high-resolution.mxf</t>
  </si>
  <si>
    <t>rrf8zhxd2rY</t>
  </si>
  <si>
    <t>2018 01 02</t>
  </si>
  <si>
    <t>https://youtu.be/fna8PqoETVQ</t>
  </si>
  <si>
    <t>2017 Space Station Science in Pictures</t>
  </si>
  <si>
    <t>From molecular biology to fluid physics, life sciences and robotics, 2017 was a robust year for research aboard Earth’s only microgravity laboratory. The International Space Station hosts more than 300 experiments during a given Expedition, each working to further space exploration and/or benefit life back on Earth. Here’s a look back at just some of the science that happened on the orbiting laboratory. 
HD Download: https://archive.org/details/jsc2017m001167_2017_Space_Station_Science_in_Pictures 
_______________________________________    
FOLLOW THE SPACE STATION!
Twitter: https://twitter.com/Space_Station
Facebook: https://www.facebook.com/ISS
Instagram: https://instagram.com/iss/</t>
  </si>
  <si>
    <t>fna8PqoETVQ</t>
  </si>
  <si>
    <t>2017 12 29</t>
  </si>
  <si>
    <t>https://youtu.be/PEB4-bP2xho</t>
  </si>
  <si>
    <t>Happy New Year from Space!</t>
  </si>
  <si>
    <t>International Space Station crewmembers Joe Acaba, Scott Tingle, Norishige Kanai, and Mark Vande Hei share some of their favorite memories of ringing in a new year back on earth and give us an idea of what it will be like to watch our planet enter 2018 from their orbital outpost 250 miles above.</t>
  </si>
  <si>
    <t>PEB4-bP2xho</t>
  </si>
  <si>
    <t>2017 12 27</t>
  </si>
  <si>
    <t>https://youtu.be/-0Tgdoz3pmg</t>
  </si>
  <si>
    <t>Top 17 Earth Images of 2017</t>
  </si>
  <si>
    <t>The astronauts and cosmonauts on the International Space Station take pictures of Earth out their windows nearly every day, and over a year that adds up to thousands of photos. The people at the Earth Science and Remote Sensing Unit at NASA’s Johnson Space Center in Houston had the enviable job of going through this year’s crop to pick their top 17 photos of Earth for 2017—here’s what they chose!
4K and HD Versions: 
https://archive.org/details/jsc2017m001088_Top-17-Earth-Images-of-2017
Gateway to Astronaut Photography of Earth: https://eol.jsc.nasa.gov/
_______________________________________    
FOLLOW THE SPACE STATION!
Twitter: https://twitter.com/Space_Station
Facebook: https://www.facebook.com/ISS
Instagram: https://instagram.com/iss/</t>
  </si>
  <si>
    <t>-0Tgdoz3pmg</t>
  </si>
  <si>
    <t>2017 12 22</t>
  </si>
  <si>
    <t>https://youtu.be/NZagzFCWSCQ</t>
  </si>
  <si>
    <t>Space to Ground  2017  12 22 2017</t>
  </si>
  <si>
    <t>NZagzFCWSCQ</t>
  </si>
  <si>
    <t>2017 12 21</t>
  </si>
  <si>
    <t>https://youtu.be/DNlwMWYMDng</t>
  </si>
  <si>
    <t>Christmas  on the International Space Station</t>
  </si>
  <si>
    <t>This month is the eighteenth December in a row that men and women from Earth have been on board the International Space Station during the Christmas holidays.  As the Expedition 54 crew members prepare to celebrate in 2017, here’s a quick peek at some of the Christmases past spent on board mankind’s outpost orbiting 250 miles above the planet.
HD Download Link: https://archive.org/details/Jsc2017m001158ChristmasOnTheInternationalSpaceStation
_______________________________________    
FOLLOW THE SPACE STATION!
Twitter: https://twitter.com/Space_Station
Facebook: https://www.facebook.com/ISS
Instagram: https://instagram.com/iss/</t>
  </si>
  <si>
    <t>DNlwMWYMDng</t>
  </si>
  <si>
    <t>2017 12 20</t>
  </si>
  <si>
    <t>https://youtu.be/hqbm-FRBoho</t>
  </si>
  <si>
    <t>Expedition 54's Christmas Memories</t>
  </si>
  <si>
    <t>Flight Engineers Joe Acaba and Mark Vande Hei have been in space for three months already but they’re both about to experience something for the first time: Christmas on the International Space Station.  And although it’s likely to be one they remember, both men have fond memories of Christmases past.  Watch as these NASA astronauts recall childhood gifts from Santa, holiday trips to the tropics, and other cherished memories.
HD Download: https://archive.org/details/jsc2017m001060_Expedition_54s_Christmas_Memories
_______________________________________    
FOLLOW THE SPACE STATION!
Twitter: https://twitter.com/Space_Station
Facebook: https://www.facebook.com/ISS
Instagram: https://instagram.com/iss/</t>
  </si>
  <si>
    <t>hqbm-FRBoho</t>
  </si>
  <si>
    <t>2017 12 19</t>
  </si>
  <si>
    <t>https://youtu.be/sG7qtlZNTsI</t>
  </si>
  <si>
    <t>Sequencing the Unknown</t>
  </si>
  <si>
    <t>Being able to identify microbes in real time aboard the International Space Station, without having to send them back to Earth for identification first, would be revolutionary for the world of microbiology and space exploration, and the Genes in Space-3 team turned that possibility into a reality this year when it completed the first-ever sample-to-sequence process entirely aboard the space station.  This advance could aid in the ability to diagnose and treat astronaut ailments in real time, as well as assisting in the identification of DNA-based life on other planets. It could also benefit other experiments aboard the orbiting laboratory. 
HD Download: https://archive.org/details/jsc2017m001160_Sequencing_the_Unknown
_______________________________________    
FOLLOW THE SPACE STATION!
Twitter: https://twitter.com/Space_Station
Facebook: https://www.facebook.com/ISS
Instagram: https://instagram.com/iss/</t>
  </si>
  <si>
    <t>sG7qtlZNTsI</t>
  </si>
  <si>
    <t>https://youtu.be/WO0J_Nwu0fk</t>
  </si>
  <si>
    <t>2017 - Johnson Space Center Year in Review</t>
  </si>
  <si>
    <t>HD Version:
https://archive.org/details/jsc2017m000969_2017_JSC_Year-In-Review</t>
  </si>
  <si>
    <t>WO0J_Nwu0fk</t>
  </si>
  <si>
    <t>2017 12 15</t>
  </si>
  <si>
    <t>https://youtu.be/sQsT5o6Lp-M</t>
  </si>
  <si>
    <t>5 Things You Didnt Know About Astronaut Scott Tingle</t>
  </si>
  <si>
    <t>The next crew to launch to the International Space Station includes one American astronaut making his first spaceflight: U.S. Navy Captain Scott Tingle, a Massachusetts native with a mechanical engineering education and a resume that includes deployments as an operational pilot plus the Navy Test Pilot School.  Even though he’s been an astronaut for eight years, there are a few things we didn’t know about him—until now.  Listen here for details on Tingle’s childhood in New England, including the motor vehicles he raced and the floors he swept to earn the money to pay for it.
HD Download: https://archive.org/details/jsc2017m000998_5_Things_You_Didnt_Know_About_Astronaut_Scott_Tingle
_______________________________________    
FOLLOW THE SPACE STATION!
Twitter: https://twitter.com/Space_Station
Facebook: https://www.facebook.com/ISS
Instagram: https://instagram.com/iss/</t>
  </si>
  <si>
    <t>sQsT5o6Lp-M</t>
  </si>
  <si>
    <t>https://youtu.be/VWF7JunZ5tg</t>
  </si>
  <si>
    <t>Space to Ground  Down to Earth  12 15 2017</t>
  </si>
  <si>
    <t>VWF7JunZ5tg</t>
  </si>
  <si>
    <t>https://youtu.be/Zgbt5oKrf5I</t>
  </si>
  <si>
    <t>By the Numbers  Expedition 53</t>
  </si>
  <si>
    <t>If there’s one thing we at NASA love more than acronyms, it’s numbers—we count pretty much everything.  Now that the International Space Station’s Expedition 53 has concluded, we gathered up a few of the pertinent numbers to put this mission in perspective.
HD Download: https://archive.org/details/jsc2017m001091_By_the_Numbers_Expedition_53
_______________________________________    
FOLLOW THE SPACE STATION!
Twitter: https://twitter.com/Space_Station
Facebook: https://www.facebook.com/ISS
Instagram: https://instagram.com/iss/</t>
  </si>
  <si>
    <t>Zgbt5oKrf5I</t>
  </si>
  <si>
    <t>https://youtu.be/8xUOqk2f3vg</t>
  </si>
  <si>
    <t>Astronaut Moments  Scott Tingle  Inspiration</t>
  </si>
  <si>
    <t>NASA Astronaut Scott Tingle shares his inspiration for his career as an astronaut. On Sunday, Dec. 17, 2017, Tingle will launch to the International Space Station aboard a Soyuz vehicle at 2:21 a.m. ET (1:21 p.m. Baikonur time) from the Baikonur Cosmodrome in Kazakhstan. This will be his first spaceflight.
More on Tingle: https://www.nasa.gov/astronauts/biographies/scott-d-tingle
More on the space station: www.nasa.gov/station 
For a high resolution download, please visit:   https://archive.org/details/jsc2017m0009_ScottTingle_AstronautMoment_Inspriation_MXF</t>
  </si>
  <si>
    <t>8xUOqk2f3vg</t>
  </si>
  <si>
    <t>2017 12 12</t>
  </si>
  <si>
    <t>https://youtu.be/EB7fKyIndIQ</t>
  </si>
  <si>
    <t>Back in 60 Seconds</t>
  </si>
  <si>
    <t>This week we’ll see the 53rd set of crew members return to Earth from the International Space Station, but we’ll only “see” it from the outside.  What will the astronauts and cosmonauts see as they depart their home in space and return to the planet from whence they came?  If you’ve got 60 seconds to spare, here’s the insider’s view of what a return to Earth on a Soyuz spacecraft looks like to the people on board.
HD Download: https://archive.org/details/Jsc2017m000628BackIn60Seconds
_______________________________________    
FOLLOW THE SPACE STATION!
Twitter: https://twitter.com/Space_Station
Facebook: https://www.facebook.com/ISS
Instagram: https://instagram.com/iss/</t>
  </si>
  <si>
    <t>EB7fKyIndIQ</t>
  </si>
  <si>
    <t>2017 12 11</t>
  </si>
  <si>
    <t>https://youtu.be/V7YcSre8O-A</t>
  </si>
  <si>
    <t>Space Debris Sensor</t>
  </si>
  <si>
    <t>Orbital debris poses a risk to all spacecraft in Earth orbit, so the International Space Station is getting a new debris impact sensor to provide information on the micrometeoroid orbital debris environment in low Earth orbit.  The Space Debris Sensor, launching on the next SpaceX Dragon cargo vehicle, will monitor impacts caused by small-scale orbital debris for a period of two to three years.  That data will improve station safety by generating a more accurate estimate of the amount of small-scale debris that cannot be tracked from the ground and helping define better spacecraft shielding requirements.
HD Download: https://archive.org/details/jsc2017m001151_Space_Debris_Sensor
_______________________________________    
FOLLOW THE SPACE STATION!
Twitter: https://twitter.com/Space_Station
Facebook: https://www.facebook.com/ISS
Instagram: https://instagram.com/iss/</t>
  </si>
  <si>
    <t>V7YcSre8O-A</t>
  </si>
  <si>
    <t>2017 12 08</t>
  </si>
  <si>
    <t>https://youtu.be/aPKAhqy1ex4</t>
  </si>
  <si>
    <t>Space to Ground  California Wildfires  12 08 2017</t>
  </si>
  <si>
    <t>aPKAhqy1ex4</t>
  </si>
  <si>
    <t>2017 12 07</t>
  </si>
  <si>
    <t>https://youtu.be/OXW1_s0hD_E</t>
  </si>
  <si>
    <t>Meet the Expedition 55 56 Crew</t>
  </si>
  <si>
    <t>NASA astronauts A.J. (Drew) Feustel and Ricky Arnold, and crewmate Oleg Artemyev of the Russian space agency Roscosmos, will launch to the International Space Station aboard the Soyuz MS-08 spacecraft, commanded by Artemyev, in March 2018, from the Baikonur Cosmodrome in Kazakhstan. This will be the second time in five months that two NASA astronauts will launch together on a Soyuz spacecraft to the space station.
The trio will join the station’s Expedition 55 crew, and return to Earth in August 2018 as members of Expedition 56. Arnold, a former classroom teacher, and Feustel will continue NASA’s Year of Education on Station initiatives to inspire educators and students. This will be Feustel’s third spaceflight, and Arnold and Artemyev’s second.  
________________________________________
FOLLOW THE SPACE STATION!
Twitter: https://twitter.com/Space_Station 
Facebook: https://www.facebook.com/ISS
Instagram: https://instagram.com/iss/</t>
  </si>
  <si>
    <t>OXW1_s0hD_E</t>
  </si>
  <si>
    <t>https://youtu.be/lssYrWDvv6w</t>
  </si>
  <si>
    <t>STEMonstrations  Exercise</t>
  </si>
  <si>
    <t>Exercise is an integral part of the astronauts’ daily routine aboard the International Space Station. In this STEMonstration, Expedition 53/54 Flight Engineer Joe Acaba stresses the importance of exercising in orbit, and dives into the science behind what happens to bones and muscles in microgravity. 
Try the activity in your classroom! https://www.nasa.gov/sites/default/files/atoms/files/bone-density-and-muscle-stress-in-microgravity.pdf
For a high quality copy for download, visit:
  https://archive.org/details/jsc2017m001090_STEMonstration_Excercise_MXF</t>
  </si>
  <si>
    <t>lssYrWDvv6w</t>
  </si>
  <si>
    <t>2017 12 06</t>
  </si>
  <si>
    <t>https://youtu.be/ZnU7y3xIYMM</t>
  </si>
  <si>
    <t>Making Fiber Optics in Space</t>
  </si>
  <si>
    <t>To demonstrate potential scientific and commercial merits of manufacturing exotic optical fibers in space, a private company is working with NASA on an investigation headed to the International Space Station on the next Dragon cargo ship.  Matthew Napoli, vice president of In-Space Operations for Made In Space, explains how the Optical Fiber Production in Microgravity investigation could lead to the production of materials with better properties, setting the stage for large scale manufacturing of high-quality fiber in space. This investigation follows up on research conducted in the 1990s by scientists at NASA’s Marshall Space Flight Center in Huntsville, Alabama.
HD VERSION: https://archive.org/details/jsc2017m000907_Making-fiber-Optics-in-Space
For more on space station science, please visit: 
Twitter: https://twitter.com/ISS_Research or @ISS_research
Website: https://www.nasa.gov/mission_pages/station/research/experiments/2421.html</t>
  </si>
  <si>
    <t>ZnU7y3xIYMM</t>
  </si>
  <si>
    <t>2017 12 05</t>
  </si>
  <si>
    <t>https://youtu.be/uirXgbTF19o</t>
  </si>
  <si>
    <t>NASA Expands BEAM’s Mission</t>
  </si>
  <si>
    <t>The mission of the Bigelow Expandable Activity Module (BEAM) on the International Space Station has been, well, expanded.  After more than a year and a half on orbit providing performance data on expandable habitat technologies, NASA and Bigelow Aerospace have reached agreement to extend the life of the privately-owned module.  For a minimum of three more years, BEAM will be a more operational element of the station used in crew activities and on board storage, allowing time to gather more data on the technology’s structural integrity, thermal stability, and resistance to space debris, radiation and microbial growth.
HD VERSION: https://archive.org/details/Jsc2017m001123NASAExpandsBEAMsMission
_______________________________________    
FOLLOW THE SPACE STATION!
Twitter: https://twitter.com/Space_Station
Facebook: https://www.facebook.com/ISS
Instagram: https://instagram.com/iss/</t>
  </si>
  <si>
    <t>uirXgbTF19o</t>
  </si>
  <si>
    <t>2017 12 02</t>
  </si>
  <si>
    <t>https://youtu.be/z74OwRy8o9I</t>
  </si>
  <si>
    <t>Pizza Night!</t>
  </si>
  <si>
    <t>Pizza delivery to Space Station!  Our Expedition 53 crew had a blast channeling our inner chef by building #tasty pizzas for movie night. Whose pizza looks the tastiest? 
What’s it like to make pizza in space?  Team skills come in handy when your food floats.
FOLLOW RANDY BRESNIK!
Facebook: https://www.facebook.com/AstroKomrade/
Twitter: https://twitter.com/AstroKomrade
Instagram: https://www.instagram.com/astrokomrade/
HD download link: https://archive.org/details/GMT321_23_00_PaoloNespoli_PizzaNight
______________________________________    
FOLLOW THE SPACE STATION!
Twitter: https://twitter.com/Space_Station
Facebook: https://www.facebook.com/ISS
Instagram: https://instagram.com/iss/</t>
  </si>
  <si>
    <t>z74OwRy8o9I</t>
  </si>
  <si>
    <t>2017 12 01</t>
  </si>
  <si>
    <t>https://youtu.be/CIxP3c1r5jY</t>
  </si>
  <si>
    <t>Space to Ground  Packing Up  12 01 2017</t>
  </si>
  <si>
    <t>CIxP3c1r5jY</t>
  </si>
  <si>
    <t>2017 11 29</t>
  </si>
  <si>
    <t>https://youtu.be/dJDfpxk0OtA</t>
  </si>
  <si>
    <t>ARISS Enables First Educational Contact in Venezuela</t>
  </si>
  <si>
    <t>Astronauts on the International Space Station use amateur radio to talk with students all over the world about life and work in space.  In October, flight engineer Joe Acaba made an historic contact with the Maria Montessori Institute Educational Unit in San Cristobal, Venezuela: the first-ever educational ham radio contact in that country’s history, courtesy of the Amateur Radio on International Space Station program.  Here’s a look at the excitement on the ground as more than a dozen elementary and middle school students got their chance to talk to a man in space.
For more on ARISS: http://www.ariss.org/ 
HD Download Link:
https://archive.org/details/jsc2017m001093_ARISS_Enables_First_Contact_in_Venezuela
______________________________________    
FOLLOW THE SPACE STATION!
Twitter: https://twitter.com/Space_Station
Facebook: https://www.facebook.com/ISS
Instagram: https://instagram.com/iss/</t>
  </si>
  <si>
    <t>dJDfpxk0OtA</t>
  </si>
  <si>
    <t>2017 11 22</t>
  </si>
  <si>
    <t>https://youtu.be/GfSYT6PM-3Y</t>
  </si>
  <si>
    <t>Space to Ground  The Big Meal  11 23 2017</t>
  </si>
  <si>
    <t>GfSYT6PM-3Y</t>
  </si>
  <si>
    <t>2017 11 20</t>
  </si>
  <si>
    <t>https://youtu.be/u4m9bJat7BY</t>
  </si>
  <si>
    <t>Expedition 53's Thanksgiving Memories</t>
  </si>
  <si>
    <t>Being in space doesn’t mean you have to miss a holiday—in fact, 
the American astronauts on board the International Space Station 
have been thinking about some of their past Thanksgivings, 
ones celebrated at a much lower altitude than the one they’ll observe this year.  Listen as Commander Randy Bresnik and Flight Engineers Mark Vande Hei and Joe Acaba recall times with family and friends, meat stuffing and the “traditional” Thanksgiving shrimp cocktail, and neighborhood meals served outside on the sidewalk.
HD Download Link: https://archive.org/details/jsc2017m001059_Expedition_53s_Thanksgiving_Memories_MXF
_______________________________________    
FOLLOW THE SPACE STATION!
Twitter: https://twitter.com/Space_Station
Facebook: https://www.facebook.com/ISS
Instagram: https://instagram.com/iss/</t>
  </si>
  <si>
    <t>u4m9bJat7BY</t>
  </si>
  <si>
    <t>2017 11 17</t>
  </si>
  <si>
    <t>https://youtu.be/qV7Q4vEb8EY</t>
  </si>
  <si>
    <t>Expedition 53 Thanksgiving Message</t>
  </si>
  <si>
    <t>Aboard the International Space Station, Expedition 53 Commander Randy Bresnik and his crewmates, NASA’s Joe Acaba and Mark Vande Hei and Paolo Nespoli of the European Space Agency (ESA) offered their thoughts about being in orbit during the Thanksgiving holiday and the meals and food they will enjoy in orbit during a series of messages downlinked on Nov. 15. Bresnik and Nespoli are in the final weeks of their five and a half month mission on the station, heading for a landing in Kazakhstan on Dec. 14, while Acaba and Vande Hei will remain in orbit through late February.</t>
  </si>
  <si>
    <t>qV7Q4vEb8EY</t>
  </si>
  <si>
    <t>https://youtu.be/llhiLkx1-M8</t>
  </si>
  <si>
    <t>Space to Ground  Stuffed with Science  11 17 2017</t>
  </si>
  <si>
    <t>llhiLkx1-M8</t>
  </si>
  <si>
    <t>2017 11 10</t>
  </si>
  <si>
    <t>https://youtu.be/HB2mbRySGDQ</t>
  </si>
  <si>
    <t>Space to Ground  200th Episode  11 10 2017</t>
  </si>
  <si>
    <t>HB2mbRySGDQ</t>
  </si>
  <si>
    <t>2017 11 09</t>
  </si>
  <si>
    <t>https://youtu.be/6HK9G7feXEk</t>
  </si>
  <si>
    <t>NASA’s Ascent Abort-2 Test of Orion</t>
  </si>
  <si>
    <t>In a test targeted for Summer 2019 known as Ascent Abort-2, NASA will verify the Orion spacecraft’s launch abort system, a tower on top of the crew module, can steer the capsule and astronauts inside it to safety in the event of an issue with the Space Launch System rocket when the spacecraft is under the highest aerodynamic loads it will experience during ascent for deep-space missions. The test is quick, fast and high, lasting less than three minutes with the test crew module reaching an average speed of Mach 1.5, roughly 1020 miles per hour, at approximately 32,000 feet in altitude.
HD download link: https://archive.org/download/Orion_Ascent_Abort_2</t>
  </si>
  <si>
    <t>6HK9G7feXEk</t>
  </si>
  <si>
    <t>https://youtu.be/3xQmcByutm4</t>
  </si>
  <si>
    <t>Expedition 53 - 2017 Veterans Day Message</t>
  </si>
  <si>
    <t>Aboard the International Space Station, Expedition 53 Commander Randy Bresnik, a retired Marine Corps Colonel, Flight Engineers Mark Vande Hei, a retired Army Colonel and Flight Engineer Joe Acaba, a former Marine reservist, paid tribute to veterans who have served the United States in the name of freedom during a downlink message recorded on Nov. 2. The three NASA astronauts asked that veterans never be forgotten, or their sacrifices to maintain democracy and freedom for all Americans.</t>
  </si>
  <si>
    <t>3xQmcByutm4</t>
  </si>
  <si>
    <t>2017 11 08</t>
  </si>
  <si>
    <t>https://youtu.be/MIYfox8wjPk</t>
  </si>
  <si>
    <t>Orion Evacuation Evaluation</t>
  </si>
  <si>
    <t>The latest in a series of tests to evaluate how well astronauts and ground crew can get out of the Orion spacecraft in an emergency on the launch pad was completed recently at NASA/Johnson Space Center’s Space Vehicle Mockup Facility.  Data gathered in a series of test runs will help engineers evaluate the design of the capsule and refine procedures to make sure everyone will be evacuated as quickly as possible in cases where the launch abort system is not required to be activated, such as crew illness or the presence of fire or toxins in the crew cabin.  The first crewed test flight of Orion and the Space Launch System is targeted for the early 2020s.
_____________________________________
FOLLOW ORION!
www.nasa.gov/orion
https://twitter.com/NASA_Orion 
https://www.facebook.com/NASAOrion/
HD download link: https://archive.org/details/jsc2017m001013_Orion-Evacuation-Evaluation</t>
  </si>
  <si>
    <t>MIYfox8wjPk</t>
  </si>
  <si>
    <t>2017 11 03</t>
  </si>
  <si>
    <t>https://youtu.be/X0gxwDTSKw0</t>
  </si>
  <si>
    <t>Space to Ground  Space Spinners  11 03 2017</t>
  </si>
  <si>
    <t>NASA's Space to Ground is your weekly update on what's happening aboard the International Space Station. 
Got a question or comment? Use #spacetoground to talk to us.
Connect with the Year of Education on Station on Pinterest at:
https://www.pinterest.com/nasa/stem-on-station/
To join Sally Ride EarthKAM:
https://www.earthkam.org/
________________________________________
FOLLOW THE SPACE STATION!
Twitter: https://twitter.com/Space_Station 
Facebook: https://www.facebook.com/ISS
Instagram: https://instagram.com/iss/</t>
  </si>
  <si>
    <t>X0gxwDTSKw0</t>
  </si>
  <si>
    <t>2017 10 27</t>
  </si>
  <si>
    <t>https://youtu.be/rgBKFEeXfww</t>
  </si>
  <si>
    <t>The Sound (&amp; Visions) of Silence</t>
  </si>
  <si>
    <t>“Sharing the incomparable silent beauty of our planet with all our fellow travelers on this, our Spaceship Earth.”  @SergeyISS  @Astro_Paolo  @Astrokomrade
“Our thanks to Mr. Paul Simon and Disturbed.”
“Our thanks to all the people within the partnership of the International Space Station who show us daily what heights we can achieve together.”
“The Sound of Silence” Written by Paul Simon.  SONGS OF UNIVERSAL, INC. on behalf of PAUL SIMON MUSIC.  Performed by Disturbed.  Courtesy of Warner Bros. Records.
Captured by astronauts Sergey Ryazanskiy, Paolo Nespoli, and Commander Randy Bresnik, the video features stunning footage of Earth and outer space from the International Space Station in low-earth orbit during the months of August through October in 2017.
For more on the International Space Station, visit: www.nasa.gov/station</t>
  </si>
  <si>
    <t>rgBKFEeXfww</t>
  </si>
  <si>
    <t>https://youtu.be/IMh1KoC-xKA</t>
  </si>
  <si>
    <t>Space to Ground  One Orbit  10 27 2017</t>
  </si>
  <si>
    <t>IMh1KoC-xKA</t>
  </si>
  <si>
    <t>2017 10 26</t>
  </si>
  <si>
    <t>https://youtu.be/oTWnoSuocMo</t>
  </si>
  <si>
    <t>We are the Explorers 2017</t>
  </si>
  <si>
    <t>Why do we explore? Simply put, it is part of who we are, and it is something we have done throughout our history. In NASA's new video, "We Are the Explorers," we take a look at that tradition of reaching for things just beyond our grasp and how it is helping us lay the foundation for our greatest journeys ahead.
HD download link:
https://archive.org/details/jsc2017m00975_WeAreTheExplorers_2017</t>
  </si>
  <si>
    <t>oTWnoSuocMo</t>
  </si>
  <si>
    <t>2017 10 20</t>
  </si>
  <si>
    <t>https://youtu.be/05saig9k_qc</t>
  </si>
  <si>
    <t>Space to Ground  Teacher On Board  10 20 2017</t>
  </si>
  <si>
    <t>05saig9k_qc</t>
  </si>
  <si>
    <t>https://youtu.be/aLmvj6r5f7k</t>
  </si>
  <si>
    <t>Podcast Live from Space  Astronaut Photography</t>
  </si>
  <si>
    <t>“Houston We Have a Podcast” streamed live on NASA TV and Facebook Live on October 13, 2017. Hosts Gary Jordan and Megan Sumner talk about astronaut photography with Expedition 53 crewmembers Randy “Komrade” Bresnik, Paolo Nespoli, Joe Acaba, and Mark “Sabot” Vande Hei. The crewmembers answer questions submitted on Facebook Live.
In this podcast, we bring in the experts – NASA scientists, engineers, astronauts – all the folks that have the coolest information, the stuff you really want to know, right on the show to talk about everything NASA. Find more episodes of “Houston, We Have a Podcast” on iTunes, SoundCloud, Google Play and NASA.gov 
iTunes: https://itunes.apple.com/us/podcast/h... 
SoundCloud: https://soundcloud.com/nasa/sets/hous... 
Google Play: https://playmusic.app.goo.gl/?ibi=com...
NASA.gov: https://www.nasa.gov/johnson/HWHAP</t>
  </si>
  <si>
    <t>aLmvj6r5f7k</t>
  </si>
  <si>
    <t>2017 10 13</t>
  </si>
  <si>
    <t>https://youtu.be/82t9Tk9dUHs</t>
  </si>
  <si>
    <t>Fidget spinner spinning in space!</t>
  </si>
  <si>
    <t>A fidget spinner in space! How long does it spin? I'm not sure, but it’s a great way to experiment with Newton’s laws of motion!
Allowing the fidget spinner to float reduces the bearing friction by permitting the rate of the central ring and outer spinner to equalize, and the whole thing spins as a unit.
FOLLOW RANDY BRESNIK!
Facebook: https://www.facebook.com/AstroKomrade/
Twitter: https://twitter.com/AstroKomrade
Instagram: https://www.instagram.com/astrokomrade/
HD download link: https://www.archive.org/details/FidgetSpinnerSpinningInSpace</t>
  </si>
  <si>
    <t>82t9Tk9dUHs</t>
  </si>
  <si>
    <t>https://youtu.be/rIVEpbD97lQ</t>
  </si>
  <si>
    <t>Space to Ground  Quick Work  10 13 2017</t>
  </si>
  <si>
    <t>rIVEpbD97lQ</t>
  </si>
  <si>
    <t>2017 10 06</t>
  </si>
  <si>
    <t>https://youtu.be/GZCJP0To3eQ</t>
  </si>
  <si>
    <t>Space to Ground  Out the Door  10 06 2017</t>
  </si>
  <si>
    <t>GZCJP0To3eQ</t>
  </si>
  <si>
    <t>2017 10 04</t>
  </si>
  <si>
    <t>https://youtu.be/dzE_i6h5NeI</t>
  </si>
  <si>
    <t>The Essential Canadarm2</t>
  </si>
  <si>
    <t>Tomorrow on the first spacewalk of Expedition 53, astronauts will install a new latching end effector on the International Space Station’s robotic arm, Canadarm2, to keep that invaluable piece of hardware ready to support the station’s continuing mission.  Take a quick look back at the invaluable role played by the “big arm” in assembling the space station and keeping it flying.
HD DOWNLOAD LINK: https://archive.org/details/jsc2017m000961_The_Essential_Canadarm2
_______________________________________
FOLLOW THE SPACE STATION!
Twitter: https://twitter.com/Space_Station
Facebook: https://www.facebook.com/ISS
Instagram: https://instagram.com/iss/</t>
  </si>
  <si>
    <t>dzE_i6h5NeI</t>
  </si>
  <si>
    <t>2017 09 29</t>
  </si>
  <si>
    <t>https://youtu.be/po44cUiQQh8</t>
  </si>
  <si>
    <t>Space to Ground  Triple Spacewalks  09 29 2017</t>
  </si>
  <si>
    <t>po44cUiQQh8</t>
  </si>
  <si>
    <t>2017 09 25</t>
  </si>
  <si>
    <t>https://youtu.be/HjEZcCZrjq4</t>
  </si>
  <si>
    <t>5 Things You Didn't Know About Astronaut Joe Acaba</t>
  </si>
  <si>
    <t>He’s been an astronaut since 2004 and launched last week with more than four months in space to his credit on two previous missions, so there’s not much more to know about Joe Acaba, right?  Nope: the California native, former middle school math and science teacher and Peace Corps veteran has a few more tricks up his sleeve, and he shares five of them with you right here.
HD Download: https://archive.org/details/jsc2017m000792_5_Things_You_Didnt_Know_About_Astronaut_Joe_Acaba
_______________________________________
FOLLOW THE SPACE STATION!
Twitter: https://twitter.com/Space_Station
Facebook: https://www.facebook.com/ISS
Instagram: https://instagram.com/iss/</t>
  </si>
  <si>
    <t>HjEZcCZrjq4</t>
  </si>
  <si>
    <t>2017 09 22</t>
  </si>
  <si>
    <t>https://youtu.be/zsW9C3k_9mw</t>
  </si>
  <si>
    <t>Space to Ground  Busy Crew  09 22 2017</t>
  </si>
  <si>
    <t>zsW9C3k_9mw</t>
  </si>
  <si>
    <t>2017 09 19</t>
  </si>
  <si>
    <t>https://youtu.be/mS5RlwL90XI</t>
  </si>
  <si>
    <t>ISS passes over Hurricane Maria 9 19 17</t>
  </si>
  <si>
    <t>External cameras on the International Space Station captured dramatic views of Hurricane Maria as it churned through the Caribbean Sept. 19 as a potentially catastrophic category 5 hurricane, with maximum sustained winds of 165 MPH. Maria is forecast to pass near or over the U. S. Virgin Islands and Puerto Rico tonight and Wednesday.
________________________________________
FOLLOW THE SPACE STATION!
Twitter: https://twitter.com/Space_Station 
Facebook: https://www.facebook.com/ISS
Instagram: https://instagram.com/iss/</t>
  </si>
  <si>
    <t>mS5RlwL90XI</t>
  </si>
  <si>
    <t>2017 09 15</t>
  </si>
  <si>
    <t>https://youtu.be/Ra4-PFQ2Hnw</t>
  </si>
  <si>
    <t>Space to Ground  Full Strength  09 15 2017</t>
  </si>
  <si>
    <t>Ra4-PFQ2Hnw</t>
  </si>
  <si>
    <t>2017 09 12</t>
  </si>
  <si>
    <t>https://youtu.be/LPOPNy3_5B8</t>
  </si>
  <si>
    <t>Astronaut Moments with NASA astronaut Joe Acaba</t>
  </si>
  <si>
    <t>Astronaut Moments with NASA astronaut Joe Acaba
Acaba and his crewmates, Mark Vande Hei of NASA and cosmonaut Alexander Misurkin of the Russian space agency Roscosmos, will launch on the Russian Soyuz MS-06 spacecraft at 5:17 p.m. EDT on Sept. 12. They are scheduled to return to Earth in March 2018. The crew members will continue several hundred experiments in biology, biotechnology, physical science and Earth science currently underway and scheduled to take place aboard humanity's only permanently occupied orbiting lab. 
Follow Acaba onTwitter at https://twitter.com/astroacaba.
Find Acaba’s full biography at https://www.nasa.gov/astronauts/biographies/joseph-m-acaba.
Download HD version:  https://archive.org/details/jsc2017m000682_Acaba_AstronautMoment</t>
  </si>
  <si>
    <t>LPOPNy3_5B8</t>
  </si>
  <si>
    <t>https://youtu.be/9R07-11fyhE</t>
  </si>
  <si>
    <t>Astronaut Moments with NASA Astronaut Mark Vande Hei</t>
  </si>
  <si>
    <t>Astronaut Moments with NASA astronaut Mark Vande Hei
Vande Hei and his crewmates, Joe Acaba of NASA and cosmonaut Alexander Misurkin of the Russian space agency Roscosmos, will launch on the Russian Soyuz MS-06 spacecraft at 5:17 p.m. EDT on Sept. 12. They are scheduled to return to Earth in March 2018. The crew members will continue several hundred experiments in biology, biotechnology, physical science and Earth science currently underway and scheduled to take place aboard humanity's only permanently occupied orbiting lab. 
Follow Vande Hei onTwitter at https://twitter.com/Astro_Sabot.
Find Vande Hei full biography at https://www.nasa.gov/astronauts/biographies/mark-t-vande-hei.
For HD Download: https://archive.org/details/jsc2017m000415_AstronautMoment_VandeHei</t>
  </si>
  <si>
    <t>9R07-11fyhE</t>
  </si>
  <si>
    <t>2017 09 11</t>
  </si>
  <si>
    <t>https://youtu.be/pIOLs8PwvOg</t>
  </si>
  <si>
    <t>EISD External Video</t>
  </si>
  <si>
    <t>pIOLs8PwvOg</t>
  </si>
  <si>
    <t>2017 09 08</t>
  </si>
  <si>
    <t>https://youtu.be/ODiWspJYaXQ</t>
  </si>
  <si>
    <t>ISS Pass Over Hurricane Jose and Hurricane Irma 9 8 17</t>
  </si>
  <si>
    <t>The International Space Station passed over two major Atlantic hurricanes on Friday, Sept. 8. First, the station flew approximately 250 miles over Hurricane Jose at approximately 10:10 a.m. EDT 
while the Category 3 storm was in the Atlantic just east of the Caribbean. One orbit of the Earth later, the station flew over Hurricane Irma at approximately 11:40 a.m. EDT. The powerful Category 4 storm had already brought destructive wind and rain to islands across the Caribbean and is forecast to impact the Florida peninsula. 
Raw footage download: https://archive.org/details/ISS_Pass_Over_Hurricane_Jose_and_Hurricane_Irma_090817
------------------------------------------------------------------
FOLLOW THE SPACE STATION!
Twitter: https://twitter.com/Space_Station 
Facebook: https://www.facebook.com/ISS
Instagram: https://instagram.com/iss/</t>
  </si>
  <si>
    <t>ODiWspJYaXQ</t>
  </si>
  <si>
    <t>https://youtu.be/AZA3LwX0NOw</t>
  </si>
  <si>
    <t>By the Numbers  Expedition 52</t>
  </si>
  <si>
    <t>Expedition 52, as simple as 1-2-3: the first International Space Station science officer who was also the second woman to serve as a station crewmember has now finished her third long-duration mission…and that’s just for starters.  Last week’s crew return to Earth puts Expedition 52 in the record books; we peeked inside and pulled out some of the best numbers to sum up the flight.
_______________________________________
FOLLOW THE SPACE STATION!
Twitter: https://twitter.com/Space_Station
Facebook: https://www.facebook.com/ISS
Instagram: https://instagram.com/iss/</t>
  </si>
  <si>
    <t>AZA3LwX0NOw</t>
  </si>
  <si>
    <t>https://youtu.be/fVD4BtM9gJM</t>
  </si>
  <si>
    <t>Space to Ground  Tracking a Monster  09 08 2017</t>
  </si>
  <si>
    <t>fVD4BtM9gJM</t>
  </si>
  <si>
    <t>2017 09 07</t>
  </si>
  <si>
    <t>https://youtu.be/C-mBf0rjXpc</t>
  </si>
  <si>
    <t>ISS Pass Over Hurricane Irma 9 7 2017</t>
  </si>
  <si>
    <t>Updated caption for today: External cameras on the International Space Station captured views during an overhead pass of Hurricane Irma on Sept. 7, the third pass this week. The Category 5 storm with sustained winds of 180 mph has brought devastating wind and rains to several islands in the Caribbean, with a hurricane watch in effect for much of Cuba and the potential to begin impacting the Florida peninsula by week’s end.
Note: The second view appears in black and white due to an issue with the sensor on the external camera. 
Raw footage download: https://archive.org/details/jsc2017m000871_Hurricane_Irma_GMT250 
________________________________________
FOLLOW THE SPACE STATION!
Twitter: https://twitter.com/Space_Station 
Facebook: https://www.facebook.com/ISS
Instagram: https://instagram.com/iss/</t>
  </si>
  <si>
    <t>C-mBf0rjXpc</t>
  </si>
  <si>
    <t>https://youtu.be/HoryjMs5Vus</t>
  </si>
  <si>
    <t>SpeedyTime 8 - Space Photography</t>
  </si>
  <si>
    <t>Even though it’s zooming along at five miles a second, the International Space Station provides a great vantage point for photography of the Earth from 250 miles overhead.  In this SpeedyTime segment recorded just before his return to Earth, Expedition 52 flight engineer Jack Fischer shows off some of the station’s “picture windows” and introduces the crew of Expedition 53 who talk about their reasons for spending time with their cameras pointed toward home.
_______________________________________
FOLLOW THE SPACE STATION!
Twitter: https://twitter.com/Space_Station
Facebook: https://www.facebook.com/ISS
Instagram: https://instagram.com/iss/</t>
  </si>
  <si>
    <t>HoryjMs5Vus</t>
  </si>
  <si>
    <t>2017 09 06</t>
  </si>
  <si>
    <t>https://youtu.be/XoMRueJ17Rc</t>
  </si>
  <si>
    <t>ISS Passes Over Hurricane Irma - 9 6 2017</t>
  </si>
  <si>
    <t>The International Space Station’s external cameras captured another dramatic view of Hurricane Irma as it made landfall in the Caribbean Sept. 6. The powerful Category 5 storm with sustained winds of 185 mph made landfall on several islands while continuing on a westward track. Irma is expected to bring severe wind and rain to several islands in the Caribbean over the next several days with the potential to impact the Florida peninsula by week’s end.
HD Link:
https://archive.org/details/HurricaneIrmaGMT2491536</t>
  </si>
  <si>
    <t>XoMRueJ17Rc</t>
  </si>
  <si>
    <t>2017 09 05</t>
  </si>
  <si>
    <t>https://youtu.be/QBDheVyH8SM</t>
  </si>
  <si>
    <t>ISS passes over Hurricane Irma, Sept. 5</t>
  </si>
  <si>
    <t>The International Space Station’s external cameras captured a dramatic view of Hurricane Irma as it moved across the Atlantic Ocean Sept. 5. The National Hurricane Center had recently upgraded Irma to a Category 5 storm with hurricane warnings issued across the Caribbean.
HD Link:
https://archive.org/details/ISS-Pass-Over-Hurricane-Irma-Sep-5-2017</t>
  </si>
  <si>
    <t>QBDheVyH8SM</t>
  </si>
  <si>
    <t>2017 08 28</t>
  </si>
  <si>
    <t>https://youtu.be/-IJ0W5DSFQE</t>
  </si>
  <si>
    <t>Jack and Peggy's Excellent Adventure</t>
  </si>
  <si>
    <t>A little more than 200 people have ever actually made a spacewalk, and the rest of us have to wonder what it’s like—maybe this will help!  In May 2017 NASA astronauts Peggy Whitson and Jack Fischer each wore a small high definition video camera during a spacewalk on the International Space Station; here, for the first time ever, we’ve cut together those video streams and added the space to ground audio so you can go out on the EVA with the astronauts and get a sense of what it’s like to be your own little spaceship.
HD download link: https://archive.org/details/jsc2017m000610_Jack_and_Peggys_Excellent_Adventure
_______________________________________
FOLLOW THE SPACE STATION!
Twitter: https://twitter.com/Space_Station
Facebook: https://www.facebook.com/ISS
Instagram: https://instagram.com/iss/</t>
  </si>
  <si>
    <t>-IJ0W5DSFQE</t>
  </si>
  <si>
    <t>2017 08 25</t>
  </si>
  <si>
    <t>https://youtu.be/uN2uatjFm5I</t>
  </si>
  <si>
    <t>SpeedyTime %237 - Minus Eighty Degrees Laboratory Freezer for ISS</t>
  </si>
  <si>
    <t>Cutting-edge science is on the daily menu on board the International Space Station, but where do the astronauts store their lab results before they’re shipped back to Earth?  In one of a dozen large freezers, of course: in this SpeedyTime segment, Expedition 52 flight engineer Jack Fischer shines a light on the MELFI, Minus Eighty Degrees Laboratory Freezer for ISS.
_______________________________________
FOLLOW THE SPACE STATION!
Twitter: https://twitter.com/Space_Station
Facebook: https://www.facebook.com/ISS
Instagram: https://instagram.com/iss/</t>
  </si>
  <si>
    <t>uN2uatjFm5I</t>
  </si>
  <si>
    <t>https://youtu.be/akiwa395AIA</t>
  </si>
  <si>
    <t>Space to Ground  Totally Stunning!  08 25 2017</t>
  </si>
  <si>
    <t>akiwa395AIA</t>
  </si>
  <si>
    <t>2017 08 24</t>
  </si>
  <si>
    <t>https://youtu.be/iGH7R1vs5Jk</t>
  </si>
  <si>
    <t>Cardiac Biology In Space</t>
  </si>
  <si>
    <t>Astronauts experience structural changes to their heart during long-duration spaceflight, but the biological basis of that is not clearly understood. Jonathon Baio, a doctoral student at Loma Linda University’s School of Medicine, details an investigation of cardiovascular stem cells that hopes to better understand their role in cardiac biology and tissue regeneration, which could advance ways to maintain cardiac health of astronauts during extended missions as well inform future treatments to reverse heart muscle loss upon return to Earth, and may help the medical community combat cardiovascular disease, one of the world’s leading causes of death.
For more on space station science, please visit: 
Twitter: https://twitter.com/ISS_Research or @ISS_research
Website: https://www.nasa.gov/mission_pages/station/research/index.html
_______________________________________
FOLLOW THE SPACE STATION!
Twitter: https://twitter.com/Space_Station
Facebook: https://www.facebook.com/ISS
Instagram: https://instagram.com/iss/</t>
  </si>
  <si>
    <t>iGH7R1vs5Jk</t>
  </si>
  <si>
    <t>2017 08 22</t>
  </si>
  <si>
    <t>https://youtu.be/mIbJLQhV7ow</t>
  </si>
  <si>
    <t>Zena Cardman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</si>
  <si>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National Science Foundation graduate research fellow Zena Cardman talks about how she became interested in science, technology, engineering and math, why she wanted to become an astronaut and where she was when she got the news that she’d achieved her dream.
Learn more about the new space heroes right here: nasa.gov/2017astronauts</t>
  </si>
  <si>
    <t>mIbJLQhV7ow</t>
  </si>
  <si>
    <t>https://youtu.be/gYqboqIkmmY</t>
  </si>
  <si>
    <t>Kayla Barron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</si>
  <si>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U.S. Navy Lieutenant Kayla Barron talks about how she became interested in science, technology, engineering and math, why she wanted to become an astronaut and where she was when she got the news that she’d achieved her dream.
Learn more about the new space heroes right here: nasa.gov/2017astronauts</t>
  </si>
  <si>
    <t>gYqboqIkmmY</t>
  </si>
  <si>
    <t>https://youtu.be/uiPgmxfbt54</t>
  </si>
  <si>
    <t>Jasmin Moghbeli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</si>
  <si>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U.S. Marine Corps Major Jasmin Moghbeli talks about how she became interested in science, technology, engineering and math, why she wanted to become an astronaut and where she was when she got the news that she’d achieved her dream.
Learn more about the new space heroes right here: nasa.gov/2017astronauts</t>
  </si>
  <si>
    <t>uiPgmxfbt54</t>
  </si>
  <si>
    <t>https://youtu.be/lC0w_pnYbb8</t>
  </si>
  <si>
    <t>Loral O’Hara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</si>
  <si>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Woods Hole Oceanographic Institution research engineer Loral O’Hara talks about how she became interested in science, technology, engineering and math, why she wanted to become an astronaut and where she was when she got the news that she’d achieved her dream.
Learn more about the new space heroes right here: nasa.gov/2017astronauts</t>
  </si>
  <si>
    <t>lC0w_pnYbb8</t>
  </si>
  <si>
    <t>https://youtu.be/XHKUfy4Tbbw</t>
  </si>
  <si>
    <t>Raja Chari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</si>
  <si>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U.S. Air Force Lieutenant Colonel Raja Chari talks about how he became interested in science, technology, engineering and math, why he wanted to become an astronaut and where he was when he got the news that he’d achieved his dream.
Learn more about the new space heroes right here: nasa.gov/2017astronauts</t>
  </si>
  <si>
    <t>XHKUfy4Tbbw</t>
  </si>
  <si>
    <t>https://youtu.be/E9Yipe5QIOI</t>
  </si>
  <si>
    <t>Warren Hoburg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</si>
  <si>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MIT assistant professor Warren Hoburg talks about how he became interested in science, technology, engineering and math, why he wanted to become an astronaut and where he was when he got the news that he’d achieved his dream.
Learn more about the new space heroes right here: nasa.gov/2017astronauts</t>
  </si>
  <si>
    <t>E9Yipe5QIOI</t>
  </si>
  <si>
    <t>https://youtu.be/LdGZlN1Io5o</t>
  </si>
  <si>
    <t>Frank Rubio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</si>
  <si>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U.S. Army Major Frank Rubio talks about how he became interested in science, technology, engineering and math, why he wanted to become an astronaut and where he was when he got the news that he’d achieved his dream.
Learn more about the new space heroes right here: nasa.gov/2017astronauts</t>
  </si>
  <si>
    <t>LdGZlN1Io5o</t>
  </si>
  <si>
    <t>https://youtu.be/VibnAtGkFrE</t>
  </si>
  <si>
    <t>Jessica Watkins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</si>
  <si>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Caltech postdoctoral fellow Jessica Watkins talks about how she became interested in science, technology, engineering and math, why she wanted to become an astronaut and where she was when she got the news that she’d achieved her dream.
Learn more about the new space heroes right here: nasa.gov/2017astronauts</t>
  </si>
  <si>
    <t>VibnAtGkFrE</t>
  </si>
  <si>
    <t>https://youtu.be/gfn6Ka6nGYg</t>
  </si>
  <si>
    <t>Jonny Kim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</si>
  <si>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Dr. Jonny Kim talks about how he became interested in science, technology, engineering and math, why he wanted to become an astronaut and where he was when he got the news that he’d achieved his dream.
Learn more about the new space heroes right here: nasa.gov/2017astronauts</t>
  </si>
  <si>
    <t>gfn6Ka6nGYg</t>
  </si>
  <si>
    <t>https://youtu.be/DPhPX33Dlr0</t>
  </si>
  <si>
    <t>Bob Hines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</si>
  <si>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NASA research pilot Bob Hines talks about how he became interested in science, technology, engineering and math, why he wanted to become an astronaut and where he was when he got the news that he’d achieved his dream.
Learn more about the new space heroes right here: nasa.gov/2017astronauts</t>
  </si>
  <si>
    <t>DPhPX33Dlr0</t>
  </si>
  <si>
    <t>https://youtu.be/3uLggveEtmo</t>
  </si>
  <si>
    <t>Matthew Dominick NASA 2017 Astronaut Candidate</t>
  </si>
  <si>
    <t>The ranks of America’s Astronaut Corps grew by a dozen today!  The twelve new NASA Astronaut Candidates have reported for duty at the Johnson Space Center in Houston to begin two years of training.  Before they got to Houston we video-chatted with them all; U.S. Navy Lieutenant Commander Matthew Dominick talks about how he became interested in science, technology, engineering and math, why he wanted to become an astronaut and where he was when he got the news that he’d achieved his dream.
Learn more about the new space heroes right here: nasa.gov/2017astronauts</t>
  </si>
  <si>
    <t>3uLggveEtmo</t>
  </si>
  <si>
    <t>2017 08 18</t>
  </si>
  <si>
    <t>https://youtu.be/vys1LAxPY00</t>
  </si>
  <si>
    <t>SpeedyTime 6 – International Space Station Tour</t>
  </si>
  <si>
    <t>More internal space than a six-bedroom house, on a vehicle that would cover a football field: how long to take the tour?  In this week’s “SpeedyTime” feature, Expedition 52 flight engineer Jack Fischer flies us through his home in space, from bow to stern, in just 3:18—please prepare for take-off.
_______________________________________
FOLLOW THE SPACE STATION!
Twitter: https://twitter.com/Space_Station
Facebook: https://www.facebook.com/ISS
Instagram: https://instagram.com/iss/</t>
  </si>
  <si>
    <t>vys1LAxPY00</t>
  </si>
  <si>
    <t>https://youtu.be/2-QCC1UC6Vo</t>
  </si>
  <si>
    <t>Two Truths and a Lie</t>
  </si>
  <si>
    <t>Just after NASA announced a new class of astronaut candidates, we got them all together to play “Two Truths and a Lie” in front of a few cameras so we could all get to know them.  Can Woody Hoburg really do a standing front flip?  Did Jessica Watkins win an Olympic Medal?  Does Loral O’Hara really eat tacos half the days of the week?  The answers to these questions and more are right here.
Learn more about each astronaut candidate at nasa.gov/2017astronauts</t>
  </si>
  <si>
    <t>2-QCC1UC6Vo</t>
  </si>
  <si>
    <t>https://youtu.be/0E-tzLa6Y3U</t>
  </si>
  <si>
    <t>Space to Ground  Moon Shadow  08 18 17</t>
  </si>
  <si>
    <t>0E-tzLa6Y3U</t>
  </si>
  <si>
    <t>2017 08 11</t>
  </si>
  <si>
    <t>https://youtu.be/2cY6wsW8vdc</t>
  </si>
  <si>
    <t>The Most Awesome Podcast from Space!</t>
  </si>
  <si>
    <t>The first live episode of “Houston, We Have a Podcast” streamed on NASA TV and Facebook Live. In this podcast, we bring in the experts – NASA scientists, engineers, astronauts – all the folks that have the coolest information, the stuff you really want to know, right on the show to talk about everything NASA. In the podcast’s 6th episode, guest Jack "2fish" Fischer, NASA Astronaut, talks about life on the International Space Station with co-hosts Gary Jordan and Dan Huot. This podcast was recorded during a live event on Aug 10, 2017.
Find more episodes of “Houston, We Have a Podcast” on iTunes, SoundCloud, and NASA.gov
iTunes: https://itunes.apple.com/us/podcast/houston-we-have-a-podcast/id1262594123
SoundCloud: https://soundcloud.com/nasa/sets/houston-we-have-a-podcast
NASA.gov: https://www.nasa.gov/johnson/HWHAP</t>
  </si>
  <si>
    <t>2cY6wsW8vdc</t>
  </si>
  <si>
    <t>https://youtu.be/NmnnBvYFOIs</t>
  </si>
  <si>
    <t>SpeedyTime 5 – Water in Space</t>
  </si>
  <si>
    <t>The International Space Station is a one-of-a-kind spot for scientists who want to do experiments where there’s no gravity, to find out how other natural forces function without gravity’s influence.  In this “SpeedyTime” segment, Expedition 52 flight engineer Jack Fischer uses a few simple tools to demonstrate what happens to water in space when there’s no pull of gravity.
_______________________________________
FOLLOW THE SPACE STATION!
Twitter: https://twitter.com/Space_Station
Facebook: https://www.facebook.com/ISS
Instagram: https://instagram.com/iss/</t>
  </si>
  <si>
    <t>NmnnBvYFOIs</t>
  </si>
  <si>
    <t>https://youtu.be/JXsoX2rhdbM</t>
  </si>
  <si>
    <t>Space to Ground  A Closer Look  08 11 2017</t>
  </si>
  <si>
    <t>JXsoX2rhdbM</t>
  </si>
  <si>
    <t>2017 08 10</t>
  </si>
  <si>
    <t>https://youtu.be/631tk9aqM3I</t>
  </si>
  <si>
    <t>Interns In Their Natural Habitat</t>
  </si>
  <si>
    <t>Discover internship opportunities at the NASA Johnson Space Center! This video shows some of the places interns work and some of the projects they contribute to. Interns work to make their mark and enjoy the entirety of the internship experience which includes touring laboratories and facilities, hearing lectures from astronauts and NASA’s leaders, participating in professional and social committees (like Video Committee) in spare time, and much more.
Start your journey!
For more on NASA internships:
https://intern.nasa.gov/
https://nasajobs.nasa.gov/studentopps/default.htm
For Johnson Space Center specific internships:
https://pathways.jsc.nasa.gov/
https://www.nasa.gov/centers/johnson/education/interns/index.html
---------------------------------
FOLLOW JOHNSON SPACE CENTER INTERNS!
Facebook: @NASA.JSC.Students https://www.facebook.com/NASA.JSC.Students/
Instagram: @nasajscstudents https://www.instagram.com/nasajscstudents/
Twitter: @NASAJSCStudents https://twitter.com/nasajscstudents
FOLLOW NASA INTERNS!
Facebook: @NASAInterns https://www.facebook.com/NASAInterns/
Twitter: @NASAInterns https://twitter.com/nasainterns</t>
  </si>
  <si>
    <t>631tk9aqM3I</t>
  </si>
  <si>
    <t>2017 08 04</t>
  </si>
  <si>
    <t>https://youtu.be/IatS58t9VII</t>
  </si>
  <si>
    <t>SpeedyTime 4 – Microgravity Science Glovebox</t>
  </si>
  <si>
    <t>Doing groundbreaking science can mean working with dangerous materials; how do the astronauts on the International Space Station protect themselves and their ship in those cases?  They use the Microgravity Science Glovebox: in this “SpeedyTime” segment Expedition 52 flight engineer Peggy Whitson pulls a rack out of the wall of the Destiny Laboratory to show us how astronauts access a sealed environment for science and technology experiments that involve potentially hazardous 
materials.
HD Link: 
https://archive.org/details/jsc2017m000728_SpeedyTime-4_Microgravity_Science_Gloveboxx_201708
_______________________________________
FOLLOW THE SPACE STATION!
Twitter: https://twitter.com/Space_Station
Facebook: https://www.facebook.com/ISS
Instagram: https://instagram.com/iss/</t>
  </si>
  <si>
    <t>IatS58t9VII</t>
  </si>
  <si>
    <t>https://youtu.be/ridVpzznXVE</t>
  </si>
  <si>
    <t>Space to Ground  A Stunning Launch  08 04 2017</t>
  </si>
  <si>
    <t>ridVpzznXVE</t>
  </si>
  <si>
    <t>2017 08 03</t>
  </si>
  <si>
    <t>https://youtu.be/8HW9gYGMiwo</t>
  </si>
  <si>
    <t>Ocean Moon Glint and City Night Lights in 4K UHD</t>
  </si>
  <si>
    <t>This time-lapse imagery taken by NASA astronaut Jack Fischer from the International Space Station in 4K Ultra High Defintion takes us over the Pacific Ocean’s moon glint and above the night lights of San Francisco, Calif. through Denver, Colo.
4K file download: https://archive.org/download/Ocean-Moon-Glint-And-City-Night-Lights-In-4K-UHD</t>
  </si>
  <si>
    <t>8HW9gYGMiwo</t>
  </si>
  <si>
    <t>2017 08 01</t>
  </si>
  <si>
    <t>https://youtu.be/Msg1DY8z-d4</t>
  </si>
  <si>
    <t>SpeedyTime %233 – Treadmill 2</t>
  </si>
  <si>
    <t>When you live in a place where your heart doesn’t even have to work against the pull of gravity, you need help with exercise: the astronauts on the International Space Station have a suite of exercise equipment at their disposal, including a treadmill.  In this “SpeedyTime” segment Expedition 52 flight engineer Jack Fischer runs through the workout they get on the Combined Operational Load Bearing External Resistance Treadmill (COLBERT) in the station’s Tranquility module.
HD Link: 
https://archive.org/details/jsc2017m000676_SpeedyTime_3_Treadmill_2
_______________________________________
FOLLOW THE SPACE STATION!
Twitter: https://twitter.com/Space_Station
Facebook: https://www.facebook.com/ISS
Instagram: https://instagram.com/iss/</t>
  </si>
  <si>
    <t>Msg1DY8z-d4</t>
  </si>
  <si>
    <t>2017 07 28</t>
  </si>
  <si>
    <t>https://youtu.be/dFBR2fEdRgs</t>
  </si>
  <si>
    <t>Launch Day in Baikonur</t>
  </si>
  <si>
    <t>Expedition 52-53 Soyuz Commander Sergey Ryazanskiy of Roscosmos and Flight Engineers Randy Bresnik of NASA and Paolo Nespoli of the European Space Agency launched on the Russian Soyuz MS-05 spacecraft on July 28 from the Baikonur Cosmodrome in Kazakhstan to begin a six-hour journey to the International Space Station and the start of a four and a half month mission on the outpost. 
________________________________________
FOLLOW THE SPACE STATION!
Twitter: https://twitter.com/Space_Station 
Facebook: https://www.facebook.com/ISS
Instagram: https://instagram.com/iss/</t>
  </si>
  <si>
    <t>dFBR2fEdRgs</t>
  </si>
  <si>
    <t>2017 07 27</t>
  </si>
  <si>
    <t>https://youtu.be/oQ4jAlZGcPo</t>
  </si>
  <si>
    <t>Space to Ground  A New Method  07 27 2017</t>
  </si>
  <si>
    <t>oQ4jAlZGcPo</t>
  </si>
  <si>
    <t>https://youtu.be/b3YT4o78x8U</t>
  </si>
  <si>
    <t>Astronaut Randy Bresnik  Extreme Exploration</t>
  </si>
  <si>
    <t>NASA astronaut Randy Bresnik is gearing up for his first long-duration stay aboard the International Space Station, but is no stranger to exploration. Watch as he tells of his exploits in some of the most extreme places on planet Earth, and how those experiences prepared him to leave it.  
Bresnik and his crewmates, cosmonaut Sergey Ryazanskiy of the Russian space agency Roscosmos and Paolo Nespoli of ESA (European Space Agency), will launch on the Russian Soyuz MS-05 spacecraft at 11:41 a.m. on July 28. They are scheduled to return to Earth in December. The crew members will continue several hundred experiments in biology, biotechnology, physical science and Earth science currently underway and scheduled to take place aboard humanity's only permanently occupied orbiting lab.
You can follow Bresnik online at:
Twitter: https://twitter.com/AstroKomrade
Facebook: https://www.facebook.com/AstroKomrade/
Instagram: https://www.instagram.com/astrokomrade/
Bio: https://www.nasa.gov/astronauts/biogr...
HD download   :https://archive.org/details/Jsc2017m000684BresnikExplorationStory</t>
  </si>
  <si>
    <t>b3YT4o78x8U</t>
  </si>
  <si>
    <t>2017 07 26</t>
  </si>
  <si>
    <t>https://youtu.be/S7Gg4GKcuLU</t>
  </si>
  <si>
    <t>Expedition 52 53 Soyuz Mating And Rollout</t>
  </si>
  <si>
    <t>At the Baikonur cosmodrome in Kazakhstan, the Soyuz MS-05 spacecraft and its Soyuz booster were transported from the Integration Facility to the launch pad on a railcar July 26 for final preparations before launch to the International Space Station on July 28.  The Soyuz MS-05 will carry Expedition 52-53 Soyuz Commander Sergey Ryazanskiy of Roscosmos and Flight Engineers Randy Bresnik of NASA and Paolo Nespoli of the European Space Agency to the orbital complex fo a four and a half mont mission.</t>
  </si>
  <si>
    <t>S7Gg4GKcuLU</t>
  </si>
  <si>
    <t>https://youtu.be/-2VGSa7DMZE</t>
  </si>
  <si>
    <t>5 Things You Didn't Know About Astronaut Randy Bresnik</t>
  </si>
  <si>
    <t>Just because he’s been an astronaut since 2004 and already flown in space does not mean that you know everything there is to know about Randy Bresnik.  The Kentucky-born and California-raised retired Marine fighter pilot, who is about to launch on his first long-duration mission to the International Space Station, lets us in on a few of his secrets including the surprising aircraft he has piloted, his important relationship with one of the top figures in the history of aviation, and more.
You can follow Bresnik online at:
Twitter: https://twitter.com/AstroKomrade
Facebook: https://www.facebook.com/AstroKomrade/
Instagram: https://www.instagram.com/astrokomrade/
Bio: https://www.nasa.gov/astronauts/biogr...
_______________________________________
FOLLOW THE SPACE STATION!
Twitter: https://twitter.com/Space_Station
Facebook: https://www.facebook.com/ISS
Instagram: https://instagram.com/iss/</t>
  </si>
  <si>
    <t>-2VGSa7DMZE</t>
  </si>
  <si>
    <t>https://youtu.be/0u1N3y8kmaU</t>
  </si>
  <si>
    <t>Expedition 52   53 Crew Prepares For Launch</t>
  </si>
  <si>
    <t>At the Baikonur Cosmodrome in Kazakhstan, Expedition 52-53 Soyuz Commander Sergey Ryazanskiy of Roscosmos and Flight Engineers Randy Bresnik of NASA and Paolo Nespoli of ESA (European Space Agency), and their backups, Alexander Misurkin of Roscosmos, Mark Vande Hei of NASA and Norishige Kanai of the Japan Aerospace Exploration Agency completed their final fit check in their Soyuz spacecraft and conducted traditional tours of Baikonur Cosmodrome facilities July 24. Ryazanskiy, Bresnik and Nespoli will launch on the Soyuz MS-05 spacecraft July 28 to the International Space Station.
________________________________________
FOLLOW THE SPACE STATION!
Twitter: https://twitter.com/Space_Station
Facebook: https://www.facebook.com/ISS
Instagram: https://instagram.com/iss/</t>
  </si>
  <si>
    <t>0u1N3y8kmaU</t>
  </si>
  <si>
    <t>https://youtu.be/axy5EJtXr34</t>
  </si>
  <si>
    <t>Looking at Vision Loss</t>
  </si>
  <si>
    <t>More than half of American astronauts experience some vision changes and anatomical alterations to their eyes during and after long-duration space flight. Stuart Lee, lead scientist for the Cardiovascular and Vision Laboratory at NASA’s Johnson Space Center in Houston, explains the current on orbit investigations of Vision Impairment Syndrome, in which scientists are studying changes in the eye’s structure and function. The results of these studies may improve our understanding of how blood pressure in the brain affects eye shape and visual acuity, which could benefit people suffering from increased swelling and pressure in the brain or those confined to long-term bed rest.
For more information about research conducted on the space station, please visit: 
Twitter: https://twitter.com/ISS_Research or @ISS_research
Website: https://www.nasa.gov/mission_pages/station/research/index.html
HD LINK: https://archive.org/details/jsc2017m000721_Looking_At_Vision_Loss
_______________________________________
FOLLOW THE SPACE STATION!
Twitter: https://twitter.com/Space_Station
Facebook: https://www.facebook.com/ISS
Instagram: https://instagram.com/iss/</t>
  </si>
  <si>
    <t>axy5EJtXr34</t>
  </si>
  <si>
    <t>2017 07 25</t>
  </si>
  <si>
    <t>https://youtu.be/KtM00ZY8Rxw</t>
  </si>
  <si>
    <t>Expedition 52-53 Crew Prepares for Launch in Kazakhstan</t>
  </si>
  <si>
    <t>At the Baikonur Cosmodrome in Kazakhstan, Expedition 52-53 Soyuz Commander Sergey Ryazanskiy of Roscosmos and Flight Engineers Randy Bresnik of NASA and Paolo Nespoli of ESA (European Space Agency), and their backups, Alexander Misurkin of Roscosmos, Mark Vande Hei of NASA and Norishige Kanai of the Japan Aerospace Exploration Agency participated in a variety of activities July 16-23. Ryazanskiy, Bresnik and Nespoli will launch on the Soyuz MS-05 spacecraft July 28 to the International Space Station.</t>
  </si>
  <si>
    <t>KtM00ZY8Rxw</t>
  </si>
  <si>
    <t>2017 07 24</t>
  </si>
  <si>
    <t>https://youtu.be/efzQJrgo_Wc</t>
  </si>
  <si>
    <t>Spacewalking in Ultra High-Definition</t>
  </si>
  <si>
    <t>Ever wonder what the spacewalker sees while you’re looking at him or her?  Here’s your answer, courtesy of NASA astronaut Jack Fischer.  This Ultra High Definition clip shows Fischer outside the International Space Station during a spacewalk on Expedition 51 in May 2017, and the view from a small camera attached to his spacesuit at the same time. 
Music by Joakim Karud.
4K .MOV: https://archive.org/details/jsc2017m000655_Spacewalking_in_Ultra_High_Definition
_______________________________________
FOLLOW THE SPACE STATION!
Twitter: https://twitter.com/Space_Station
Facebook: https://www.facebook.com/ISS
Instagram: https://instagram.com/iss/</t>
  </si>
  <si>
    <t>efzQJrgo_Wc</t>
  </si>
  <si>
    <t>2017 07 21</t>
  </si>
  <si>
    <t>https://youtu.be/6ycA8OpB_Tg</t>
  </si>
  <si>
    <t>SpeedyTime %232 – Advanced Resistive Exercise Device</t>
  </si>
  <si>
    <t>Astronauts on the International Space Station have to exercise for two hours every day, but they can show off the hardware in a lot less time than that.  In this “SpeedyTime” segment Expedition 52 flight engineer Peggy Whitson gives us a rapid-fire display of exercises that can be done with just one piece of equipment, the Advanced Resistive Exercise Device in the Tranquility module.
HD download link: https://archive.org/details/Jsc2017m000677SpeedyTime2-AdvancedResistiveExerciseDevice
_______________________________________
FOLLOW THE SPACE STATION!
Twitter: https://twitter.com/Space_Station
Facebook: https://www.facebook.com/ISS
Instagram: https://instagram.com/iss/</t>
  </si>
  <si>
    <t>6ycA8OpB_Tg</t>
  </si>
  <si>
    <t>https://youtu.be/m9zAK-ut-ZM</t>
  </si>
  <si>
    <t>Space to Ground  A Giant Leap  07 21 2017</t>
  </si>
  <si>
    <t>m9zAK-ut-ZM</t>
  </si>
  <si>
    <t>2017 07 20</t>
  </si>
  <si>
    <t>https://youtu.be/ldmZnq9olYA</t>
  </si>
  <si>
    <t>NASA Tests Orion Crew Exit Plans in Gulf of Mexico</t>
  </si>
  <si>
    <t>A NASA and Department of Defense team evaluated the techniques that will be used to make sure astronauts can exit Orion in a variety of scenarios upon splashdown after deep space missions, using the waters off the coast of Galveston, Texas, to test their procedures in July. The team used a mockup of the spacecraft to examine how crew will get out of Orion with assistance and alone. The testing is helping NASA prepare for Orion and Space Launch System missions with crew beginning with Exploration Mission-2 in the early 2020s.
More info on Orion: http://www.nasa.gov/orion
Video b roll: https://archive.org/details/NASA-Orion-Resource-Reel</t>
  </si>
  <si>
    <t>ldmZnq9olYA</t>
  </si>
  <si>
    <t>https://youtu.be/wuobYNaR31w</t>
  </si>
  <si>
    <t>NASA Cribs  Human Exploration Research Analog</t>
  </si>
  <si>
    <t>Follow along as interns at NASA’s Johnson Space Center show you around the Human Exploration Research Analog (HERA), a mission simulation environment located onsite at the Johnson Space Center in Houston. HERA is a unique three-story habitat designed to serve as an analog for isolation, confinement, and remote conditions in exploration scenarios. This video gives a tour of where crew members live, work, sleep, and eat during the analog missions.
Find out more about HERA mission activities:
https://www.nasa.gov/analogs/hera
Find out how to be a HERA crew member:
https://www.nasa.gov/analogs/hera/want-to-participate
For more on NASA internships:
https://intern.nasa.gov/
For Johnson Space Center specific internships:
https://pathways.jsc.nasa.gov/ 
https://www.nasa.gov/centers/johnson/education/interns/index.html
HD download link: https://archive.org/details/jsc2017m000730_NASA-Cribs-Human-Exploration-Research-Analog
---------------------------------
FOLLOW JOHNSON SPACE CENTER INTERNS!
Facebook: @NASA.JSC.Students https://www.facebook.com/NASA.JSC.Students/ 
Instagram: @nasajscstudents https://www.instagram.com/nasajscstudents/ 
Twitter: @NASAJSCStudents https://twitter.com/nasajscstudents</t>
  </si>
  <si>
    <t>wuobYNaR31w</t>
  </si>
  <si>
    <t>https://youtu.be/n2OTVQWJ2Qw</t>
  </si>
  <si>
    <t>Why Try Science in Microgravity</t>
  </si>
  <si>
    <t>Human space exploration missions quickly revealed that microgravity, or weightlessness, had profound and unique effects on physical and biological phenomena. Understanding these effects is critical for human exploration and pioneering space—but the study of these effects also advances knowledge on Earth. The International Space Station U.S. National Laboratory is a permanently crewed research facility, observatory, and engineering test bed that can provide Powerful insights into fundamental 
and applied scientific investigations.
Get more research news and updates on Twitter at: https://twitter.com/ISS_Research
_______________________________________
FOLLOW THE SPACE STATION!
Twitter: https://twitter.com/Space_Station
Facebook: https://www.facebook.com/ISS
Instagram: https://instagram.com/iss/</t>
  </si>
  <si>
    <t>n2OTVQWJ2Qw</t>
  </si>
  <si>
    <t>2017 07 19</t>
  </si>
  <si>
    <t>https://youtu.be/FyGCWUzbWao</t>
  </si>
  <si>
    <t>ISS As A National Lab</t>
  </si>
  <si>
    <t>In an effort to expand the research opportunities of this unparalleled platform, the International Space Station was designated as a U.S. National Laboratory in 2005 by Congress, enabling space research and development access to a broad range of commercial, academic, and government users. Now, this unique microgravity research platform is available to U.S. researchers from small companies, research institutions, Fortune 500 companies, government agencies, and others, all interested in leveraging microgravity to solve complex problems on Earth.
Get more research news and updates on Twitter at: https://twitter.com/ISS_Research   
HD download link: https://archive.org/details/jsc2017m000681_ISS-As-A-National-Lab  
_______________________________________
FOLLOW THE SPACE STATION!
Twitter: https://twitter.com/Space_Station
Facebook: https://www.facebook.com/ISS
Instagram: https://instagram.com/iss/</t>
  </si>
  <si>
    <t>FyGCWUzbWao</t>
  </si>
  <si>
    <t>2017 07 18</t>
  </si>
  <si>
    <t>https://youtu.be/gv4sOEXrxtQ</t>
  </si>
  <si>
    <t>International Space Station  Creating Benefits for Humanity</t>
  </si>
  <si>
    <t>HD download link: 
https://archive.org/details/InternationalSpaceStationCreatingBenefitsForHumanity</t>
  </si>
  <si>
    <t>gv4sOEXrxtQ</t>
  </si>
  <si>
    <t>https://youtu.be/RKAknU9jN6E</t>
  </si>
  <si>
    <t>Innovation Beyond Boundaries</t>
  </si>
  <si>
    <t>What happens when you remove the boundaries of earthbound scientific research? Scientists are finding out aboard the International 
Space Station where the absence of gravity opens a world of possibilities and innovation. 
HD download link: https://archive.org/details/jsc2017m000680_Innovation_Beyond_Boundaries
_______________________________________
FOLLOW THE SPACE STATION!
Twitter: https://twitter.com/Space_Station
Facebook: https://www.facebook.com/ISS
Instagram: https://instagram.com/iss/</t>
  </si>
  <si>
    <t>RKAknU9jN6E</t>
  </si>
  <si>
    <t>2017 07 17</t>
  </si>
  <si>
    <t>https://youtu.be/5ONm6r7kiD0</t>
  </si>
  <si>
    <t>Europe from Space in 4K</t>
  </si>
  <si>
    <t>Got three minutes to spare for a tour of southern Europe?  That’s all the time it takes, when you have a 4K camera orbiting Earth 250 miles up—and we do, on the International Space Station.  This Ultra High Definition video was shot in August 2016 as the station traveled nearly 1000 miles, taking in views from above the western coast of France to the Iberian Peninsula, Italy, Switzerland, southern Germany and Austria, and southward to the countries of the Balkan Peninsula.  Music by Joakim Karud.
HD download link: https://archive.org/details/jsc2017m000654_Europe-from-Space-in-4K
_______________________________________
FOLLOW THE SPACE STATION!
Twitter: https://twitter.com/Space_Station
Facebook: https://www.facebook.com/ISS
Instagram: https://instagram.com/iss/</t>
  </si>
  <si>
    <t>5ONm6r7kiD0</t>
  </si>
  <si>
    <t>2017 07 14</t>
  </si>
  <si>
    <t>https://youtu.be/bNxZhrIrV78</t>
  </si>
  <si>
    <t>SpeedyTime %231 - Kibo Airlock</t>
  </si>
  <si>
    <t>No one knows the International Space Station better than the people who live and work there—and now they’re sharing that knowledge in bite-sized chunks.  In the first of a series of short videos called “SpeedyTime,” Expedition 52 flight engineer Jack Fischer gives us a quick-but-thorough tour of payload activities inside and outside the airlock in the station’s Japanese laboratory module, Kibo.
_______________________________________
FOLLOW THE SPACE STATION!
Twitter: https://twitter.com/Space_Station
Facebook: https://www.facebook.com/ISS
Instagram: https://instagram.com/iss/
https://archive.org/details/SpeedyTime1KiboAirlock</t>
  </si>
  <si>
    <t>bNxZhrIrV78</t>
  </si>
  <si>
    <t>https://youtu.be/u0aOkOx3u2Q</t>
  </si>
  <si>
    <t>Space to Ground  Summer Road Trip  07 14 2017</t>
  </si>
  <si>
    <t>u0aOkOx3u2Q</t>
  </si>
  <si>
    <t>2017 07 13</t>
  </si>
  <si>
    <t>https://youtu.be/DCw3eoBvRtI</t>
  </si>
  <si>
    <t>Astronaut Moments  Randy Bresnik</t>
  </si>
  <si>
    <t>Astronaut Moments with NASA astronaut Randy Bresnik. 
Bresnik and his crewmates, cosmonaut Sergey Ryazanskiy of the Russian space agency Roscosmos and Paolo Nespoli of ESA (European Space Agency), will launch on the Russian Soyuz MS-05 spacecraft at 11:41 a.m. on July 28. They are scheduled to return to Earth in December. The crew members will continue several hundred experiments in biology, biotechnology, physical science and Earth science currently underway and scheduled to take place aboard humanity's only permanently occupied orbiting lab.
You can follow Bresnik online at:
Twitter: https://twitter.com/AstroKomrade
Facebook: https://www.facebook.com/AstroKomrade/
Instagram: https://www.instagram.com/astrokomrade/
Bio: https://www.nasa.gov/astronauts/biographies/randolph-j-bresnik/
HD download link: https://archive.org/details/jsc2017m000414_Astronaut-Moments-Randy-Bresnik
_______________________________________
FOLLOW THE SPACE STATION!
Twitter: https://twitter.com/Space_Station
Facebook: https://www.facebook.com/ISS
Instagram: https://instagram.com/iss/</t>
  </si>
  <si>
    <t>DCw3eoBvRtI</t>
  </si>
  <si>
    <t>2017 07 12</t>
  </si>
  <si>
    <t>https://youtu.be/nPrfOaKJ3L0</t>
  </si>
  <si>
    <t>Imaging Earth with MUSES</t>
  </si>
  <si>
    <t>Commercial businesses and scientific researchers have a new capability to capture digital imagery of Earth, thanks to MUSES: the Multiple User System for Earth Sensing facility.  This platform on the outside of the International Space Station is capable of holding four different payloads, ranging from high-resolution digital cameras to hyperspectral imagers, which will support Earth science observations in agricultural awareness, air quality, disaster response, fire detection, and many other research topics.  MUSES program manager Mike Soutullo explains the system and its uniquefeatures including the ability to change and upgrade payloads using the space station’s Canadarm2 and Special Purpose Dexterous Manipulator.
For more information about MUSES, please visit: 
https://www.nasa.gov/mission_pages/station/research/news/MUSES
For more on ISS science, https://www.nasa.gov/mission_pages/station/research/index.html or follow us 
on Twitter @ISS_research
_______________________________________
FOLLOW THE SPACE STATION!
Twitter: https://twitter.com/Space_Station
Facebook: https://www.facebook.com/ISS
Instagram: https://instagram.com/iss/</t>
  </si>
  <si>
    <t>nPrfOaKJ3L0</t>
  </si>
  <si>
    <t>2017 07 10</t>
  </si>
  <si>
    <t>https://youtu.be/O0qVTOnIhzM</t>
  </si>
  <si>
    <t>Expedition 52-53 Crew Conducts Traditional Ceremonies</t>
  </si>
  <si>
    <t>Expedition 52-53 Soyuz Commander Sergey Ryazanskiy of Roscosmos and Flight Engineers Randy Bresnik of NASA and Paolo Nespoli of the European Space Agency, and their backups, Alexander Misurkin of Roscosmos, Mark Vande Hei of NASA and Norishige Kanai of the Japan Aerospace Exploration Agency visited the Gagarin Museum at the Gagarin Cosmonaut Training Center in Star City, Russia July 10 where they viewed historic space artifacts, then visited Red Square in Moscow for traditional ceremonies, including the laying of flowers at the Kremlin Wall where Russian space icons are interred. Ryazanskiy, Bresnik and Nespoli are scheduled to launch on July 28 from the Baikonur Cosmodrome in Kazakhstan in the Soyuz MS-05 spacecraft for a four and a half month mission on the International Space Station.
________________________________________
FOLLOW THE SPACE STATION!
Twitter: https://twitter.com/Space_Station 
Facebook: https://www.facebook.com/ISS
Instagram: https://instagram.com/iss/</t>
  </si>
  <si>
    <t>O0qVTOnIhzM</t>
  </si>
  <si>
    <t>2017 07 07</t>
  </si>
  <si>
    <t>https://youtu.be/TjZVvZq_7wc</t>
  </si>
  <si>
    <t>Expedition 52   53 Crew Conduct Final Qualification Exams in Russia</t>
  </si>
  <si>
    <t>Expedition 52-53 Soyuz Commander Sergey Ryazanskiy of Roscosmos and Flight Engineers Randy Bresnik of NASA and Paolo Nespoli of ESA (European Space Agency), and their backups, Alexander Misurkin of Roscosmos, Mark Vande Hei of NASA and Norishige Kanai of the Japan Aerospace Exploration Agency conducted final qualification training at the Gagarin Cosmonaut Training Center in Star City, Russia July 6 and 7. Ryazanskiy, Bresnik and Nespoli are scheduled to launch July 28 from the Baikonur Cosmodrome in Kazakhstan in the Soyuz MS-05 spacecraft for a four-and-a-half-month mission aboard the International Space Station.
________________________________________
FOLLOW THE SPACE STATION!
Twitter: https://twitter.com/Space_Station
Facebook: https://www.facebook.com/ISS
Instagram: https://instagram.com/iss/</t>
  </si>
  <si>
    <t>TjZVvZq_7wc</t>
  </si>
  <si>
    <t>https://youtu.be/HZ-CISmPshU</t>
  </si>
  <si>
    <t>Space to Ground  Celebrating Freedom  07 07 2017</t>
  </si>
  <si>
    <t>HZ-CISmPshU</t>
  </si>
  <si>
    <t>2017 06 30</t>
  </si>
  <si>
    <t>https://youtu.be/ArHwh3xkEa8</t>
  </si>
  <si>
    <t>Gazing at Earth's Light Show from Space</t>
  </si>
  <si>
    <t>Brilliant fireworks shows on July 4th will have millions looking up, while light shows like these always have astronauts gazing back down. Time-lapse imagery captured on June 25, 2017, by Expedition 52.
This video shows the Aurora Australis in the southern hemisphere. The International Space Station was flying from south of Australia to the southern Pacific Ocean.
________________________________________
FOLLOW THE SPACE STATION!
Twitter: https://twitter.com/Space_Station 
Facebook: https://www.facebook.com/ISS
Instagram: https://instagram.com/iss/</t>
  </si>
  <si>
    <t>ArHwh3xkEa8</t>
  </si>
  <si>
    <t>https://youtu.be/hO3Fym3gYMs</t>
  </si>
  <si>
    <t>Space to Ground  Solar Array Away!   06 30 2017</t>
  </si>
  <si>
    <t>hO3Fym3gYMs</t>
  </si>
  <si>
    <t>2017 06 27</t>
  </si>
  <si>
    <t>https://youtu.be/HTe_obKNCx4</t>
  </si>
  <si>
    <t>Heart to Heart</t>
  </si>
  <si>
    <t>NASA didn’t miss a (heart)beat when the opportunity arose to study the cardiovascular systems of identical twin astronauts, one aboard the International Space Station and the other on Earth. Results from the Cardio Ox investigation, part of the research of the One Year Mission of astronaut Scott Kelly, may provide a better understanding of cardiovascular disease risk that astronauts encounter during and after long-duration spaceflight. Stuart Lee, the lead scientist for the Cardiovascular and Vision Laboratory at NASA’s Johnson Space Center, explains the importance of spaceflight weightlessness research on the cardiovascular system and how results could be used to create countermeasures, preventing potential health consequences for future space travelers as well as those of us on Earth.
For more on ISS science:
follow us on Twitter: @ISS_research
or at:
https://twitter.com/ISS_Research
or at: https://www.nasa.gov/mission_pages/station/research/index.html
High Definition Link:
https://archive.org/details/Heart-to-Heart_201706
_______________________________________
FOLLOW THE SPACE STATION!
Twitter: https://twitter.com/Space_Station
Facebook: https://www.facebook.com/ISS
Instagram: https://instagram.com/iss/</t>
  </si>
  <si>
    <t>HTe_obKNCx4</t>
  </si>
  <si>
    <t>2017 06 26</t>
  </si>
  <si>
    <t>https://youtu.be/jATBbjU4IyA</t>
  </si>
  <si>
    <t>Roll-Out Solar Array (ROSA) Jettisoned From Space Station</t>
  </si>
  <si>
    <t>Following a week of successful science operations on the experiment for the Roll-Out Solar Array (ROSA), attempts to retract and latch the array were unsuccessful. The ISS Mission Management Team met Monday morning and made the decision to jettison ROSA directly from its current location at the end of the space station’s robotic arm, where it was fully deployed in a normal configuration. The original plan called for ROSA to be stored back inside the trunk of SpaceX’s Dragon which is detached and burned up in the atmosphere during Dragon reentry. The Operations team executed the jettison procedure that was developed as part of the pre-flight planning process that covered various scenarios. ROSA will not present any risk to the International Space Station and will not impact any upcoming visiting vehicle traffic. ROSA is an experiment to test a new type of solar panel that rolls open in space and is more compact than current rigid panel designs.
FOLLOW THE SPACE STATION!
Twitter: https://twitter.com/Space_Station
Facebook: https://www.facebook.com/ISS
Instagram: https://instagram.com/iss/</t>
  </si>
  <si>
    <t>jATBbjU4IyA</t>
  </si>
  <si>
    <t>2017 06 23</t>
  </si>
  <si>
    <t>https://youtu.be/Kf7JIZ4sfgQ</t>
  </si>
  <si>
    <t>Space to Ground  Roll 'Em  06 23 2017</t>
  </si>
  <si>
    <t>Kf7JIZ4sfgQ</t>
  </si>
  <si>
    <t>2017 06 19</t>
  </si>
  <si>
    <t>https://youtu.be/1Pm4MbIwRDw</t>
  </si>
  <si>
    <t>Roll-Out Solar Array Experiment (ROSA) Deploys on International Space Station</t>
  </si>
  <si>
    <t>The Roll-Out Solar Array (ROSA) was deployed from the end of the Canadarm2 robotic arm Sunday, June 18 outside the International Space Station. ROSA is an experiment to test a new type of solar array that rolls open in space like a party favor and is more compact than current rigid panel designs. The ROSA investigation tests deployment and retraction,characterizes changes when the Earth blocks the sun, vibration and other physical challenges to determine the array’s strength and durability. ROSA has the potential to replace solar arrays on future satellites, making them more compact and lighter weight. Satellite radio and television, weather forecasting, GPS and other services used on Earth would all benefit from high-performance solar arrays. The payload will remain deployed for seven days before retracting and will be stowed back inside the trunk of SpaceX’s Dragon cargo vehicle. Note: footage of deploy is sped up 300%.
NOTE:  THERE IS NO AUDIO  WITH THIS FOOTAGE
________________________________________
FOLLOW THE SPACE STATION!
Twitter: https://twitter.com/Space_Station
Facebook: https://www.facebook.com/ISS
Instagram: https://instagram.com/iss/</t>
  </si>
  <si>
    <t>1Pm4MbIwRDw</t>
  </si>
  <si>
    <t>2017 06 18</t>
  </si>
  <si>
    <t>https://youtu.be/IbS1zGnM9p4</t>
  </si>
  <si>
    <t>Two Dads, Two Daughters, One Goal</t>
  </si>
  <si>
    <t>Adversity can level the playing field and bring very different people together—it happened earlier this year at the Johnson Space Center in Houston, when NASA astronaut Jack Fischer and professional football player Devon Still met to talk about something they have in common: young daughters who successfully fought cancer.  Still came to NASA to learn about medical research in  microgravity, and he talked to Fischer, another father who has a daughter he considers a hero.
To learn more about cancer research in space: https://nasa.tumblr.com/post/150497677424/using-the-power-of-space-to-fight-cancer
HD download link: https://archive.org/details/jsc2017m000319_Two_Dads_Two_Daughters_One_Goal
_______________________________________
FOLLOW THE SPACE STATION!
Twitter: https://twitter.com/Space_Station
Facebook: https://www.facebook.com/ISS
Instagram: https://instagram.com/iss/</t>
  </si>
  <si>
    <t>IbS1zGnM9p4</t>
  </si>
  <si>
    <t>2017 06 16</t>
  </si>
  <si>
    <t>https://youtu.be/LADi7Zb-qww</t>
  </si>
  <si>
    <t>Space to Ground  A NICER Look  06 16 2017</t>
  </si>
  <si>
    <t>LADi7Zb-qww</t>
  </si>
  <si>
    <t>https://youtu.be/BCe1sAMUC7k</t>
  </si>
  <si>
    <t>Learning Space On The Ground</t>
  </si>
  <si>
    <t>NASA’s Johnson Space Center is about to achieve another milestone: completion of the first 45-day-long spaceflight analog of four crew members in a habitat on the ground.  The Flight Analogs Project of NASA’s Human Research Program simulates the confinement and isolation of a ship in space to study the crew 
members and learn what it will take to support crews on extremely long missions, such as those to Mars and other destinations out into the solar system.  Take a look inside the habitat to see what supports four test subjects on a six-and-a-half-week mission, and hear a volunteer explain why he choose to make this “flight” of discovery.
For more on HERA: https://www.nasa.gov/analogs/hera
For more on NASA’s #Journey to Mars: 
https://www.nasa.gov/topics/journeytomars/index.html</t>
  </si>
  <si>
    <t>BCe1sAMUC7k</t>
  </si>
  <si>
    <t>2017 06 15</t>
  </si>
  <si>
    <t>https://youtu.be/5ZYQMRucmS0</t>
  </si>
  <si>
    <t>How To Recycle Water in Space</t>
  </si>
  <si>
    <t>Nature has been recycling water on Earth for eons, and NASA is perfecting how to do it in space right now on the International Space Station. In constant operation for several years already, the Water Recovery System draws moisture from a number of sources to continuously provide astronauts with safe, clean drinking water. Follow the entire process in this video and learn how engineers are successfully turning yesterday’s coffee into tomorrow’s for these brave explorers! 
Learn more about life support technologies in space at: https://www.nasa.gov/offices/oct/feature/technology-research-on-station-breathes-life-into-life-support/  
HD download link: https://archive.org/details/jsc2017m000607_How-To-Recycle-Water-in-Space 
_______________________________________
FOLLOW THE SPACE STATION!
Twitter: https://twitter.com/Space_Station
Facebook: https://www.facebook.com/ISS
Instagram: https://instagram.com/iss/</t>
  </si>
  <si>
    <t>5ZYQMRucmS0</t>
  </si>
  <si>
    <t>2017 06 14</t>
  </si>
  <si>
    <t>https://youtu.be/XxY__js5yTU</t>
  </si>
  <si>
    <t>Preparing America for Deep Space Exploration Episode 15  Building Toward New Heights</t>
  </si>
  <si>
    <t>&amp;#8226 NASA’s Orion, Space Launch System (SLS) and Ground Systems Development &amp; Operations (GSDO) Programs, which together are developing and building the spacecraft, rocket and infrastructure necessary to send humans to deep space destinations, have made important strides so far in 2017. Some major milestones include: Orion – EM-1 Crew Module proof pressure test, Propulsion Qualification Module installed, tank welding complete on Crew Module, parachute drop tests, motor ready for crewed mission, EM-2 barrel machining; SLS – successful booster qualification motor tests, RS-25 engine and engine controller tests, manufacturing complete on the liquid hydrogen tank structural qualification test article, Interim Cryogenic Propulsion Stage to the Cape; GSDO – last flame trench brick installed at launch complex 39B, Mobile Launcher umbilical installs and testing, final VAB platform installed, Orion and SLS demonstration hardware arriving at KSC as ground processing and test activity accelerates. 
HD download link: https://archive.org/details/PreparingAmericaForDeepSpaceExplorationEpisode15BuildingTowardNewHeights</t>
  </si>
  <si>
    <t>XxY__js5yTU</t>
  </si>
  <si>
    <t>2017 06 07</t>
  </si>
  <si>
    <t>https://youtu.be/5Yu1uOB2-_E</t>
  </si>
  <si>
    <t>Meet America’s New Astronauts</t>
  </si>
  <si>
    <t>NASA asked the applicants a lot of questions before picking a new class of astronaut candidates, but they didn’t cover every topic.  What is their favorite planet, and what will they take with them to Mars?  Have a look at the newest astronauts answering the rest of the questions that America has on its mind.
Learn even more about the new astronauts right here: nasa.gov/2017astronauts</t>
  </si>
  <si>
    <t>5Yu1uOB2-_E</t>
  </si>
  <si>
    <t>2017 06 05</t>
  </si>
  <si>
    <t>https://youtu.be/TKP1chg-xpU</t>
  </si>
  <si>
    <t>NASA Astronauts Welcome Class of 2017</t>
  </si>
  <si>
    <t>When NASA decided to announce a new class of astronaut candidates, the current members of the Astronaut Corps had something to say—welcome aboard!  From down the hall, across campus, out on the road and up in orbit, have a look at the astronauts’ message to the new colleagues who are getting ready to move to Houston and launch their new careers. 
Learn more about the new space heroes right here: nasa.gov/2017astronauts 
HD download link: https://archive.org/details/NASAAstronautsWelcomeClassOf2017</t>
  </si>
  <si>
    <t>TKP1chg-xpU</t>
  </si>
  <si>
    <t>2017 06 02</t>
  </si>
  <si>
    <t>https://youtu.be/Cgb1gyOsSQ0</t>
  </si>
  <si>
    <t>Space to Ground  Cargo Inbound-Crew Outbound   06 02 2017</t>
  </si>
  <si>
    <t>Cgb1gyOsSQ0</t>
  </si>
  <si>
    <t>2017 06 01</t>
  </si>
  <si>
    <t>https://youtu.be/UvRaPpJJrpY</t>
  </si>
  <si>
    <t>What's It Like to Get the Call   Cassada Reflects on Becoming An Astronaut in 2013</t>
  </si>
  <si>
    <t>Josh Cassada reflects on when he got the call in 2013, inviting him to be part of the 2013 astronaut class. He made a bet with his wife when he applied to become a NASA astronaut—find out about the wager, what he’s doing to get himself ready for his first trip to space, and the questions he gets asked most often by kids, in this video from the International Space Station’s Program Science Office.
For more on ISS science, visit us online:
https://www.nasa.gov/mission_pages/station/research/index.html
www.twitter.com/iss_research
_______________________________________
FOLLOW THE SPACE STATION!
Twitter: https://twitter.com/Space_Station
Facebook: https://www.facebook.com/ISS
Instagram: https://instagram.com/iss/</t>
  </si>
  <si>
    <t>UvRaPpJJrpY</t>
  </si>
  <si>
    <t>2017 05 30</t>
  </si>
  <si>
    <t>https://youtu.be/eYV4gl558xc</t>
  </si>
  <si>
    <t>Pudding the space way!</t>
  </si>
  <si>
    <t>Calling all foodies — ever wonder what it’s like to eat pudding in space? Even astronauts need space snacks!
FOLLOW JACK FISHER!
Facebook: https://www.facebook.com/Astro2fish
Twitter: https://twitter.com/Astro2fish
Instagram: https://www.instagram.com/astro2fish/
HD download link: https://archive.org/details/PuddingTheSpaceWay</t>
  </si>
  <si>
    <t>eYV4gl558xc</t>
  </si>
  <si>
    <t>2017 05 26</t>
  </si>
  <si>
    <t>https://youtu.be/IOEPDf2DYNM</t>
  </si>
  <si>
    <t>Unlocking Secrets of Neutron Stars with NICER</t>
  </si>
  <si>
    <t>Though we know neutron stars are small and extremely dense, there are still many aspects of these remnants of explosive deaths of other stars that we have yet tounderstand. NICER, a facility to be mounted on the outside of the International Space Station, seeks to find the answers to some of the questions still being asked about neutron stars. By capturing the arrival time and energy of the x-ray photons produced by pulsars emitted by neutron stars, NICER seeks answer decades-old questions about extreme forms of matter and energy. Data from NICER will also be used in Sextant, an on-board demonstration of pulsar-based navigation.
For more information: 
https://www.nasa.gov/mission_pages/station/research/experiments/1966.html
https://www.nasa.gov/iss-science Research Overview on nasa.gov
http://www.twitter.com/ISS_Research on Twitter.
HD download link: 
https://archive.org/details/Unlocking_Secrets_of_Neutron_Stars_with_NICER</t>
  </si>
  <si>
    <t>IOEPDf2DYNM</t>
  </si>
  <si>
    <t>https://youtu.be/KZbO3c-AdlM</t>
  </si>
  <si>
    <t>Space to Ground  Surprise Spacewalk!  05 26 2017</t>
  </si>
  <si>
    <t>KZbO3c-AdlM</t>
  </si>
  <si>
    <t>2017 05 25</t>
  </si>
  <si>
    <t>https://youtu.be/iApjVuYHrws</t>
  </si>
  <si>
    <t>How Fruit Flies Help us Understand Human Responses to Microgravity</t>
  </si>
  <si>
    <t>Scientists study how astronauts are affected by microgravity, but with a relatively small number of human subjects available to them, they often turn to a model organisms for research. Model organisms are living organisms that have a genetic makeup that is relatively well-documented and understood, and is similar to human systems.
Fruit flies are reliable model organisms because their systems closely resemble that of larger organisms. They have the benefit of being small in size, well understood, and reproduce quickly so many generations can be studied in a short amount of time. Some of the things we can study using fruit flies are how microgravity affects the immune system. Will the muscle cells of the heart lose strength in microgravity? Are reproduction, lifespan and the aging process affected by microgravity? Do changes in gravity affect the basic metabolic rate and metabolism of living systems? Fruit flies offer a manageable way to study living systems in microgravity.
Learn more about other model organisms and how they are being used for microgravity research, and keep up with all the science being conducted aboard your orbiting laboratory by visiting 
https://www.nasa.gov/iss-science
http://www.twitter.com/ISS_Research
JSC#: jsc2017m000528</t>
  </si>
  <si>
    <t>iApjVuYHrws</t>
  </si>
  <si>
    <t>https://youtu.be/A86RtW62WQ4</t>
  </si>
  <si>
    <t>Space Station Science Made Easy</t>
  </si>
  <si>
    <t>How would you organize and categorize the more than 1,700 scientific investigations that have been conducted on the International Space Station so far?   The scientists think their work falls among several broad categories, like Earth and space science, biology, human physiology, physical sciences, and more, which bring benefits to Earth and prepare us for our journey to Mars and beyond.  But NASA astronaut Rick Mastracchio, a veteran of four spaceflights including a six-month mission on ISS in 2014, thinks there are really just three important categories, at least from the crew member’s point of view.
For more on ISS science, follow us on Twitter here 
https://twitter.com/ISS_Research or check here 
https://www.nasa.gov/mission_pages/station/research/index.html</t>
  </si>
  <si>
    <t>A86RtW62WQ4</t>
  </si>
  <si>
    <t>2017 05 24</t>
  </si>
  <si>
    <t>https://youtu.be/ht9zTT4qPeI</t>
  </si>
  <si>
    <t>Growing Bone in Space</t>
  </si>
  <si>
    <t>A new medical breakthrough aimed at rebuilding bone and possibly blocking bone loss is being investigated on the International Space Station.  Spaceflight causes major changes to the musculoskeletal system, including muscle weakness, bone weakness and bone density loss.  Chia Soo, a researcher at UCLA, explains recent success testing a new drug on Earth to grow bone, and discusses what she and her colleagues hope to learn through research in microgravity.  The therapies developed have the potential of benefitting millions of patients worldwide suffering with osteoporosis, extended bed rest and other symptoms. 
You can learn more about the experiment here: https://www.nasa.gov/mission_pages/station/research/experiments/2283.html
For more on ISS science, follow us on Twitter here: https://twitter.com/ISS_Research or check here: https://www.nasa.gov/mission_pages/station/research/index.html
HD download link: https://archive.org/details/jsc2017m000526_Growing_Bone_in_Space 
_______________________________________
FOLLOW THE SPACE STATION!
Twitter: https://twitter.com/Space_Station
Facebook: https://www.facebook.com/ISS
Instagram: https://instagram.com/iss/
_______________________________________
FOLLOW THE SPACE STATION!
Twitter: https://twitter.com/Space_Station
Facebook: https://www.facebook.com/ISS
Instagram: https://instagram.com/iss/</t>
  </si>
  <si>
    <t>ht9zTT4qPeI</t>
  </si>
  <si>
    <t>2017 05 19</t>
  </si>
  <si>
    <t>https://youtu.be/qGT19qUhjTY</t>
  </si>
  <si>
    <t>Space to Ground  A Fleet of CUBESATS  05 19 2017</t>
  </si>
  <si>
    <t>qGT19qUhjTY</t>
  </si>
  <si>
    <t>2017 05 17</t>
  </si>
  <si>
    <t>https://youtu.be/u53JU_Pm7FU</t>
  </si>
  <si>
    <t>Fighting Cancer Through Microgravity Research</t>
  </si>
  <si>
    <t>Conducting cancer research in the microgravity environment of the International Space Station offers unique insight into the genetic and cellular processes that can’t be duplicated on Earth. Luis Zea, a research associate at BioServe Space Technologies, explains that cells grown in space arrange themselves into three-dimensional groupings, or aggregates, which more closely resemble what happens in the body. Such research could help scientists pinpoint the cellular changes that cause cancer, potentially leading to new treatments that enhance the quality of life for patients or potentially develop preventive measures.
For more on ISS science, visit us online: 
https://www.nasa.gov/mission_pages/station/research/index.html
www.twitter.com/iss_research
HD download link: https://archive.org/details/jsc2017m000430_Fighting-Cancer-Through-Microgravity-Research_SRT
_______________________________________
FOLLOW THE SPACE STATION!
Twitter: https://twitter.com/Space_Station
Facebook: https://www.facebook.com/ISS
Instagram: https://instagram.com/iss/</t>
  </si>
  <si>
    <t>u53JU_Pm7FU</t>
  </si>
  <si>
    <t>2017 05 12</t>
  </si>
  <si>
    <t>https://youtu.be/9JRMiB0WwLU</t>
  </si>
  <si>
    <t>Space to Ground  Everything is Awesome  05 12 2017</t>
  </si>
  <si>
    <t>9JRMiB0WwLU</t>
  </si>
  <si>
    <t>2017 05 09</t>
  </si>
  <si>
    <t>https://youtu.be/5NE96oJsQRA</t>
  </si>
  <si>
    <t>Action Cam Footage from U.S. Spacewalk %2341</t>
  </si>
  <si>
    <t>This footage was taken by NASA astronaut Peggy Whitson during a spacewalk on the International Space Station on Thursday, March 30. She was joined on the spacewalk by NASA astronaut Shane Kimbrough. 
The two spacewalkers reconnected cables and electrical connections on PMA-3 at its new home on top of the Harmony module. They also installed the second of the two upgraded computer relay boxes on the station’s truss and installed shields and covers on PMA-3 and the now-vacant common berthing mechanism port on Tranquility.
During the spacewalk, one of the shields was inadvertently lost. The loss posed no immediate danger to the astronauts and Kimbrough and Whitson went on to successfully install the remaining shields on the common berthing mechanism port.
A team from the Mission Control Center at NASA’s Johnson Space Center in Houston devised a plan for the astronauts to finish covering the port with the PMA-3 cover Whitson removed earlier in the day. The plan worked, and the cover was successfully installed, providing thermal protection and micrometeoroid and orbital debris cover for the port.
HD download link: https://archive.org/details/jsc2017m000417_Action-Cam-Footage-from-US-Spacewalk-41
_______________________________________
FOLLOW THE SPACE STATION!
Twitter: https://twitter.com/Space_Station
Facebook: https://www.facebook.com/ISS
Instagram: https://instagram.com/iss/</t>
  </si>
  <si>
    <t>5NE96oJsQRA</t>
  </si>
  <si>
    <t>2017 05 08</t>
  </si>
  <si>
    <t>https://youtu.be/jBpTZI8ofHU</t>
  </si>
  <si>
    <t>Action Cam Footage from U.S. Spacewalk %2340</t>
  </si>
  <si>
    <t>This footage was taken by ESA astronaut Thomas Pesquet during a spacewalk on the International Space Station on Friday, March 24. He was joined on the spacewalk by NASA astronaut Shane Kimbrough. 
The primary task was to prepare the Pressurized Mating Adapter-3 (PMA-3) for installation of the second International Docking Adapter, which will accommodate commercial crew vehicle dockings. The PMA-3 provides the pressurized interface between the station modules and the docking adapter. The pair disconnected cables and electrical connections on PMA-3 to prepare for its robotic move, which took place on Sunday, March 26. PMA-3 was be moved from the port side of the Tranquility module to the space-facing side of the Harmony module, where it will become home for the docking adapter, which will be delivered on a future flight of a SpaceX Dragon cargo spacecraft. The spacewalkers also installed on the starboard zero truss a new computer relay box equipped with advanced software for the adapter.
The two spacewalkers lubricated the latching end effector on the Special Purpose Dexterous Manipulator “extension” for the Canadarm2 robotic arm, inspected a radiator valve suspected of a small ammonia leak and replaced cameras on the Japanese segment of the outpost. Radiators are used to shed excess heat that builds up through normal space station operation.
HD download link: https://archive.org/details/jsc2017m000416_Action-Cam-Footage-from-US-Spacewalk-40
_______________________________________
FOLLOW THE SPACE STATION!
Twitter: https://twitter.com/Space_Station
Facebook: https://www.facebook.com/ISS
Instagram: https://instagram.com/iss/</t>
  </si>
  <si>
    <t>jBpTZI8ofHU</t>
  </si>
  <si>
    <t>2017 05 05</t>
  </si>
  <si>
    <t>https://youtu.be/-6mwmZqA5AU</t>
  </si>
  <si>
    <t>Space to Ground  A Short Time Ago  05 05 2017</t>
  </si>
  <si>
    <t>-6mwmZqA5AU</t>
  </si>
  <si>
    <t>2017 05 03</t>
  </si>
  <si>
    <t>https://youtu.be/KfIofcFiLfA</t>
  </si>
  <si>
    <t>High Schooler Studies Genes in Space</t>
  </si>
  <si>
    <t>How are altered DNA and the weakened immune systems some astronauts experience during spaceflight related?  The “Genes in Space” competition challenged students and teachers across the country to design an experiment to fly onboard the International Space Station to find out. 
Anna-Sophia Boguraev’s experiment to see if the Polymerase Chain Reaction (PCR) could study DNA alterations in space, won the challenge and launched to the orbiting laboratory in 2016. While it was determined PCR works in space and on immune genes, the results from the investigation could benefit efforts to use PCR technology to study epigenetic changes and how they affect the human immune system. The machine used for the experiment remains on the space station for additional scientists and researchers to use during other investigations.
For more on ISS science, visit us online: 
https://www.nasa.gov/mission_pages/station/research/index.html
www.twitter.com/iss_research
HD download link: https://archive.org/details/jsc2017m000406_High-Schooler-Studies-Genes-in-Space_MXF
_______________________________________
FOLLOW THE SPACE STATION!
Twitter: https://twitter.com/Space_Station
Facebook: https://www.facebook.com/ISS
Instagram: https://instagram.com/iss/</t>
  </si>
  <si>
    <t>KfIofcFiLfA</t>
  </si>
  <si>
    <t>2017 04 28</t>
  </si>
  <si>
    <t>https://youtu.be/aTPM7hlBetw</t>
  </si>
  <si>
    <t>Anna Fisher, American Astronaut</t>
  </si>
  <si>
    <t>Anna Fisher, American Astronaut
NASA introduced its first class of space shuttle astronauts in January of 1978; the last of those 35 astronauts leaves the agency today.  Dr. Anna Fisher, who earned a historic note as the first mother to fly in space in 1984, is retiring from NASA after a career that stretched from the beginnings of the space shuttle program through International Space Station and into the design of the Orion spacecraft.  She talks about some of the highlights of those years, and her hopes for the future of America’s human space exploration program.
For more on Anna Fisher:
https://www.jsc.nasa.gov/Bios/htmlbios/fisher-a.html
HD download link: https://archive.org/details/jsc2017m000314_Anna_Fisher_American_Astronaut_MXF_201704 
Twitter: https://twitter.com/Space_Station 
Facebook: https://www.facebook.com/ISS
Instagram: https://instagram.com/iss/</t>
  </si>
  <si>
    <t>aTPM7hlBetw</t>
  </si>
  <si>
    <t>https://youtu.be/b2zl0RRyywk</t>
  </si>
  <si>
    <t>Space to Ground  American Recordholder  04 28 2017</t>
  </si>
  <si>
    <t>b2zl0RRyywk</t>
  </si>
  <si>
    <t>2017 04 25</t>
  </si>
  <si>
    <t>https://youtu.be/BA0e9Z3lbZI</t>
  </si>
  <si>
    <t>Cosmic Carpool  DNA To Go</t>
  </si>
  <si>
    <t>Thanks to work on the International Space Station, sequencing DNA is simple enough to do in your car…or whatever vehicle you drive.  With the next generation of DNA research ready to get underway, NASA’s Dan Huot has a carpool conversation with the researchers at the Johnson Space Center in Houston about their work and watches as they sequence DNA in a portable handheld unit. 
Read up on the latest DNA research in space at: https://www.nasa.gov/mission_pages/station/research/news/genes_in_space3 
HD download link: https://archive.org/details/jsc2016m001123_Cosmic-Carpool-DNA-To-Go
_______________________________________
FOLLOW THE SPACE STATION!
Twitter: https://twitter.com/Space_Station
Facebook: https://www.facebook.com/ISS
Instagram: https://instagram.com/iss/</t>
  </si>
  <si>
    <t>BA0e9Z3lbZI</t>
  </si>
  <si>
    <t>2017 04 24</t>
  </si>
  <si>
    <t>https://youtu.be/O0J3MmEZz5g</t>
  </si>
  <si>
    <t>Five Times Peggy Whitson Made History</t>
  </si>
  <si>
    <t>On April 24, 2017, NASA Astronaut Peggy Whitson established the new record for the most time 
spent in space by an American astronaut, surpassing the mark of 534 days set by NASA’s Jeff 
Williams in 2016—more than 76 weeks of her life, floating in microgravity!  It’s not the first 
time in her career at NASA that Whitson has established new milestones: here are a few more.
HD download link: https://archive.org/details/jsc2017m000329_Five-Times-Peggy-Whitson-Made-History_MXF
_______________________________________
FOLLOW THE SPACE STATION!
Twitter: https://twitter.com/Space_Station
Facebook: https://www.facebook.com/ISS
Instagram: https://instagram.com/iss/</t>
  </si>
  <si>
    <t>O0J3MmEZz5g</t>
  </si>
  <si>
    <t>2017 04 22</t>
  </si>
  <si>
    <t>https://youtu.be/4S06mRc5jwY</t>
  </si>
  <si>
    <t>Earth Day 2017 - 4K Earth Views From Space</t>
  </si>
  <si>
    <t>Our planet is beautiful. In honor of Earth Day 2017, enjoy Ultra High Definition views of our home planet captured from 250 miles up on the International Space Station!
Fire up the biggest screen you have. Then kick back and watch.
_______________________________________
FOLLOW THE SPACE STATION!
Twitter: https://twitter.com/Space_Station
Facebook: https://www.facebook.com/ISS
Instagram: https://instagram.com/iss/</t>
  </si>
  <si>
    <t>4S06mRc5jwY</t>
  </si>
  <si>
    <t>https://youtu.be/rUAr6ngVlGM</t>
  </si>
  <si>
    <t>Cygnus Arrives at Station After Four-Day Journey</t>
  </si>
  <si>
    <t>The Orbital ATK Cygnus spaceship was captured and installed at the International Space Station today after a four-day journey.</t>
  </si>
  <si>
    <t>rUAr6ngVlGM</t>
  </si>
  <si>
    <t>2017 04 21</t>
  </si>
  <si>
    <t>https://youtu.be/Z2szk-NuKWg</t>
  </si>
  <si>
    <t>Peanut Butter and Jelly in Space</t>
  </si>
  <si>
    <t>Astronauts on the International Space Station eat the same kinds of food as people on Earth—they just prepare them differently.  Expedition 50 commander Shane Kimbrough demonstrates on-orbit preparation of one of Earth’s most popular foods: the humble peanut butter and jelly sandwich.  But without bread.  And without being a juggler.
_______________________________________
FOLLOW THE SPACE STATION!
Twitter: https://twitter.com/Space_Station
Facebook: https://www.facebook.com/ISS
Instagram: https://instagram.com/iss/</t>
  </si>
  <si>
    <t>Z2szk-NuKWg</t>
  </si>
  <si>
    <t>https://youtu.be/Z4XvtP45m50</t>
  </si>
  <si>
    <t>Space to Ground  Spring Time is Launch Time   04 21 2017</t>
  </si>
  <si>
    <t>Z4XvtP45m50</t>
  </si>
  <si>
    <t>2017 04 20</t>
  </si>
  <si>
    <t>https://youtu.be/fIPwR63W3tI</t>
  </si>
  <si>
    <t>New Crew Launches and Docks to Station in Same Day</t>
  </si>
  <si>
    <t>Two new Expedition 51 crew members took a six-hour, five-minute spaceflight to the International Space Station today.</t>
  </si>
  <si>
    <t>fIPwR63W3tI</t>
  </si>
  <si>
    <t>https://youtu.be/5mPvvkwDHXc</t>
  </si>
  <si>
    <t>Soyuz Rocket Blessing</t>
  </si>
  <si>
    <t>At the Baikonur Cosmodrome in Kazakhstan, the Soyuz MS-04 rocket, Russian officials and the press receive a blessing from a Russian Orthodox priest April 18 prior to the rocket’s scheduled April 20 launch to the International Space Station.</t>
  </si>
  <si>
    <t>5mPvvkwDHXc</t>
  </si>
  <si>
    <t>2017 04 19</t>
  </si>
  <si>
    <t>https://youtu.be/CNcuKoeM1N0</t>
  </si>
  <si>
    <t>Students Acting on a HUNCH</t>
  </si>
  <si>
    <t>For 15 years, NASA’s HUNCH program—High Schools United with NASA to Create Hardware—has challenged students to use the technical skills learned in class to build replicas of space station hardware for use in training modules.  Now, HUNCH program organizers are challenging students to build actual flight hardware for use on orbit: here’s how it’s working at Austin High School in Decatur, Alabama.
To learn how you can join the HUNCH program, visit their website: www.nasahunch.com
HD download link: https://archive.org/details/jsc2017m000309_Students_Acting_on_a_HUNCH_MXF
_______________________________________
FOLLOW THE SPACE STATION!
Twitter: https://twitter.com/Space_Station
Facebook: https://www.facebook.com/ISS
Instagram: https://instagram.com/iss/</t>
  </si>
  <si>
    <t>CNcuKoeM1N0</t>
  </si>
  <si>
    <t>https://youtu.be/_IdhNfqm0tE</t>
  </si>
  <si>
    <t>A Moment with Jack Fischer</t>
  </si>
  <si>
    <t>A Moment with Jack Fischer.
HD download link: https://archive.org/details/A-Moment-With-Jack-Fischer
_______________________________________
FOLLOW THE SPACE STATION!
Twitter: https://twitter.com/Space_Station
Facebook: https://www.facebook.com/ISS
Instagram: https://instagram.com/iss/</t>
  </si>
  <si>
    <t>_IdhNfqm0tE</t>
  </si>
  <si>
    <t>2017 04 18</t>
  </si>
  <si>
    <t>https://youtu.be/pXww3F86K3M</t>
  </si>
  <si>
    <t>5 Things You Didn’t Know About Astronaut Jack Fischer</t>
  </si>
  <si>
    <t>He’s been an astronaut since 2009, spent years in training for his first mission to space, and has done interviews and press conferences talking about his trip to the International Space Station.  But there’s more to Colorado native and Air Force Colonel Jack Fischer than just being an astronaut who’s about to launch into space: here he shares a few secrets, including his rodeo background, his taste in movies, and his traditional birthday food.
HD download link: https://archive.org/details/5-Things-You-Didnt-Know-About-Astronaut-Jack-Fischer
_______________________________________
FOLLOW THE SPACE STATION!
Twitter: https://twitter.com/Space_Station
Facebook: https://www.facebook.com/ISS
Instagram: https://instagram.com/iss/</t>
  </si>
  <si>
    <t>pXww3F86K3M</t>
  </si>
  <si>
    <t>2017 04 15</t>
  </si>
  <si>
    <t>https://youtu.be/wExehfrQtqo</t>
  </si>
  <si>
    <t>Expedtion 51 Rocket Check</t>
  </si>
  <si>
    <t>Expedition 51 crew members NASA astronaut Jack "2Fish" Fischer and Roscosmos cosmonaut Fyodor Yurchikhin check out the Soyuz rocket they will ride to the station when it launches April 20.</t>
  </si>
  <si>
    <t>wExehfrQtqo</t>
  </si>
  <si>
    <t>2017 04 14</t>
  </si>
  <si>
    <t>https://youtu.be/9D75x679hcs</t>
  </si>
  <si>
    <t>Space to Ground  Bullseye  04 14 2017</t>
  </si>
  <si>
    <t>9D75x679hcs</t>
  </si>
  <si>
    <t>2017 04 13</t>
  </si>
  <si>
    <t>https://youtu.be/ntp6y-qe-sY</t>
  </si>
  <si>
    <t>STEM on Station</t>
  </si>
  <si>
    <t>“STEM on Station” connects students and teachers to the important research conducted on the International Space Station through a rich variety of hands-on activities, videos and up-to-the minute education news that help teachers enhance their K-12 curricula in the STEM fields of science, technology, engineering and mathematics.  Becky Kamas, an education specialist at NASA’s Johnson Space Center in Houston, Texas, details some of the opportunities available, from talking to astronauts aboard the space station, conducting engineering design challenges in 3-D printing, and microgravity and biological research for future deep-space missions.
You can learn more about STEM on Station here: https://www.nasa.gov/audience/foreducators/stem_on_station/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</si>
  <si>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ntp6y-qe-sY</t>
  </si>
  <si>
    <t>2017 04 10</t>
  </si>
  <si>
    <t>https://youtu.be/8TlNip1VJ38</t>
  </si>
  <si>
    <t>Expedition 50 Returns to Earth!</t>
  </si>
  <si>
    <t>A NASA astronaut and two Roscosmos cosmonauts completed a 173-day mission in space Monday when they landed in Kazakhstan inside the Soyuz MS-02 spacecraft.</t>
  </si>
  <si>
    <t>8TlNip1VJ38</t>
  </si>
  <si>
    <t>2017 04 07</t>
  </si>
  <si>
    <t>https://youtu.be/2Rd1sCC0G9E</t>
  </si>
  <si>
    <t>Space to Ground  Prepare For Landing  04 07 2017</t>
  </si>
  <si>
    <t>2Rd1sCC0G9E</t>
  </si>
  <si>
    <t>2017 04 03</t>
  </si>
  <si>
    <t>https://youtu.be/MBCHIj1Li1A</t>
  </si>
  <si>
    <t>%23ICYMI  Spacewalkers Get Station Ready for Commercial Crew</t>
  </si>
  <si>
    <t>Astronauts Shane Kimbrough and Peggy Whitson conducted the 199th spacewalk in support of station maintenance and assembly March 30, 2017. The spacewalkers set the station up for future commercial crew vehicles.</t>
  </si>
  <si>
    <t>MBCHIj1Li1A</t>
  </si>
  <si>
    <t>2017 03 31</t>
  </si>
  <si>
    <t>https://youtu.be/NQKlygiPnoU</t>
  </si>
  <si>
    <t>YT Exp 51 Russia Feed Crew Qual Exams</t>
  </si>
  <si>
    <t>Expedition 51-52 Soyuz Commander Fyodor Yurchikhin of Roscosmos and Flight Engineer Jack Fischer of NASA conducted final qualification training at the Gagarin Cosmonaut Training Center in Star City, Russia March 30 and 31.  Yurchikhin and Fischer are scheduled to launch on April 20 from the Baikonur Cosmodrome in Kazakhstan in the Soyuz MS-04 spacecraft for a four and a half month mission on the International Space Station.</t>
  </si>
  <si>
    <t>NQKlygiPnoU</t>
  </si>
  <si>
    <t>https://youtu.be/iyNfUPjSFDs</t>
  </si>
  <si>
    <t>Space to Ground  Another Record for Peggy  03 31 2017</t>
  </si>
  <si>
    <t>iyNfUPjSFDs</t>
  </si>
  <si>
    <t>https://youtu.be/H_g_iA3Kszg</t>
  </si>
  <si>
    <t>Spacesuit training in a vacuum chamber at NASA Johnson (360 View)</t>
  </si>
  <si>
    <t>Kool perspective- sights and sounds of the chamber training event.  Watch the video on the YouTube app and use Google Cardboard to spin around inside the chamber.  Trainers Mark, Sandy, and Erin running me through my paces in the vacuum chamber in Class I (flight ready) spacesuit.  This way I’ll know exactly the sights, sounds, feel, and how the suit operates before doing it in the ‘show’ on a real spacewalk from the space station. #SpaceTravelTraining
Follow me on social media:
Twitter: https://twitter.com/astrokomrade
Facebook: https://www.facebook.com/AstroKomrade/
Instagram: https://www.instagram.com/astrokomrade/
HD download link: https://archive.org/details/SpacesuitTrainingInAVacuumChamberAtNASAJohnson360View</t>
  </si>
  <si>
    <t>H_g_iA3Kszg</t>
  </si>
  <si>
    <t>2017 03 27</t>
  </si>
  <si>
    <t>https://youtu.be/aMw72D58W3Y</t>
  </si>
  <si>
    <t>Space Station Adapter Moved to New Location</t>
  </si>
  <si>
    <t>Ground controllers used the International Space Station’s Canadarm2 robotic arm to move the Pressurized Mating Adapter-3 (PMA-3) from the port side of the Tranquility module to the space-facing side of the Harmony module March 26. The relocation of PMA-3 places it in the correct position for the future installation of the second of two International Docking Adapters to which U.S. commercial crew spacecraft will dock in the years ahead. Electrical and data cables will be connected between PMA-3 and Harmony on March 30 during a spacewalk by Expedition 50 crew members Shane Kimbrough and Peggy Whitson.
________________________________________
FOLLOW THE SPACE STATION!
Twitter: https://twitter.com/Space_Station 
Facebook: https://www.facebook.com/ISS
Instagram: https://instagram.com/iss/</t>
  </si>
  <si>
    <t>aMw72D58W3Y</t>
  </si>
  <si>
    <t>2017 03 24</t>
  </si>
  <si>
    <t>https://youtu.be/bDstIrIn3mw</t>
  </si>
  <si>
    <t>Space to Ground  Return of the Dragon  03 24 2017</t>
  </si>
  <si>
    <t>bDstIrIn3mw</t>
  </si>
  <si>
    <t>2017 03 23</t>
  </si>
  <si>
    <t>https://youtu.be/WcFarXvECb8</t>
  </si>
  <si>
    <t>Preview of U.S. Spacewalk %2340</t>
  </si>
  <si>
    <t>Two spacewalkers are scheduled to conduct an EVA (Extravehicular Activity) on March 24 to prepare the International Space Station for the future arrival of U.S. commercial crew spacecraft and upgrade station hardware. Sarah Korona, U.S. EVA # 40 Spacewalk Officer, narrated the following animation covering the tasks that NASA’s Shane Kimbrough and ESA’s Thomas Pesquet will focus on over the course of approximately six hours. 
________________________________________
FOLLOW THE SPACE STATION!
Twitter: https://twitter.com/Space_Station 
Facebook: https://www.facebook.com/ISS
Instagram: https://instagram.com/iss/</t>
  </si>
  <si>
    <t>WcFarXvECb8</t>
  </si>
  <si>
    <t>2017 03 20</t>
  </si>
  <si>
    <t>https://youtu.be/0ValuWqyRG8</t>
  </si>
  <si>
    <t>I Am a Camera  On a Spacewalk</t>
  </si>
  <si>
    <t>To everything there is a season, including the time when a small video camera makes its first-ever 
trip into the void of space.  On Jan. 13, 2017, European Space Agency astronaut Thomas Pesquet wore 
just such a camera on his spacesuit during a nearly six-hour-long walk around the outside of the 
International Space Station with his crewmate, NASA astronaut Shane Kimbrough.  Here’s that day boiled 
down to three minutes, from the point of view of the camera!
HD download link: http://archive.org/details/TheSpaceProgram 
_______________________________________
FOLLOW THE SPACE STATION!
Twitter: https://twitter.com/Space_Station
Facebook: https://www.facebook.com/ISS
Instagram: https://instagram.com/iss/</t>
  </si>
  <si>
    <t>0ValuWqyRG8</t>
  </si>
  <si>
    <t>2017 03 17</t>
  </si>
  <si>
    <t>https://youtu.be/WL1XY4jT5ks</t>
  </si>
  <si>
    <t>Space to Ground  Packing Dragon  03 17 2017</t>
  </si>
  <si>
    <t>WL1XY4jT5ks</t>
  </si>
  <si>
    <t>2017 03 10</t>
  </si>
  <si>
    <t>https://youtu.be/gLX87TYjXbM</t>
  </si>
  <si>
    <t>Space to Ground  At Home in Space   03 10 2017</t>
  </si>
  <si>
    <t>gLX87TYjXbM</t>
  </si>
  <si>
    <t>2017 03 07</t>
  </si>
  <si>
    <t>https://youtu.be/AV_x2KbJjIc</t>
  </si>
  <si>
    <t>We Tell the Crew What To Do</t>
  </si>
  <si>
    <t>You probably don’t know what you’ll be doing six months from today, but there’s a group at NASA’s Marshall Space Flight Center in Huntsville, Alabama, that’s making just such a plan for scientific research on the International Space Station.  Learn how these men and women map out science activity for the crew in space to support the cutting-edge research now underway that’s benefitting life on Earth.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</si>
  <si>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AV_x2KbJjIc</t>
  </si>
  <si>
    <t>2017 03 04</t>
  </si>
  <si>
    <t>https://youtu.be/ZtrT0HfTV5Q</t>
  </si>
  <si>
    <t>%23ICYMI  Dragon and Progress Ships Race to Resupply Station</t>
  </si>
  <si>
    <t>Two spaceships from opposite sides of the Earth, the SpaceX Dragon and Russia's Progress 66, launched and arrived to resupply the Expedition 50 crew all within one week.</t>
  </si>
  <si>
    <t>ZtrT0HfTV5Q</t>
  </si>
  <si>
    <t>2017 03 03</t>
  </si>
  <si>
    <t>https://youtu.be/cp-lTLz_tRM</t>
  </si>
  <si>
    <t>Space to Ground  Science Time  03 03 2017</t>
  </si>
  <si>
    <t>cp-lTLz_tRM</t>
  </si>
  <si>
    <t>2017 03 02</t>
  </si>
  <si>
    <t>https://youtu.be/qp_0l043mKQ</t>
  </si>
  <si>
    <t>Genetic Library Open to World</t>
  </si>
  <si>
    <t>Using data from experiments conducted on the International Space Station, NASA is working with scientists around the world to build an open database of biological molecules.  GeneLab is mapping the genes of organisms on the station and making that collection available to anyone so those other scientists can develop and test out their own hypotheses.  The collaborative tool is a new way of doing research that could accelerate scientific breakthroughs for years to come.
HD download link: https://archive.org/details/TheSpaceProgram
_______________________________________
FOLLOW THE SPACE STATION!
Twitter: https://twitter.com/Space_Station
Facebook: https://www.facebook.com/ISS
Instagram: https://instagram.com/iss/</t>
  </si>
  <si>
    <t>qp_0l043mKQ</t>
  </si>
  <si>
    <t>https://youtu.be/8CCPwZHz3uw</t>
  </si>
  <si>
    <t>NASA Village signatures fly with me on the International Space Station.</t>
  </si>
  <si>
    <t>Signatures from the NASA Village fly with me on the International Space Station.  What a special opportunity to share this amazing journey with such an impressive team.  Representing thousands of people with diverse jobs and stories who contribute to mission success every day.  You can read their stories here: http://astropeggy.tumblr.com/tagged/NASAvillage
HD download link: https://archive.org/details/Expedition50ResourceReel
FOLLOW PEGGY WHITSON!
Facebook: https://www.facebook.com/NASAAstronautPeggyWhitson/
Twitter: https://twitter.com/astropeggy
Tumblr: http://astropeggy.tumblr.com/tagged/Expedition</t>
  </si>
  <si>
    <t>8CCPwZHz3uw</t>
  </si>
  <si>
    <t>2017 03 01</t>
  </si>
  <si>
    <t>https://youtu.be/8N--3_JsHQk</t>
  </si>
  <si>
    <t>One Year Later</t>
  </si>
  <si>
    <t>The spaceflight part of the One Year Mission to the International Space Station ended a year ago today, but the science behind it is still moving. NASA’s Scott Kelly and Russian cosmonaut Mikhail Kornienko have continued to provide samples for the data collection from their ground-breaking mission. Results are expected to to start coming in 2017, which will help put human beings on Mars one day.
HD download link: https://archive.org/details/TheSpaceProgram
_______________________________________
FOLLOW THE SPACE STATION!
Twitter: https://twitter.com/Space_Station
Facebook: https://www.facebook.com/ISS
Instagram: https://instagram.com/iss/</t>
  </si>
  <si>
    <t>8N--3_JsHQk</t>
  </si>
  <si>
    <t>2017 02 24</t>
  </si>
  <si>
    <t>https://youtu.be/arEf05Yf5IY</t>
  </si>
  <si>
    <t>NOT Lost in Space</t>
  </si>
  <si>
    <t>How hard would it be to keep track of your stuff if it could literally float away—which does happen on the International Space Station.  Well, the crews in space have help, in the form of the Stowage team at NASA’s Marshall Space Flight Center in Huntsville, Alabama.  From tools to trash, learn how the team keeps track of everything the astronauts need as they conduct groundbreaking science research on orbit.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</si>
  <si>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arEf05Yf5IY</t>
  </si>
  <si>
    <t>https://youtu.be/28r2SFZwkB0</t>
  </si>
  <si>
    <t>Space to Ground  Special Delivery for the Station  02 24 2017</t>
  </si>
  <si>
    <t>28r2SFZwkB0</t>
  </si>
  <si>
    <t>2017 02 21</t>
  </si>
  <si>
    <t>https://youtu.be/_wc9l4vGm5Y</t>
  </si>
  <si>
    <t>Next Big Thing  Genetic Data from Space Station</t>
  </si>
  <si>
    <t>It could be the start of a new era, with the first data on genetic analysis of International Space Station astronauts published in 2016.  Station Deputy Chief Scientist Kirt Costello talks about how these new results from space research are already helping other studies into astronaut vision issues while helping investigators develop new experiments that hold great promise for future results.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</si>
  <si>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_wc9l4vGm5Y</t>
  </si>
  <si>
    <t>2017 02 17</t>
  </si>
  <si>
    <t>https://youtu.be/HoE3L56BVZw</t>
  </si>
  <si>
    <t>Space to Ground  Flying Robots in Space  02 17 2017</t>
  </si>
  <si>
    <t>HoE3L56BVZw</t>
  </si>
  <si>
    <t>2017 02 15</t>
  </si>
  <si>
    <t>https://youtu.be/HQdMZ5OAU3U</t>
  </si>
  <si>
    <t>SAGE-III Ready for Ozone Checkup</t>
  </si>
  <si>
    <t>A third-generation investigation into the state of the ozone layer of Earth’s atmosphere is scheduled for launch to the International Space Station on the SpaceX-10 cargo ship.  Marilee Roell of NASA’s Langley Research Center explains how the third iteration of the Stratospheric Aerosol and Gas Experiment will measure ozone, aerosols and other components of the atmosphere for scientists who hope to see an improvement in the atmosphere’s ability to protect the planet—and everyone and everything on it—from harmful ultraviolet radiation.
For more on ISS science, visit us online: 
https://www.nasa.gov/mission_pages/station/research/index.html
www.twitter.com/iss_research
HD download link: https://archive.org/details/TheSpaceProgram</t>
  </si>
  <si>
    <t>HQdMZ5OAU3U</t>
  </si>
  <si>
    <t>2017 02 11</t>
  </si>
  <si>
    <t>https://youtu.be/7fYKMCCPh28</t>
  </si>
  <si>
    <t>The Earth  4K Extended Edition</t>
  </si>
  <si>
    <t>Can’t get enough of Earth?  Then this is for you: an extended playback of Ultra High Definition views of Planet Earth, captured by NASA astronaut Jeff Williams during his mission on the International Space Station in 2016.  You’ll see the French Riviera and the Sahara Desert, cross North America from Texas all the way to Canada, and more—this is your source for the view of your home planet from 250 miles up!
Fire up the biggest screen you have. Then throw on your favorite music, kick back and watch.
UHD download link: https://archive.org/details/NASA-Ultra-High-Definition
High resolution source footage: https://go.nasa.gov/2IGGpk2
_______________________________________
FOLLOW THE SPACE STATION!
Twitter: https://twitter.com/Space_Station
Facebook: https://www.facebook.com/ISS
Instagram: https://instagram.com/iss/</t>
  </si>
  <si>
    <t>7fYKMCCPh28</t>
  </si>
  <si>
    <t>2017 02 10</t>
  </si>
  <si>
    <t>https://youtu.be/Hbr7l-iVoBE</t>
  </si>
  <si>
    <t>Space to Ground  Who Doesn't Enjoy a Good View of Planet Earth   02 10 2017</t>
  </si>
  <si>
    <t>Hbr7l-iVoBE</t>
  </si>
  <si>
    <t>2017 02 03</t>
  </si>
  <si>
    <t>https://youtu.be/vSjDB9F-9Pk</t>
  </si>
  <si>
    <t>Zero G Hail Mary Pass - UHD</t>
  </si>
  <si>
    <t>UHD download link: https://archive.org/details/NASA-Ultra-High-Defintion</t>
  </si>
  <si>
    <t>vSjDB9F-9Pk</t>
  </si>
  <si>
    <t>https://youtu.be/ggh96kR8cu0</t>
  </si>
  <si>
    <t>Space to Ground  Science Touchdown!  02 03 2017</t>
  </si>
  <si>
    <t>ggh96kR8cu0</t>
  </si>
  <si>
    <t>2017 02 02</t>
  </si>
  <si>
    <t>https://youtu.be/kK2dLogihpg</t>
  </si>
  <si>
    <t>%23SpaceBowl Football Toss</t>
  </si>
  <si>
    <t>Media and social media influencers are gathered in Houston today for the #SpaceBowl #NASASocial ahead of #SB51, but the spaceflight team is made up of NASA centers and industry partners all across the country! You play an important role too. Are you ready to run the ball into the end zone by sharing these space facts out into the world?</t>
  </si>
  <si>
    <t>kK2dLogihpg</t>
  </si>
  <si>
    <t>https://youtu.be/hBnVSIvDoqQ</t>
  </si>
  <si>
    <t xml:space="preserve">How Do Astronauts Stay In Touch with Earth </t>
  </si>
  <si>
    <t>Mission Control is home to many different players in many different positions that support the astronauts while they're out on the field. Communication is important, but how exactly do they stay in touch? #SpaceBowl
HD download link: https://archive.org/details/InformationalVideos</t>
  </si>
  <si>
    <t>hBnVSIvDoqQ</t>
  </si>
  <si>
    <t>2017 01 31</t>
  </si>
  <si>
    <t>https://youtu.be/SliwCMZd4R4</t>
  </si>
  <si>
    <t>Referee Robonaut  Football Signals</t>
  </si>
  <si>
    <t>Can you guess the football signals Robonaut is doing? He's designed to perform complex tasks and use the same tools astronauts use.
Robonaut is a dexterous humanoid robot built and designed at NASA Johnson Space Center in Houston, Texas. Our challenge is to build machines that can help humans work and explore in space. Working side by side with humans, or going where the risks are too great for people, Robonauts will expand our ability for construction and discovery. Central to that effort is a capability we call dexterous manipulation, embodied by an ability to use one's hand to do work, and our challenge has been to build machines with dexterity that exceeds that of a suited astronaut.
Researchers at NASA's Johnson Space Center (JSC), in collaboration with General Motors and Oceaneering, have designed a state-of-the-art, highly dexterous, humanoid robot: Robonaut 2 (R2). R2 is made up of multiple component technologies and systems -- vision systems, image recognition systems, sensor integrations, tendon hands, control algorithms, and much more. R2's nearly 50 patented and patent-pending technologies have the potential to be game-changers in multiple industries, including logistics and distribution, medical and industrial robotics, and beyond.
________________________________________
FOLLOW THE SPACE STATION!
Twitter: https://twitter.com/Space_Station 
Facebook: https://www.facebook.com/ISS
Instagram: https://instagram.com/iss/</t>
  </si>
  <si>
    <t>SliwCMZd4R4</t>
  </si>
  <si>
    <t>2017 01 30</t>
  </si>
  <si>
    <t>https://youtu.be/DWkowyIB1To</t>
  </si>
  <si>
    <t>Astronaut Tailgating</t>
  </si>
  <si>
    <t>Houston is home not only to Super Bowl LI, but also NASA's astronauts at Johnson Space Center. It's scientifically proven you can't survive in space without queso for 6 months, so ahead of the big game the Space Food Systems Lab helped us make space food versions of classic tailgating dishes.
________________________________________
FOLLOW THE SPACE STATION!
Twitter: https://twitter.com/Space_Station 
Facebook: https://www.facebook.com/ISS
Instagram: https://instagram.com/iss/</t>
  </si>
  <si>
    <t>DWkowyIB1To</t>
  </si>
  <si>
    <t>2017 01 27</t>
  </si>
  <si>
    <t>https://youtu.be/XXT2jkm2eTw</t>
  </si>
  <si>
    <t>Space to Ground  Flying a Space KITE  01 27 2017</t>
  </si>
  <si>
    <t>XXT2jkm2eTw</t>
  </si>
  <si>
    <t>2017 01 21</t>
  </si>
  <si>
    <t>https://youtu.be/Sq4KHpbTdTo</t>
  </si>
  <si>
    <t>Seven Spacewalks for Peggy Whitson</t>
  </si>
  <si>
    <t>NASA astronaut Peggy Whitson completed her seventh spacewalk on Jan. 6, 2017. Here are scenes from each of her seven spacewalks.</t>
  </si>
  <si>
    <t>Sq4KHpbTdTo</t>
  </si>
  <si>
    <t>2017 01 20</t>
  </si>
  <si>
    <t>https://youtu.be/YQv93BOIJQE</t>
  </si>
  <si>
    <t>Space to Ground  Satellites Away!  01 20 2017</t>
  </si>
  <si>
    <t>YQv93BOIJQE</t>
  </si>
  <si>
    <t>2017 01 19</t>
  </si>
  <si>
    <t>https://youtu.be/lBechwsmk1Y</t>
  </si>
  <si>
    <t>Now’s the Time for Science in Space</t>
  </si>
  <si>
    <t>It’s easier than ever for researchers to get their experiments on the International Space Station: chief scientist Dr. Julie Robinson says scientists from nearly 100 countries around the world have been able to take advantage of the station to do research as access and funding have opened up.  Since the station has been hosting science for more than fifteen years now, there has been enough time for station research results to have become new products that are helping people in their daily lives on Earth, and she says the increased access of today will lead to a huge wave of new results in just the next few years.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</si>
  <si>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lBechwsmk1Y</t>
  </si>
  <si>
    <t>2017 01 14</t>
  </si>
  <si>
    <t>https://youtu.be/geHritEjBnY</t>
  </si>
  <si>
    <t>%23ICYMI  Spacewalkers Wrap up Power Upgrades</t>
  </si>
  <si>
    <t>#ICYMI: The second spacewalk of 2017 saw two astronauts hook up new gear to improve the space station's power systems.</t>
  </si>
  <si>
    <t>geHritEjBnY</t>
  </si>
  <si>
    <t>2017 01 13</t>
  </si>
  <si>
    <t>https://youtu.be/smtsc5mlex8</t>
  </si>
  <si>
    <t>Space to Ground  A Recharging Spacewalk!  01 13 2017</t>
  </si>
  <si>
    <t>smtsc5mlex8</t>
  </si>
  <si>
    <t>2017 01 11</t>
  </si>
  <si>
    <t>https://youtu.be/DHrLhm2z3xk</t>
  </si>
  <si>
    <t>EVERYWEAR in Space</t>
  </si>
  <si>
    <t>Crew members on the International Space Station watch their health while in space just like they do when on Earth, but the wrist-worn technology they use in orbit is different from yours and mine.  Maurice Marnat, with the National Center for Space Studies in Toulouse, France, talks about the EVERYWEAR wearable sensors, and the iPad application used to easily download medical data from multiple experiments to scientists on the ground,  now being tried out in space by European Space Agency (ESA) astronaut Thomas Pesquet.
HD download link: https://archive.org/details/TheSpaceProgram
You can learn more about EVERYWEAR here https://www.nasa.gov/mission_pages/station/research/experiments/2308.html
For more on ISS science, visit us online: 
https://www.nasa.gov/mission_pages/station/research/index.html
www.twitter.com/iss_research
_______________________________________
FOLLOW THE SPACE STATION!
Twitter: https://twitter.com/Space_Station
Facebook: https://www.facebook.com/ISS
Instagram: https://instagram.com/iss/</t>
  </si>
  <si>
    <t>DHrLhm2z3xk</t>
  </si>
  <si>
    <t>2017 01 10</t>
  </si>
  <si>
    <t>https://youtu.be/Ne57B7QI4gk</t>
  </si>
  <si>
    <t>Everything About Mission Control Houston</t>
  </si>
  <si>
    <t>Houston, we have a problem – there are too many questions about Mission Control. Luckily, Flight Director Mary Lawrence is here to answer as many as she can before her shift starts. Listen as she and her fellow flight controllers answer everything about Mission Control Houston: what time does it close, how many acronyms do you have to learn, is there a phone number for the space station, and many many more.
All of the flight controllers on screen are real Houston flight controllers and controllers in training.
HD download link: https://archive.org/details/Everything-About-Mission-Control-Houston_YT-MXF_jsc2016m001100.mxf
_______________________________________
FOLLOW THE SPACE STATION!
Twitter: https://twitter.com/Space_Station
Facebook: https://www.facebook.com/ISS
Instagram: https://instagram.com/iss/</t>
  </si>
  <si>
    <t>Ne57B7QI4gk</t>
  </si>
  <si>
    <t>2017 01 06</t>
  </si>
  <si>
    <t>https://youtu.be/Yzh065x917w</t>
  </si>
  <si>
    <t>Space to Ground  A Powerful Spacewalk  01 06 2017</t>
  </si>
  <si>
    <t>Yzh065x917w</t>
  </si>
  <si>
    <t>2017 01 05</t>
  </si>
  <si>
    <t>https://youtu.be/BDYbaphIjxI</t>
  </si>
  <si>
    <t>Spacewalk to Upgrade Station Power Systems</t>
  </si>
  <si>
    <t>Two spacewalkers, astronauts Shane Kimbrough and Peggy Whitson,  are going outside Friday morning to continue the upgrade of space station power systems.</t>
  </si>
  <si>
    <t>BDYbaphIjxI</t>
  </si>
  <si>
    <t>2016 12 30</t>
  </si>
  <si>
    <t>https://youtu.be/sC217wotZy8</t>
  </si>
  <si>
    <t>Piers Sellers  1955 - 2016</t>
  </si>
  <si>
    <t>In an interview from July 2016, NASA Astronaut Piers Sellers shares the dreams that led him to become an astronaut and his hopes for future exploration. A veteran of three spaceflights (STS-112, STS-121, and STS-132) and a renowned climate scientist, Sellers died on Dec. 23 at the age of 61.
“We lost a tremendous public servant who was dedicated to NASA, the nation and the world," said NASA Administrator Charles Bolden. "He was a strident defender and eloquent spokesperson for our home planet, Earth. Spacewalker and scientist, free thinker and friend to our planet, and all who seek new knowledge, to say he will be missed would be a gross understatement."
Read Administrator Bolden's full statement here: https://www.nasa.gov/press-release/nasa-administrator-remembers-nasa-scientist-astronaut-piers-sellers</t>
  </si>
  <si>
    <t>sC217wotZy8</t>
  </si>
  <si>
    <t>2016 12 29</t>
  </si>
  <si>
    <t>https://youtu.be/-nmNhKRzy4w</t>
  </si>
  <si>
    <t>Jeff’s Earth - 4K</t>
  </si>
  <si>
    <t>The first time you see Planet Earth from space, it’s stunning; when you’ve spent 534 days in space—more than any other American—it still is!  On his most recent trip the International Space Station NASA astronaut Jeff Williams used an Ultra High Definition video camera that he pointed at the planet 250 miles below; here he shares some of those images, and talks about the beauty of the planet, the variety of things to see, and the value of sharing that perspective with everyone who can’t go to orbit in person.
HD download link: https://archive.org/details/TheSpaceProgram
UHD content download link: https://archive.org/details/NASA-Ultra-High-Definition 
High resolution source footage: https://go.nasa.gov/2IGGpk2
_______________________________________
FOLLOW THE SPACE STATION!
Twitter: https://twitter.com/Space_Station
Facebook: https://www.facebook.com/ISS
Instagram: https://instagram.com/iss/</t>
  </si>
  <si>
    <t>-nmNhKRzy4w</t>
  </si>
  <si>
    <t>2016 12 28</t>
  </si>
  <si>
    <t>https://youtu.be/jiL27ptrWDE</t>
  </si>
  <si>
    <t>Space Sniffer</t>
  </si>
  <si>
    <t>For long-duration space missions, whether to the International Space Station or to Mars and beyond, it’s important to be able to ensure clean air for crew members to breathe, and that’s the reason for Electronic Nose.  Anna Grinberg, a systems engineer for microgravity payloads at Airbus, explains how E-nose analyzes the atmosphere inside the space station to provide rapid, advanced warning of potential contaminant build-up, and how it can provide potential benefits for life on Earth, too.
You can learn more about E-nose here: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</si>
  <si>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jiL27ptrWDE</t>
  </si>
  <si>
    <t>2016 12 27</t>
  </si>
  <si>
    <t>https://youtu.be/CCW7PGGg7DI</t>
  </si>
  <si>
    <t>History of Mission Control</t>
  </si>
  <si>
    <t>Since the days of Gemini all of America’s human spaceflight programs have been controlled by men and women stationed in one of several flight control rooms at NASA’s Johnson Space Center in Houston: the International Space Station flight controllers recently moved into an upgraded facility in the room that hosted the teams during the first manned flights of Apollo and the space shuttle.  Here’s a tour of “Mission Control Houston” through the years, from its first generation through the facility ready for the flights of Orion, the spacecraft that will take humans farther into space than they’ve ever gone before.
HD download link: https://archive.org/details/TheSpaceProgram
_______________________________________
FOLLOW THE SPACE STATION!
Twitter: https://twitter.com/Space_Station
Facebook: https://www.facebook.com/ISS
Instagram: https://instagram.com/iss/
…AND JOIN US ON THE JOURNEY TO MARS!
Twitter: https://twitter.com/Astromaterials 
Facebook: https://www.facebook.com/NASAastromaterials/ 
Instagram: https://www.instagram.com/nasaastromaterials/ 
Website: https://ares.jsc.nasa.gov/</t>
  </si>
  <si>
    <t>CCW7PGGg7DI</t>
  </si>
  <si>
    <t>2016 12 22</t>
  </si>
  <si>
    <t>https://youtu.be/HUNfwWGc6Iw</t>
  </si>
  <si>
    <t>Space to Ground  2016  A Space Expedition  12 22 2016</t>
  </si>
  <si>
    <t>HUNfwWGc6Iw</t>
  </si>
  <si>
    <t>https://youtu.be/AsdngbXX9R0</t>
  </si>
  <si>
    <t>Packing for the Bottom of the World</t>
  </si>
  <si>
    <t>Long underwear is only a part of the story when it comes to what you take on a business trip to Antarctica.  Planetary scientist Dave Mittlefehldt of the NASA Johnson Space Center’s Astromaterials Research and Exploration Science Division is on his fifth trip there to look for meteorites that can teach us about the formation of the solar system and the evolution of the moon and Mars.  What personal items does he take along?  Watch as “Duck” gets squared away with everything from sunscreen and sandals to glacier glasses, flannel shirts, and novels in Hebrew for his latest adventure.
HD download link: https://archive.org/details/TheSpaceProgram
_______________________________________
JOIN US ON THE JOURNEY TO MARS!
Twitter: https://twitter.com/Astromaterials 
Facebook: https://www.facebook.com/NASAastromaterials/ 
Instagram: https://www.instagram.com/nasaastromaterials/ 
Website: https://ares.jsc.nasa.gov/</t>
  </si>
  <si>
    <t>AsdngbXX9R0</t>
  </si>
  <si>
    <t>2016 12 21</t>
  </si>
  <si>
    <t>https://youtu.be/3gCvSPTJyHQ</t>
  </si>
  <si>
    <t>From Metal To Masterpiece  Orion's 2016 Progress</t>
  </si>
  <si>
    <t>From the beginning of assembly work on the Orion crew module at NASA’s Kennedy Space Center in Florida to testing a range of the spacecraft systems, engineers made headway in 2016 in advance of the spacecraft’s 2018 mission beyond the moon. Highlights include: crew module pressure vessel manufacturing; testing to ensure the safety of Orion and its crew upon splashdown in the ocean; testing of procedures to recover Orion after its missions; outfitting and assembly work on the crew module at Kennedy and on the European service module at Airbus Defence &amp; Space in Germany; and service module testing at NASA Glenn's Plum Brook Station in Ohio.</t>
  </si>
  <si>
    <t>3gCvSPTJyHQ</t>
  </si>
  <si>
    <t>2016 12 20</t>
  </si>
  <si>
    <t>https://youtu.be/ZPIz9_Zv2FA</t>
  </si>
  <si>
    <t>Space Station Crew Celebrates the Holidays Aboard the Orbital Lab</t>
  </si>
  <si>
    <t>Aboard the International Space Station, Expedition 50 Commander Shane Kimbrough and Peggy Whitson of NASA and Thomas Pesquet of the European Space Agency discussed their thoughts about being in space during the holidays and how they plan to celebrate Christmas and New Year’s in a downlink message recorded Dec. 12. Kimbrough arrived on the complex in October, followed a month later by Whitson and Pesquet.
_______________________________________
FOLLOW THE SPACE STATION!
Twitter: https://twitter.com/Space_Station
Facebook: https://www.facebook.com/ISS
Instagram: https://instagram.com/iss/</t>
  </si>
  <si>
    <t>ZPIz9_Zv2FA</t>
  </si>
  <si>
    <t>2016 12 19</t>
  </si>
  <si>
    <t>https://youtu.be/FZrqmg_bm7o</t>
  </si>
  <si>
    <t>Top 16 Earth Images of 2016</t>
  </si>
  <si>
    <t>Astronauts on the International Space Station take pictures of Earth out their windows nearly every day; over a year that adds up to thousands of photos.  The people at the Earth Science and Remote Sensing Unit at NASA’s Johnson Space Center in Houston pored through this year’s crop to pick their top 16 photos of Earth for 2016—enjoy!
Download the images: https://www.flickr.com/photos/nasa2explore/albums/72157674260752223 
HD download link: https://archive.org/details/TheSpaceProgram
_______________________________________
FOLLOW THE SPACE STATION!
Twitter: https://twitter.com/Space_Station
Facebook: https://www.facebook.com/ISS
Instagram: https://instagram.com/iss/</t>
  </si>
  <si>
    <t>FZrqmg_bm7o</t>
  </si>
  <si>
    <t>2016 12 16</t>
  </si>
  <si>
    <t>https://youtu.be/YqP5wMswxzw</t>
  </si>
  <si>
    <t>Space to Ground  Holiday Delivery  12 15 2016</t>
  </si>
  <si>
    <t>YqP5wMswxzw</t>
  </si>
  <si>
    <t>2016 12 14</t>
  </si>
  <si>
    <t>https://youtu.be/pNQ9CTJ7Mxc</t>
  </si>
  <si>
    <t>Orion Backstage  NASA's Super Guppy Takes on Heavy Lifting for Orion</t>
  </si>
  <si>
    <t>NASA's David Elliott and a team of pilots and engineers who operate the agency's Super Guppy aircraft are responsible for transporting some of the biggest elements of spacecraft to locations around the country. The Super Guppy has played an important role carrying pieces of Orion, such as the primary structure of the crew module, to Kennedy Space Center in Florida for outfitting and processing in advance of its 2018 mission that will take the uncrewed spacecraft, launched atop the Space Launch System rocket, about 40,000 miles beyond the moon.</t>
  </si>
  <si>
    <t>pNQ9CTJ7Mxc</t>
  </si>
  <si>
    <t>https://youtu.be/HZrg9nvrKkY</t>
  </si>
  <si>
    <t>Veggie Grows Again!</t>
  </si>
  <si>
    <t>It’s harvest time on the International Space Station, where NASA astronaut Shane Kimbrough and his crewmates are cutting the red romaine lettuce they’ve been growing for the Veg-03 edition of the Veggie experiment.  Why do we need to grow plants in space?  Robert Richter from Orbitec, the company that developed the Veggie hardware, shares the benefits and talks about what’s ahead for future long-duration space missions that will require crews to grow their own food.
You can learn more about Veggie here: https://www.nasa.gov/mission_pages/station/research/experiments/383.html
HD download link: https://archive.org/details/TheSpaceProgram
_______________________________________
FOLLOW THE SPACE STATION!
Twitter: https://twitter.com/Space_Station
Facebook: https://www.facebook.com/ISS
Instagram: https://instagram.com/iss/</t>
  </si>
  <si>
    <t>HZrg9nvrKkY</t>
  </si>
  <si>
    <t>2016 12 13</t>
  </si>
  <si>
    <t>https://youtu.be/HamFcDiqi_M</t>
  </si>
  <si>
    <t>Japan's HTV-6 Makes Four Spacecraft Parked at the Station</t>
  </si>
  <si>
    <t>Japan's HTV-6 resupply ship arrived at the space station after a four-day trip, was captured by Canada's robotic arm and installed to the Harmony module.</t>
  </si>
  <si>
    <t>HamFcDiqi_M</t>
  </si>
  <si>
    <t>https://youtu.be/IeWOlJf2BJM</t>
  </si>
  <si>
    <t>Two Astronauts Capture Japanese Cargo Craft</t>
  </si>
  <si>
    <t>Astronauts Shane Kimbrough and Thomas Pesquet captured Japan's HTV-6 cargo ship with the Canadarm2 robotic arm today at 5:37 a.m. EST while flying over southern Chile. http://go.nasa.gov/2hpPrnY</t>
  </si>
  <si>
    <t>IeWOlJf2BJM</t>
  </si>
  <si>
    <t>2016 12 09</t>
  </si>
  <si>
    <t>https://youtu.be/xiWO6n_3s70</t>
  </si>
  <si>
    <t>Ground and Space Views of Japanese Rocket Launch</t>
  </si>
  <si>
    <t>This picture-in-picture video shows two simultaneous views of Japan's H-IIB rocket launching from Japan on Dec. 9, 2016. The main view is from cameras at the Tanegashima Space Center. The smaller view is from external cameras on the International Space Station as it orbited over Japan.</t>
  </si>
  <si>
    <t>xiWO6n_3s70</t>
  </si>
  <si>
    <t>https://youtu.be/stPAHJQ8iL4</t>
  </si>
  <si>
    <t>Space to Ground  Cargo on the Way! 12 09 2016</t>
  </si>
  <si>
    <t>stPAHJQ8iL4</t>
  </si>
  <si>
    <t>2016 12 02</t>
  </si>
  <si>
    <t>https://youtu.be/LL43GAKoH4Q</t>
  </si>
  <si>
    <t>Space to Ground  70 Hours of Science  12 01 2016</t>
  </si>
  <si>
    <t>LL43GAKoH4Q</t>
  </si>
  <si>
    <t>2016 11 23</t>
  </si>
  <si>
    <t>https://youtu.be/CPvcjRARi68</t>
  </si>
  <si>
    <t>Space to Ground  Giving Thanks for a New Crew  11 23 2016</t>
  </si>
  <si>
    <t>CPvcjRARi68</t>
  </si>
  <si>
    <t>2016 11 22</t>
  </si>
  <si>
    <t>https://youtu.be/ZvE8jIf5Efw</t>
  </si>
  <si>
    <t>Orion Backstage  Keeping Orion Weight Off And Crew Weight On</t>
  </si>
  <si>
    <t>To help reduce the amount of supplies Orion will carry for its crew, scientists are developing a variety of food bars that astronauts can eat for breakfast during their early spaceflight missions. But designing a food bar to a specific nutritional balance for astronauts while also increasing caloric density and passing the taste test is no small task. On Orion, the goal is to have a number of food bars to select from in a variety of flavors like orange cranberry or barbeque nut for their first meal of the day, reducing the amount of space and storage the breakfasts require. Food scientist Takiyah Sirmons and Orion's deputy health and medical technical authority, Jessica Vos, talk about the food bars.</t>
  </si>
  <si>
    <t>ZvE8jIf5Efw</t>
  </si>
  <si>
    <t>2016 11 21</t>
  </si>
  <si>
    <t>https://youtu.be/5DZ6RA1__Ts</t>
  </si>
  <si>
    <t>BEAM Me Up  Space Habitats</t>
  </si>
  <si>
    <t>Imagine living in a spaceship that arrives in space folded up before expanding…businessman Robert Bigelow’s dream is a lot closer to reality now that BEAM, the Bigelow Expandable Activity Module, is expanded and attached to the International Space Station. Over the next two years, BEAM will undergo a series of tests to validate the overall performance of expandable habitats where crews could live and work. BEAM is an example of NASA partnering with industry to enable the growth of the commercial use of space.
Read more: http://go.nasa.gov/2eZiPny 
You can learn more about BEAM here http://www.nasa.gov/sites/default/files/atoms/files/2016-march-beam-factsheet-508.pdf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</si>
  <si>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5DZ6RA1__Ts</t>
  </si>
  <si>
    <t>2016 11 20</t>
  </si>
  <si>
    <t>https://youtu.be/lYqi-tYxEAI</t>
  </si>
  <si>
    <t>Welcome Aboard! New Arrivals Make Six Expedition 50 Crew Members</t>
  </si>
  <si>
    <t>Three new Expedition 50 crew members joined the International Space Station after a two-day ride inside the Soyuz MS-03 spacecraft. Details here.. http://go.nasa.gov/2fGNPry</t>
  </si>
  <si>
    <t>lYqi-tYxEAI</t>
  </si>
  <si>
    <t>2016 11 18</t>
  </si>
  <si>
    <t>https://youtu.be/ixvk5al_0bc</t>
  </si>
  <si>
    <t>Peggy’s Personal Pre-Launch Package</t>
  </si>
  <si>
    <t>Go behind the scenes: with camera in hand, NASA astronaut Peggy Whitson draws back the curtain on pre-launch activities at the Baikonur Cosmodrome as she prepares for her second Soyuz launch to the International Space Station.  Whitson gives viewers a closer look at technical aspects of the operation as well as some personal insights into getting ready to leave the planet for six months.
HD download link: https://archive.org/details/TheSpaceProgram
_______________________________________
FOLLOW THE SPACE STATION!
Twitter: https://twitter.com/Space_Station
Facebook: https://www.facebook.com/ISS
Instagram: https://instagram.com/iss/</t>
  </si>
  <si>
    <t>ixvk5al_0bc</t>
  </si>
  <si>
    <t>https://youtu.be/e-GbTqpCLLM</t>
  </si>
  <si>
    <t>Expedition 50 Suits Up and Launches</t>
  </si>
  <si>
    <t>Expedition 50 started the day early heading out to the launch pad, suiting up and finally lifting off on a two-day mission to the International Space Station.</t>
  </si>
  <si>
    <t>e-GbTqpCLLM</t>
  </si>
  <si>
    <t>2016 11 17</t>
  </si>
  <si>
    <t>https://youtu.be/q8cT2b6rrkY</t>
  </si>
  <si>
    <t>Space to Ground  That’s no Moon!  11 17 2016</t>
  </si>
  <si>
    <t>q8cT2b6rrkY</t>
  </si>
  <si>
    <t>https://youtu.be/jqHuQ0o4vyo</t>
  </si>
  <si>
    <t>A Moment with Peggy Whitson</t>
  </si>
  <si>
    <t>jqHuQ0o4vyo</t>
  </si>
  <si>
    <t>2016 11 15</t>
  </si>
  <si>
    <t>https://youtu.be/2BB_zxZvaVs</t>
  </si>
  <si>
    <t>Supermoon over Baikonur</t>
  </si>
  <si>
    <t>At the Baikonur Cosmodrome in Kazakhstan, the moon, or supermoon, rises above the launch pad at Launch Complex 1 Nov. 14, where the Soyuz MS-03 spacecraft stands poised to liftoff following its transport to the pad for final pre-launch preparations. A supermoon occurs when the moon’s orbit is closest, or at perigee, to Earth. The Soyuz will launch Nov. 18, Baikonur time, to send Expedition 50-51 crewmembers Peggy Whitson of NASA, Oleg Novitskiy of the Russian Federal Space Agency (Roscosmos) and Thomas Pesquet of the European Space Agency to the International Space Station for a six-month mission.
________________________________________
FOLLOW THE SPACE STATION!
Twitter: https://twitter.com/Space_Station 
Facebook: https://www.facebook.com/ISS
Instagram: https://instagram.com/iss/</t>
  </si>
  <si>
    <t>2BB_zxZvaVs</t>
  </si>
  <si>
    <t>https://youtu.be/6A3ZHxWwOXI</t>
  </si>
  <si>
    <t>5 Things You Didn’t Know About Astronaut Peggy Whitson</t>
  </si>
  <si>
    <t>With two trips to the International Space Station already under her belt, you might think we’ve heard all there is to hear about NASA astronaut Peggy Whitson…but you’d be wrong.  Here the Iowa native and former chicken entrepreneur lets us in on five things we never knew about the station’s first-ever female commander as she heads back for a third tour of duty on orbit.
HD download link: https://archive.org/details/TheSpaceProgram 
_______________________________________
FOLLOW THE SPACE STATION!
Twitter: https://twitter.com/Space_Station 
Facebook: https://www.facebook.com/ISS 
Instagram: https://instagram.com/iss/</t>
  </si>
  <si>
    <t>6A3ZHxWwOXI</t>
  </si>
  <si>
    <t>2016 11 14</t>
  </si>
  <si>
    <t>https://youtu.be/j0wdRieUQ7g</t>
  </si>
  <si>
    <t>Expedition 50 Rocket Comes Together</t>
  </si>
  <si>
    <t>At the Baikonur Cosmodrome in Kazakhstan, the Soyuz MS-03 spacecraft was mated to its booster rocket Nov. 13 and moved to the launch pad on a railcar Nov. 14 for final preparations before launch to the International Space Station Nov. 18, Kazakh time. The Soyuz MS-03 will carry Expedition 50-51 Soyuz Commander Oleg Novitskiy of Roscosmos and Flight Engineers Peggy Whitson of NASA and Thomas Pesquet of the European Space Agency (ESA) to the orbital complex for a six-month mission. 
________________________________________
FOLLOW THE SPACE STATION!
Twitter: https://twitter.com/Space_Station 
Facebook: https://www.facebook.com/ISS
Instagram: https://instagram.com/iss/</t>
  </si>
  <si>
    <t>j0wdRieUQ7g</t>
  </si>
  <si>
    <t>2016 11 10</t>
  </si>
  <si>
    <t>https://youtu.be/4Gq8_TcNQbg</t>
  </si>
  <si>
    <t>Space to Ground  Eyes on Earth  11 10 2016</t>
  </si>
  <si>
    <t>NASA's Space to Ground is your weekly update on what's happening aboard the International Space Station. 
Got a question or comment? Use #spacetoground to talk to us.
To learn more about Sally Ride EarthKAM, please go to:
https://www.earthkam.org/  
To learn more about METEOR, please go to:
 http://go.nasa.gov/2eUcwxv
________________________________________
FOLLOW THE SPACE STATION!
Twitter: https://twitter.com/Space_Station 
Facebook: https://www.facebook.com/ISS
Instagram: https://instagram.com/iss/</t>
  </si>
  <si>
    <t>4Gq8_TcNQbg</t>
  </si>
  <si>
    <t>https://youtu.be/FrkDAk3H96k</t>
  </si>
  <si>
    <t>Expedition 50-51 Crew Prepares for Launch in Kazakhstan</t>
  </si>
  <si>
    <t>At the Baikonur Cosmodrome in Kazakhstan, Expedition 50-51 Soyuz Commander Oleg Novitskiy of Roscosmos and Flight Engineers Peggy Whitson of NASA and Thomas Pesquet of the European Space Agency (ESA) participated in a variety of activities Nov. 1-10 as they prepared for the launch of Novitskiy, Whitson and Pesquet Nov. 18, Kazakh time, on the Soyuz MS-03 spacecraft for a six-month mission on the International Space Station. 
________________________________________
FOLLOW THE SPACE STATION!
Twitter: https://twitter.com/Space_Station
Facebook: https://www.facebook.com/ISS
Instagram: https://instagram.com/iss/</t>
  </si>
  <si>
    <t>FrkDAk3H96k</t>
  </si>
  <si>
    <t>2016 11 09</t>
  </si>
  <si>
    <t>https://youtu.be/bnWR-Gtrh8A</t>
  </si>
  <si>
    <t>Astronaut at a Glance  Jack Fischer</t>
  </si>
  <si>
    <t>A short autobiographical summary of Jack Fischer.
HD download link: https://archive.org/details/NASAAstronautBiographicalVideos</t>
  </si>
  <si>
    <t>bnWR-Gtrh8A</t>
  </si>
  <si>
    <t>2016 11 03</t>
  </si>
  <si>
    <t>https://youtu.be/fkuuA7Z2x2Y</t>
  </si>
  <si>
    <t>Space to Ground  Picture Perfect Landing  11 03 2016</t>
  </si>
  <si>
    <t>fkuuA7Z2x2Y</t>
  </si>
  <si>
    <t>2016 11 02</t>
  </si>
  <si>
    <t>https://youtu.be/sSfeJ8qaG7Q</t>
  </si>
  <si>
    <t>October Highlights</t>
  </si>
  <si>
    <t>October saw three new crew members aboard a Soyuz spacecraft and a Cygnus resupply ship launch to the space station before another crew landed after 115 days in space.</t>
  </si>
  <si>
    <t>sSfeJ8qaG7Q</t>
  </si>
  <si>
    <t>https://youtu.be/iGE81m_c1gA</t>
  </si>
  <si>
    <t>Monthly ISS Research Video Update for October 2016</t>
  </si>
  <si>
    <t>See the highlights of recent research conducted on the International Space Station during October.</t>
  </si>
  <si>
    <t>iGE81m_c1gA</t>
  </si>
  <si>
    <t>2016 11 01</t>
  </si>
  <si>
    <t>https://youtu.be/Y-qZMOTT-OM</t>
  </si>
  <si>
    <t>Space Station Astronauts Arrive in Houston for Homecoming</t>
  </si>
  <si>
    <t>Expedition 49 crew members Kate Rubins of NASA and Takuya Onishi of the Japan Aerospace Exploration Agency returned to Ellington Field near the Johnson Space Center in Houston early Oct. 31, just over 24 hours after landing in Kazakhstan aboard the Soyuz MS-01 spacecraft with cosmonaut Anatoly Ivanishin of Roscosmos. The trio wrapped up a 115-day mission on the International Space Station on Oct. 29. The scientific work of the mission continues, however, as Rubins and Onishi begin a series of post-flight medical tests.
HD download link: https://archive.org/details/Expedition49ResourceReel</t>
  </si>
  <si>
    <t>Y-qZMOTT-OM</t>
  </si>
  <si>
    <t>https://youtu.be/VLnPaP2fGYE</t>
  </si>
  <si>
    <t>Mars Materials Exposed!</t>
  </si>
  <si>
    <t>To build the better spaceship of the future, NASA is exposing potential building materials to space today outside the International Space Station.  Kim de Groh, a senior materials scientist at NASA’s Glenn Research Center, explains how they use the Materials on International Space Station Experiment (MISSE) to learn how those materials hold up in the space environment.  Coin-sized specimens—including advanced solar cells, spacecraft materials, and computing devices—are set in a container outside the station to be exposed to vacuum, ultraviolet radiation, direct sunlight and extreme heat and cold.  Many of these phenomena also occur on Earth, which means MISSE results can improve terrestrial designs, too.
You can learn more about MISSE here http://www.nasa.gov/mission_pages/station/research/news/materials_international_space_station
For more on ISS science, visit us online:
https://www.nasa.gov/mission_pages/station/research/index.html
www.twitter.com/iss_research
HD download link: https://archive.org/details/TheSpaceProgram
_______________________________________
FOLLOW THE SPACE STATION!
Twitter: https://twitter.com/Space_Station
Facebook: https://www.facebook.com/ISS
Instagram: https://instagram.com/iss/</t>
  </si>
  <si>
    <t>VLnPaP2fGYE</t>
  </si>
  <si>
    <t>https://youtu.be/bhPNNIiuEzI</t>
  </si>
  <si>
    <t>NASA on the Edge of Forever  Science in Space</t>
  </si>
  <si>
    <t>For 50 years, Star Trek has inspired generations of scientists, engineers, and even astronauts to reach beyond their grasp, to help create a future for humanity with limitless potential. 
Warp drives, phasers, and transporters might be what you picture when you think of Star Trek.  But some of the show's other scientific concepts are actually being researched and utilized aboard humanity's laboratory in the sky - The International Space Station.
HD download link: https://archive.org/details/ISSBenefitsforHumanity
_______________________________________
FOLLOW THE SPACE STATION!
Twitter: https://twitter.com/Space_Station
Facebook: https://www.facebook.com/ISS
Instagram: https://instagram.com/iss/</t>
  </si>
  <si>
    <t>bhPNNIiuEzI</t>
  </si>
  <si>
    <t>https://youtu.be/dMNCth_vgr0</t>
  </si>
  <si>
    <t>Expedition 50-51 Crew Departs for Kazakh Launch Site</t>
  </si>
  <si>
    <t>Expedition 50-51 Soyuz Commander Oleg Novitskiy of Roscosmos and Flight Engineers Peggy Whitson of NASA and Thomas Pesquet of the European Space Agency along with their backups, Fyodor Yurchikhin of Roscosmos, Jack Fischer of NASA and Paolo Nespoli of the European Space Agency participated in traditional ceremonies at the Gagarin Cosmonaut Training Center in Star City, Russia, outside Moscow Nov. 1. Afterward, they departed for the Baikonur Cosmodrome in Kazakhstan to complete their training for the launch of Novitskiy, Whitson and Pesquet on the Soyuz MS-03 spacecraft Nov. 18, Kazakh time, for a five-month mission on the International Space Station.
FOLLOW THE SPACE STATION!
Twitter: https://twitter.com/Space_Station 
Facebook: https://www.facebook.com/ISS
Instagram: https://instagram.com/iss/</t>
  </si>
  <si>
    <t>dMNCth_vgr0</t>
  </si>
  <si>
    <t>2016 10 27</t>
  </si>
  <si>
    <t>https://youtu.be/HxwHl35LhGQ</t>
  </si>
  <si>
    <t>Space to Ground  Three Up, Three Down  10 27 2016</t>
  </si>
  <si>
    <t>HxwHl35LhGQ</t>
  </si>
  <si>
    <t>2016 10 26</t>
  </si>
  <si>
    <t>https://youtu.be/qam7K5H6Rqo</t>
  </si>
  <si>
    <t>Expedition 50-51 Crew Conducts Ceremonies  Russia</t>
  </si>
  <si>
    <t>Expedition 50-51 Soyuz Commander Oleg Novitskiy of Roscosmos and Flight Engineers Peggy Whitson of NASA and Thomas Pesquet of the European Space Agency along with their backups, Fyodor Yurchikhin of Roscosmos, Jack Fischer of NASA and Paolo Nespoli of the European Space Agency visited the Gagarin Museum where they viewed historic space artifacts at the Gagarin Cosmonaut Training Center in Star City, Russia Oct. 26, then visited Red Square in Moscow for traditional ceremonies. Novitskiy, Whitson and Pesquet are scheduled to launch on Nov. 16, Kazakh time, from the Baikonur Cosmodrome in Kazakhstan in the Soyuz MS-03 spacecraft for a five-month mission on the International Space Station.
________________________________________
FOLLOW THE SPACE STATION!
Twitter: https://twitter.com/Space_Station 
Facebook: https://www.facebook.com/ISS
Instagram: https://instagram.com/iss/</t>
  </si>
  <si>
    <t>qam7K5H6Rqo</t>
  </si>
  <si>
    <t>2016 10 25</t>
  </si>
  <si>
    <t>https://youtu.be/BtlJaI3yu2E</t>
  </si>
  <si>
    <t>Expedition 50-51 Crew Undergoes Final Training Outside Moscow</t>
  </si>
  <si>
    <t>Expedition 50-51 Soyuz Commander Oleg Novitskiy of Roscosmos and Flight Engineers Peggy Whitson of NASA and Thomas Pesquet of the European Space Agency conducted final qualification training at the Gagarin Cosmonaut Training Center in Star City, Russia Oct. 20 and 21.</t>
  </si>
  <si>
    <t>BtlJaI3yu2E</t>
  </si>
  <si>
    <t>2016 10 24</t>
  </si>
  <si>
    <t>https://youtu.be/SYHR3UgOhhs</t>
  </si>
  <si>
    <t>Try This  Spacesuit Gloves</t>
  </si>
  <si>
    <t>Does the suit that protects astronauts out in space also make it easy for them to do their jobs?  Members of the NASA Intern Repertory Drama Society (NIRDS) answer that question by trying a few simple tasks while wearing the gloves that astronauts wear during spacewalks.  The results will help you understand why there are no buttons on spacesuits.
_______________________________________
FOLLOW THE SPACE STATION!
Twitter: https://twitter.com/Space_Station
Facebook: https://www.facebook.com/ISS
Instagram: https://instagram.com/iss/</t>
  </si>
  <si>
    <t>SYHR3UgOhhs</t>
  </si>
  <si>
    <t>2016 10 20</t>
  </si>
  <si>
    <t>https://youtu.be/g0day1xpTzU</t>
  </si>
  <si>
    <t>Space to Ground  Smoke and Fire  10 20 2016</t>
  </si>
  <si>
    <t>g0day1xpTzU</t>
  </si>
  <si>
    <t>2016 10 19</t>
  </si>
  <si>
    <t>https://youtu.be/QfPbemSzFRw</t>
  </si>
  <si>
    <t>A Moment With Shane Kimbrough</t>
  </si>
  <si>
    <t>A moment with Shane Kimbrough.
HD download link: https://archive.org/details/Expedition50ResourceReel</t>
  </si>
  <si>
    <t>QfPbemSzFRw</t>
  </si>
  <si>
    <t>https://youtu.be/8MpiIFUo8QM</t>
  </si>
  <si>
    <t>Expedition 49-50 Launches to the International Space Station</t>
  </si>
  <si>
    <t>Expedition 49-50 Soyuz Commander Sergey Ryzhikov and Flight Engineer Andrey Borisenko of Roscosmos and Flight Engineer Shane Kimbrough of NASA launched on the Russian Soyuz MS-02 spacecraft on Oct. 19 from the Baikonur Cosmodrome in Kazakhstan to begin a two-day journey to the International Space Station and the start of a four-month mission. 
________________________________________
FOLLOW THE SPACE STATION!
Twitter: https://twitter.com/Space_Station 
Facebook: https://www.facebook.com/ISS
Instagram: https://instagram.com/iss/</t>
  </si>
  <si>
    <t>8MpiIFUo8QM</t>
  </si>
  <si>
    <t>https://youtu.be/FW-3A78OeNw</t>
  </si>
  <si>
    <t>New Crew Launches on Two-Day Trip to Station</t>
  </si>
  <si>
    <t>Three new Expedition 49-50 crew members launched aboard the Soyuz MS-02 spacecraft from the Baikonur Cosmodrome in Kazakhstan at 4:05 a.m. EDT Wednesday, Oct. 19. http://go.nasa.gov/2eghasp</t>
  </si>
  <si>
    <t>FW-3A78OeNw</t>
  </si>
  <si>
    <t>https://youtu.be/H0QbMJqqQwk</t>
  </si>
  <si>
    <t>The Soyuz Rolls Out to the Launch Pad</t>
  </si>
  <si>
    <t>Watch as the Soyuz MS-02 spacecraft is assembled, rolled out to the launch pad and raised into position at the Baikonur Cosmodrome in Kazakhstan before Wednesday morning's launch of three new crew members to the space station.</t>
  </si>
  <si>
    <t>H0QbMJqqQwk</t>
  </si>
  <si>
    <t>2016 10 18</t>
  </si>
  <si>
    <t>https://youtu.be/FRhIcs3cvJc</t>
  </si>
  <si>
    <t>5 Things You Didn't Know About Astronaut Shane Kimbrough</t>
  </si>
  <si>
    <t>After years of training NASA astronaut Shane Kimbrough is only days away from launching on a long-duration mission to the International Space Station, so there’s not much left to say, right?  Wrong!  Here are five secrets about his past that the Texas native and retired Army officer hasn’t told us, until now.
HD download link: https://archive.org/details/TheSpaceProgram
_______________________________________
FOLLOW THE SPACE STATION!
Twitter: https://twitter.com/Space_Station
Facebook: https://www.facebook.com/ISS
Instagram: https://instagram.com/iss/</t>
  </si>
  <si>
    <t>FRhIcs3cvJc</t>
  </si>
  <si>
    <t>https://youtu.be/Sic9M7qGV9g</t>
  </si>
  <si>
    <t>Exploring Heart Cells in Space</t>
  </si>
  <si>
    <t>Space researcher Kate Rubins, who is returning home in two weeks, explored heart cells in space. Those cells were returned to Earth in August by SpaceX for analysis by scientists to improve heart health.</t>
  </si>
  <si>
    <t>Sic9M7qGV9g</t>
  </si>
  <si>
    <t>2016 10 14</t>
  </si>
  <si>
    <t>https://youtu.be/ouDKD9G9jOE</t>
  </si>
  <si>
    <t>Everything About Living in Space</t>
  </si>
  <si>
    <t>With only five minutes but an unlimited number of questions, you can find out what it’s really like to live on the International Space Station—if you also have NASA astronaut Reid Wiseman, who spent 165 days in space during Expeditions 40 and 41 in 2014.  Listen as Wiseman answers the questions you would ask about real life in zero g: how big is the space station, is it very hot or cold there, was the food any good, did you prank-call anyone from orbit, and many many more.
HD download link: https://archive.org/details/TheSpaceProgram
_______________________________________
FOLLOW THE SPACE STATION!
Twitter: https://twitter.com/Space_Station
Facebook: https://www.facebook.com/ISS
Instagram: https://instagram.com/iss/</t>
  </si>
  <si>
    <t>ouDKD9G9jOE</t>
  </si>
  <si>
    <t>https://youtu.be/oKZvYztlpp4</t>
  </si>
  <si>
    <t>Space to Ground  Astronaut Energy  10 14 2016</t>
  </si>
  <si>
    <t>oKZvYztlpp4</t>
  </si>
  <si>
    <t>2016 10 13</t>
  </si>
  <si>
    <t>https://youtu.be/7FLi1uby_u4</t>
  </si>
  <si>
    <t>Crew Prepares for October 19th Launch</t>
  </si>
  <si>
    <t>At the Baikonur Cosmodrome in Kazakhstan, Expedition 49-50 Soyuz Commander Sergey Ryzhikov and Flight Engineer Andrey Borisenko of Roscosmos and Flight Engineer Shane Kimbrough of NASA along with their backups, Alexander Misurkin and Nikolai Tikhonov of Roscosmos and Flight Engineer Mark Vande Hei of NASA participated in a variety of activities Oct. 7-13 as they prepared for the launch of Kimbrough, Ryzhikov and Borisenko Oct. 19 on the Soyuz MS-02 spacecraft for a four-month mission on the International Space Station.
________________________________________
FOLLOW THE SPACE STATION!
Twitter: https://twitter.com/Space_Station 
Facebook: https://www.facebook.com/ISS
Instagram: https://instagram.com/iss/</t>
  </si>
  <si>
    <t>7FLi1uby_u4</t>
  </si>
  <si>
    <t>https://youtu.be/TJbk9c594t8</t>
  </si>
  <si>
    <t>Hurricane Nicole over Bermuda</t>
  </si>
  <si>
    <t>From an altitude of 252 miles, cameras outside the International Space Station captured new views of Hurricane Nicole Oct. 13 at 1:40 p.m. EDT as it passed directly over Bermuda, packing winds of 120 miles an hour. Nicole moved past Bermuda by mid-afternoon, but not before creating eight-foot storm surges and resulting flooding to the island.</t>
  </si>
  <si>
    <t>TJbk9c594t8</t>
  </si>
  <si>
    <t>https://youtu.be/QR0orgqkLi0</t>
  </si>
  <si>
    <t>Orion Backstage  Navy diver Beau Lontine prepares for Orion recovery</t>
  </si>
  <si>
    <t>When NASA’s Orion returns to Earth after traveling more than 40,000 miles beyond the moon during its next mission and splashes down in the Pacific Ocean, a team from the U.S. military will help secure Orion and safely return it back to land. U.S. Navy diver Beau Lontine and a team from the U.S. Navy, Coast Guard, Air Force and NASA practiced Orion recovery techniques in the Neutral Buoyancy Laboratory at Johnson Space Center in Houston, the facility where astronauts train for spacewalks. The evaluations help the team prepare for an upcoming series of tests off the Coast of San Diego in October where they’ll check out the hardware and operations they’ll use to secure Orion after its first test flight of Orion with the agency’s Space Launch System rocket in late 2018. The testing all helps pave the way for Orion flights with astronauts.</t>
  </si>
  <si>
    <t>QR0orgqkLi0</t>
  </si>
  <si>
    <t>2016 10 12</t>
  </si>
  <si>
    <t>https://youtu.be/lylmTYVwEro</t>
  </si>
  <si>
    <t>Hurricane Nicole From Space</t>
  </si>
  <si>
    <t>Cameras outside the International Space Station captured views of Hurricane Nicole Oct. 12 at 1:37 p.m. EDT as it moved north at about 8 miles an hour, packing winds of 100 miles an hour. The hurricane is forecast to pass over or near to Bermuda on Oct. 13. As a result, engineers involved in Eastern range operations opted to dismantle antennas on the Bermuda tracking station and other equipment as a precautionary measure. The possible effects of the hurricane at the Bermuda tracking station coupled with routine pre-launch operations at the Wallops Flight Facility, Virginia has resulted in a no earlier than launch date of Oct. 16 for the Orbital/ATK Cygnus cargo craft to the orbital outpost.
________________________________________
FOLLOW THE SPACE STATION!
Twitter: https://twitter.com/Space_Station 
Facebook: https://www.facebook.com/ISS
Instagram: https://instagram.com/iss/</t>
  </si>
  <si>
    <t>lylmTYVwEro</t>
  </si>
  <si>
    <t>2016 10 07</t>
  </si>
  <si>
    <t>https://youtu.be/72ca0opq92Y</t>
  </si>
  <si>
    <t>Space to Ground  A Churning Storm  10 07 2016</t>
  </si>
  <si>
    <t>72ca0opq92Y</t>
  </si>
  <si>
    <t>2016 10 06</t>
  </si>
  <si>
    <t>https://youtu.be/rfVNn_Y4Onc</t>
  </si>
  <si>
    <t>Hurricane Matthew from the Space Station - Oct. 6 (speed x4)</t>
  </si>
  <si>
    <t>Cameras outside the station captured new views today of massive Hurricane Matthew as it flew 250 miles overhead at 4:45pm ET. At the time of the flyover, Matthew was moving to the northwest through the Bahamas as a Category 4 hurricane that is expected to strike the east coast of Florida and track up the Space Coast Oct. 7 with winds that are expected to reach a destructive 145 miles an hour, according to the National Hurricane Center.</t>
  </si>
  <si>
    <t>rfVNn_Y4Onc</t>
  </si>
  <si>
    <t>https://youtu.be/cA5OJr3X0vg</t>
  </si>
  <si>
    <t>Welcome to NASA (Based off Flo Rida’s  My House )</t>
  </si>
  <si>
    <t>“Welcome to NASA” is an outreach video project created by interns at NASA's Johnson Space Center. It was based off of Flo Rida’s “My House” to raise interest for NASA's Journey to Mars.  The lyrics and scenes in the video have been re-imagined in order to inform the public about the amazing work going on at NASA and the Johnson Space Center. 
Learn more about NASA: http://www.nasa.gov   
Learn more about the Journey to Mars: http://www.nasa.gov/journeytomars
Learn more about Orion: http://www.nasa.gov/orion
For students interested in NASA’s Johnson Space Center: 
http://pathways.jsc.nasa.gov 
https://intern.nasa.gov/ 
http://www.facebook.com/nasa.jsc.students  
http://www.twitter.com/nasajscstudents  
http://instagram.com/nasajscstudents
Special thanks to: Megan Sumner
Created, produced, and edited by NASA Johnson Space Center Interns.
Lyrics:
Open up the airlock, pop!
It's NASA, come on, turn it up
hear the "go" from control and the count begins
cause we ain't done this before so strap on in
make yourself at home here on Orion
here we go, launch off, carried by SLS
hear the voice in my ear
taking off with no fear
yeah, we know mars ain't near
but we know NASA is here, here
Welcome to NASA
Houston take control now
our scientists know how
to get us off the ground
welcome to johnson
at nbl you dive
in the humid heat we thrive
check out our saturn five
welcome to Johnson 
welcome to NASA
almost there and you know that we just can't wait
thinking 'bout walkin' out doin' EVAs
six months have passed, we wanna celebrate
touch down on mars, time to stretch our legs
to the planet that's red
got helmets on our head
trekkin' through the stars
we're gonna live on mars, mars
Journey to red mars
Orion, take us there now
It's a six month flight, wow
sun light never fades out
on our flight to mars
eat that astro food now
space experiments wow
fly that EVA out
Journey to red mars
Journey to red mars
Welcome to our home, the sky, the rocks, the hab
and our home is awesome, we got rovers out back
excuse me if my step imprints the land
explore the terrain and area pathfinder has passed
undock, suit up, pick rocks, test
mi mundo es tu mundo, and we will be going back
another walk with Whatney, his garden is the best
it's our home, just relax
welcome to red mars
all our days are slower
our gravity is lower
hi to all the rovers
welcome to our home
got a lab on red sand
start a Martian rockband
we're our only fans
welcome to our home
welcome to NASA
Welcome to NASA
It's NASA</t>
  </si>
  <si>
    <t>cA5OJr3X0vg</t>
  </si>
  <si>
    <t>2016 10 05</t>
  </si>
  <si>
    <t>https://youtu.be/1hErxDJC-Yw</t>
  </si>
  <si>
    <t>Hurricane Matthew from the Space Station on Oct. 5 (speed x4)</t>
  </si>
  <si>
    <t>SPACE STATION CAMERAS CAPTURE MENACING HURRICANE MATTHEW
Cameras on the International Space Station captured new views of Hurricane Matthew at 4 p.m. Eastern time Oct. 5 as the Category 3 storm moved to the north of Cuba toward the Bahamas at about 12 miles an hour, packing winds of 120 miles an hour. After inflicting major damage to western Haiti and eastern Cuba, Matthew is heading toward the east coast of Florida where it could pass close to or over NASA’s Kennedy Space Center. The National Hurricane Center has issued hurricane warnings from north of Golden Beach, Florida to the Flagler/Volusia county line to Lake Okeechobee.
HD download link: https://www.archive.org/details/Expedition49ResourceReel</t>
  </si>
  <si>
    <t>1hErxDJC-Yw</t>
  </si>
  <si>
    <t>https://youtu.be/86aWDx5SQas</t>
  </si>
  <si>
    <t>NASA + JAXA = Partners in Space</t>
  </si>
  <si>
    <t>NASA announced the continuation of the successful collaboration with the Japan Aerospace Exploration Agency (JAXA) with the recent signing of an agreement to encourage scientists from both countries to use International Space Station hardware located in both countries’ laboratories.  JAXA’s Tetesuya Sakashita, the science integration manager for JAXA’s “Kibo” laboratory module, talks about plans to expand on investigations in microgravity including inviting more countries to participate in this unique orbiting laboratory.
To learn more about this new program of cooperation, check out this recent article posted at NASA.gov:
http://www.nasa.gov/mission_pages/station/research/news/nasa_jaxa_partnership
HD download link: https://archive.org/details/TheSpaceProgram
_______________________________________
FOLLOW THE SPACE STATION!
Twitter: https://twitter.com/Space_Station
Facebook: https://www.facebook.com/ISS
Instagram: https://instagram.com/iss/</t>
  </si>
  <si>
    <t>86aWDx5SQas</t>
  </si>
  <si>
    <t>2016 10 04</t>
  </si>
  <si>
    <t>https://youtu.be/Z8huapsaouU</t>
  </si>
  <si>
    <t>Hurricane Matthew from the Space Station on Oct. 3 (speed x4)</t>
  </si>
  <si>
    <t>SPACE STATION CAMERAS CAPTURE DRAMATIC VIEWS OF HURRICANE MATTHEW
Cameras outside the International Space Station captured dramatic views of major Hurricane Matthew Oct. 3 as the orbital complex flew 250 miles over the storm at 4:15 p.m. EDT. Packing winds of 140 miles an hour as a Category 4 hurricane, Matthew was expected to pass over western Haiti and eastern Cuba Oct. 4 before charging north over the Bahamas Oct. 5 and potentially threatening the east coast of the United States later in the week.
HD download link: https://archive.org/details/Expedition49ResourceReel</t>
  </si>
  <si>
    <t>Z8huapsaouU</t>
  </si>
  <si>
    <t>2016 10 01</t>
  </si>
  <si>
    <t>https://youtu.be/BCWNcYsKRNA</t>
  </si>
  <si>
    <t>September Highlights on the Station</t>
  </si>
  <si>
    <t>September was filled with a wide variety of space research, a spacewalk, a crew departure and a launch postponement.</t>
  </si>
  <si>
    <t>BCWNcYsKRNA</t>
  </si>
  <si>
    <t>2016 09 30</t>
  </si>
  <si>
    <t>https://youtu.be/oz9RGRMy7LI</t>
  </si>
  <si>
    <t>Space to Ground  Knock Knock  09 30 2016</t>
  </si>
  <si>
    <t>oz9RGRMy7LI</t>
  </si>
  <si>
    <t>2016 09 29</t>
  </si>
  <si>
    <t>https://youtu.be/ndP1GpMgORA</t>
  </si>
  <si>
    <t>The Highest Climb</t>
  </si>
  <si>
    <t>Ascending the sheer face of a mountain cliff takes physical stamina and mental toughness; imagine what it takes when you’re more than a million feet above sea level, and the mountain is moving more than five miles a second?  Welcome to spacewalking on the International Space Station!  These images were captured during spacewalks performed by NASA astronauts Jeff Williams and Kate Rubins in August and September, 2016.
HD download link: https://archive.org/details/TheSpaceProgram
_______________________________________
FOLLOW THE SPACE STATION!
Twitter: https://twitter.com/Space_Station
Facebook: https://www.facebook.com/ISS
Instagram: https://instagram.com/iss/</t>
  </si>
  <si>
    <t>ndP1GpMgORA</t>
  </si>
  <si>
    <t>2016 09 28</t>
  </si>
  <si>
    <t>https://youtu.be/z69uruiFH_I</t>
  </si>
  <si>
    <t>The Doctor Is In</t>
  </si>
  <si>
    <t>Dr. Sanjay Gupta is a surgeon and the medical correspondent for CNN where his reports are watched by millions around the world. He was also one of the keynote speakers at the 2016 International Space Station R&amp;D Conference in San Diego where he led a discussion with Mark and Scott Kelly, veteran NASA astronauts and subjects of the Twins Study. (Scott spent nearly an entire year in orbit collecting bodily fluid samples and conducting experiments on the space station. Meanwhile, his brother Mark would undergo many of the same tests and collect the same samples so scientists can compare data from genetically identical humans.)
We caught up with Gupta after the talk in San Diego and he told us why he feels the station is such an important resource for science and if he would ever go into space himself.
HD download link: https://archive.org/details/TheSpaceProgram
______________________________________ 
For more on ISS science, visit us online:
https://www.nasa.gov/mission_pages/station/research/index.html
www.twitter.com/iss_research
_______________________________________
FOLLOW THE SPACE STATION!
Twitter: https://twitter.com/Space_Station
Facebook: https://www.facebook.com/ISS
Instagram: https://instagram.com/iss/</t>
  </si>
  <si>
    <t>z69uruiFH_I</t>
  </si>
  <si>
    <t>2016 09 26</t>
  </si>
  <si>
    <t>https://youtu.be/MTebNwoHhDY</t>
  </si>
  <si>
    <t>Space to Ground  Launch Delay  09 26 2016</t>
  </si>
  <si>
    <t>MTebNwoHhDY</t>
  </si>
  <si>
    <t>2016 09 22</t>
  </si>
  <si>
    <t>https://youtu.be/70GrihLXmSs</t>
  </si>
  <si>
    <t>Orion Backstage  Evaluating Radiation Protection Plans for Astronauts</t>
  </si>
  <si>
    <t>When astronauts in Orion venture far beyond Earth into deep space, they will expand humanity’s frontier and push the boundaries of exploration. While the spacecraft is designed with systems and materials to keep the crew safe during their journey, leaving the protection of Earth’s magnetosphere exposes astronauts to a radiation environment in space that scientists and engineers at Johnson Space Center in Houston are working hard to protect against. 
To protect themselves in the case of a radiation event, such as a solar flare, astronauts will position themselves in the central part of the crew module largely reserved for storing items they’ll need during flight and create a shelter using the stowage bags on board. The method protects the crew by increasing mass directly surrounding them, and therefore making a denser environment that solar particles would have to travel through, while not adding mass to the crew module itself.</t>
  </si>
  <si>
    <t>70GrihLXmSs</t>
  </si>
  <si>
    <t>2016 09 16</t>
  </si>
  <si>
    <t>https://youtu.be/VwmmNwFnPvk</t>
  </si>
  <si>
    <t>Expedition 49-50 Crew Prepares for Launch in Kazakhstan160916</t>
  </si>
  <si>
    <t>At the Baikonur Cosmodrome in Kazakhstan, Expedition 49-50 Soyuz Commander Sergey Ryzhikov and Flight Engineer Andrey Borisenko of Roscosmos and Flight Engineer Shane Kimbrough of NASA along with their backups, Alexander Misurkin and Nikolai Tikhonov of Roscosmos and Flight Engineer Mark Vande Hei of NASA participated in a variety of activities Sept. 8-16 as they prepared for the launch of Kimbrough, Ryzhikov and Borisenko Sept. 24, Kazakh time, on the Soyuz MS-02 spacecraft for a five-month mission on the International Space Station.</t>
  </si>
  <si>
    <t>VwmmNwFnPvk</t>
  </si>
  <si>
    <t>https://youtu.be/qPSiGT1JYWk</t>
  </si>
  <si>
    <t>Space to Ground  Be Cool  09 16 2016</t>
  </si>
  <si>
    <t>qPSiGT1JYWk</t>
  </si>
  <si>
    <t>2016 09 15</t>
  </si>
  <si>
    <t>https://youtu.be/lwt6_ntY7lI</t>
  </si>
  <si>
    <t>Expedition 49-50 Crew Visits Red Square for Traditional Ceremonies</t>
  </si>
  <si>
    <t>Expedition 49-50 Soyuz Commander Sergey Ryzhikov and Flight Engineer Andrey Borisenko of Roscosmos and Flight Engineer Shane Kimbrough of NASA  visited Red Square in Moscow for traditional ceremonies. Ryzhikov, Kimbrough and Borisenko are scheduled to launch on Sept. 24 Kazakh time, from the Baikonur Cosmodrome in Kazakhstan in the Soyuz MS-02 spacecraft for a five-month mission on the International Space Station.</t>
  </si>
  <si>
    <t>lwt6_ntY7lI</t>
  </si>
  <si>
    <t>2016 09 14</t>
  </si>
  <si>
    <t>https://youtu.be/5zSKAoEFD5c</t>
  </si>
  <si>
    <t>A Gut Feeling</t>
  </si>
  <si>
    <t>There’s three pounds of bacteria in your gut, and scientists are learning more about how those bacteria impact human health here on Earth and in space.  Dr. Fred Turek of Northwestern University’s Center for Sleep and Circadian Biology is studying that bacteria in astronauts on the International Space Station to learn whether it could pose a threat during future missions out into the solar system.
HD download link: https://archive.org/details/TheSpaceProgram
________________________________________
FOLLOW THE SPACE STATION!
Twitter: https://twitter.com/Space_Station
Facebook: https://www.facebook.com/ISS
Instagram: https://instagram.com/iss/</t>
  </si>
  <si>
    <t>5zSKAoEFD5c</t>
  </si>
  <si>
    <t>2016 09 13</t>
  </si>
  <si>
    <t>https://youtu.be/rgFeAcnF9tY</t>
  </si>
  <si>
    <t>Preparing America for Deep Space Exploration Episode 14  Fired Up</t>
  </si>
  <si>
    <t>NASA is pressing full steam ahead toward sending humans farther than ever before. Take a look at the work being done by teams across the nation for NASA’s deep space human exploration programs, including the Space Launch System, Orion and the Ground Systems Development and Operations Programs, as they continue to propel human spaceflight into the next generation. Highlights from the second quarter of 2016 included the installation of platforms in NASA Kennedy Space Center’s Vehicle Assembly Building in preparation for launch vehicle processing, relocation of the Orion crew module to prepare for propulsion tube welding and the second ground-based qualification test of the Space Launch System’s five-segment booster.
HD download link: https://archive.org/details/PreparingAmericaforDeepSpaceExploration</t>
  </si>
  <si>
    <t>rgFeAcnF9tY</t>
  </si>
  <si>
    <t>2016 09 09</t>
  </si>
  <si>
    <t>https://youtu.be/0HoLtbcIsDQ</t>
  </si>
  <si>
    <t>Astronaut at a Glance  Douglas Hurley</t>
  </si>
  <si>
    <t>A short autobiographical summary of Douglas Hurley.</t>
  </si>
  <si>
    <t>0HoLtbcIsDQ</t>
  </si>
  <si>
    <t>https://youtu.be/3DX0pkZ1Qu4</t>
  </si>
  <si>
    <t>Space to Ground  Record Breaker  09 09 2016</t>
  </si>
  <si>
    <t>3DX0pkZ1Qu4</t>
  </si>
  <si>
    <t>2016 09 08</t>
  </si>
  <si>
    <t>https://youtu.be/lUHx9rFnKjM</t>
  </si>
  <si>
    <t>NASA  On the Edge of Forever - International Cooperation</t>
  </si>
  <si>
    <t>Star Trek first hit the airwaves in 1966 - a period of time when geopolitical tensions were at their highest. Not that you would know that by looking at the diverse crew of the Enterprise. The creators of Star Trek knew that if humans are to someday explore the universe, we would need to put aside our differences and boldly go forth as citizens of Earth.
NASA and its international partners adopted a similar model when conceiving humanity’s first International Space Station. They utilized the intelligence and resources of nations from around the globe.</t>
  </si>
  <si>
    <t>lUHx9rFnKjM</t>
  </si>
  <si>
    <t>2016 09 07</t>
  </si>
  <si>
    <t>https://youtu.be/E-B9uR74YQ4</t>
  </si>
  <si>
    <t>Expedition 48 Crew Receives a Warm Welcome in Kazakhstan</t>
  </si>
  <si>
    <t>Expedition 48 Commander Jeff Williams of NASA and Soyuz Commander Alexey Ovchinin and Oleg Skripochka of Roscosmos were greeted in a traditional ceremony at the airport in Karaganda, Kazakhstan Sept. 7, a few hours after landing in their Soyuz TMA-20M spacecraft in Kazakhstan near the town of Dzhezkazgan. After the ceremony, Ovchinin and Skripochka returned to their training base in Star City, Russia, while Williams returned to the U.S. The trio spent 172 days in space aboard the orbital laboratory. The footage includes an interview conducted with Williams at the Karaganda airport.</t>
  </si>
  <si>
    <t>E-B9uR74YQ4</t>
  </si>
  <si>
    <t>2016 09 02</t>
  </si>
  <si>
    <t>https://youtu.be/ssnUAN82T9g</t>
  </si>
  <si>
    <t>Dan Goes to Kazakhstan</t>
  </si>
  <si>
    <t>Four times a year, human beings plummet from outer space to land in the middle of Kazakhstan. 
Right now, crews serving on the International Space Station start and end their journeys in the central Asian country. When it’s time to come home, they strap in for a parachute landing in the middle of the spare and remote Kazakh steppe.
To bring their crew members home, a small NASA team makes the trip from Houston to Kazakhstan. NASA’s Dan Huot filmed one such trip in June 2016 when NASA’s Tim Kopra landed with British astronaut Tim Peake and Russian cosmonaut Yuri Malenchenko. 
Strap in. 
________________________________________
FOLLOW THE SPACE STATION!
Twitter: https://twitter.com/Space_Station 
Facebook: https://www.facebook.com/ISS
Instagram: https://instagram.com/iss/</t>
  </si>
  <si>
    <t>ssnUAN82T9g</t>
  </si>
  <si>
    <t>https://youtu.be/PNt6L9dWbZ0</t>
  </si>
  <si>
    <t>Space to Ground  Tracking the Tropics  09 02 2016</t>
  </si>
  <si>
    <t>PNt6L9dWbZ0</t>
  </si>
  <si>
    <t>2016 08 31</t>
  </si>
  <si>
    <t>https://youtu.be/_406gfSToBs</t>
  </si>
  <si>
    <t>Space Station Live  The  Almost  Human Touch</t>
  </si>
  <si>
    <t>NASA Commentator Lori Meggs speaks with Dr. Lenore Rasmussen about results from Synthetic Muscle, her investigation on board the International Space Station.  This materials experiment could lead to better coatings for robotics in the harsh environment of space and more human-like prosthetics on Earth.
Read more about the Synthetic Muscle investigation... http://www.nasa.gov/mission_pages/station/research/news/synthetic_muscle
________________________________________
FOLLOW THE SPACE STATION!
Twitter: https://twitter.com/Space_Station 
Facebook: https://www.facebook.com/ISS
Instagram: https://instagram.com/iss/</t>
  </si>
  <si>
    <t>_406gfSToBs</t>
  </si>
  <si>
    <t>2016 08 30</t>
  </si>
  <si>
    <t>https://youtu.be/5d-lCAlfr5s</t>
  </si>
  <si>
    <t>Station Orbits Over Three Hurricanes</t>
  </si>
  <si>
    <t>This time-lapse video taken from the space station on Aug. 30 shows Hurricanes Lester and Madeline in the Pacific Ocean, then Gaston in the Atlantic Ocean.</t>
  </si>
  <si>
    <t>5d-lCAlfr5s</t>
  </si>
  <si>
    <t>https://youtu.be/gdouU1IN8TQ</t>
  </si>
  <si>
    <t>Space Station Cameras Capture Tropical Systems in the Pacific and the Atlantic</t>
  </si>
  <si>
    <t>Cameras outside the International Space Station captured spectacular views Aug. 30 from 257 miles above the Earth of three powerful tropical systems churning across the Pacific and Atlantic Oceans.
In order, Hurricane Lester is seen as it moves westward across the Pacific packing winds of 125 miles an hour. It is followed by video of Hurricane Madeline as it moved westerly across the Pacific as well, with winds in excess of 130 miles an hour. Both storms were on a track that could threaten the big island of Hawaii in the days ahead. Lastly, the station cameras captured a view of Hurricane Gaston as it churned across the open Atlantic with winds of 100 miles an hour.
________________________________________
FOLLOW THE SPACE STATION!
Twitter: https://twitter.com/Space_Station 
Facebook: https://www.facebook.com/ISS
Instagram: https://instagram.com/iss/</t>
  </si>
  <si>
    <t>gdouU1IN8TQ</t>
  </si>
  <si>
    <t>2016 08 29</t>
  </si>
  <si>
    <t>https://youtu.be/02TYu73B3jc</t>
  </si>
  <si>
    <t>Animation of Sept. 1 Space Station Spacewalk</t>
  </si>
  <si>
    <t>This animation depicts the activities spacewalkers Jeff Williams and Kate Rubins will perform Sept. 1.
Working on the port side of the orbiting complex’s backbone, or truss, Expedition 48 Commander Jeff Williams and Flight Engineer Kate Rubins of NASA will retract a thermal radiator that is part of the station’s cooling system. The radiator is a backup that had been deployed previously as part of an effort to fix an ammonia coolant leak. They’ll also tighten struts on a solar array joint, and install the first of several enhanced high-definition television cameras that will be used to monitor activities outside the station, including the comings and goings of visiting cargo and crew vehicles.
Coverage of the spacewalk will begin at 6:30 a.m. EDT Sept. 1, on NASA TV and the agency’s website, with the spacewalk scheduled to begin at 8:05 a.m.
Watch live on YouTube at https://www.youtube.com/watch?v=UdmHHpAsMVw or online at www.nasa.gov/ntv.
________________________________________
FOLLOW THE SPACE STATION!
Twitter: https://twitter.com/Space_Station 
Facebook: https://www.facebook.com/ISS 
Instagram: https://instagram.com/iss/
Web: https://www.nasa.gov/station</t>
  </si>
  <si>
    <t>02TYu73B3jc</t>
  </si>
  <si>
    <t>https://youtu.be/TplYDB_csf8</t>
  </si>
  <si>
    <t>Benefits for Humanity  Know Your Water</t>
  </si>
  <si>
    <t>What if that clear, sparkling stream coming from the ground or a faucet were teeming with contaminants? How would you know? 
Whether you live in some remote region of Africa, a high rise in New York City or aboard an orbiting laboratory in space, you need reliable drinking water to survive. You now can check the cleanliness of your water using the mWater app on your mobile phone.
This handy tool, based in part on International Space Station technology, provides a global resource available for free download as an app or usable via the Web browser version of the app on most smart- phones. Governments, health workers and the public all can make use of mWater to record and share water test results. During the first year of the beta release of mWater, more than 1,000 users downloaded it and mapped several thousand water sources.
For more information: http://www.nasa.gov/mission_pages/station/research/benefits/mWater 
HD download link: https://archive.org/details/ISSBenefitsforHumanity</t>
  </si>
  <si>
    <t>TplYDB_csf8</t>
  </si>
  <si>
    <t>2016 08 26</t>
  </si>
  <si>
    <t>https://youtu.be/gZCtRccs1xo</t>
  </si>
  <si>
    <t>Space to Ground  520 Days and Counting  08 26 2016</t>
  </si>
  <si>
    <t>gZCtRccs1xo</t>
  </si>
  <si>
    <t>2016 08 25</t>
  </si>
  <si>
    <t>https://youtu.be/ZFd8gmUTGmw</t>
  </si>
  <si>
    <t>NASA Astronaut Jeff Williams Celebrates the National Park Service Centennial from Space</t>
  </si>
  <si>
    <t>NASA Astronaut Jeff Williams shares his photos and personal stories as he celebrates the 100th anniversary of the National Park Service.  Jeff’s affection for the National Parks began when he was a child.  His father was a seasonal park ranger serving at Devils Tower National Monument.  Now, his unique vantage point on the International Space Station provides an endless panorama of the natural beauty and awesome grandeur that is found in the National Parks.
_________________________________
FOLLOW JEFF WILLIAMS!
Facebook: https://www.facebook.com/NASAAstronautJeffWilliams/
Twitter: https://twitter.com/astro_jeff
Instagram: https://www.instagram.com/astro_jeffw/</t>
  </si>
  <si>
    <t>ZFd8gmUTGmw</t>
  </si>
  <si>
    <t>2016 08 24</t>
  </si>
  <si>
    <t>https://youtu.be/_403HWLU6Uk</t>
  </si>
  <si>
    <t>Scott Kelly Congratulates Jeff Williams on Breaking Record</t>
  </si>
  <si>
    <t>On Wednesday, Aug. 24, NASA astronaut and Expedition 48 Commander Jeff Williams surpassed 520 days living in space, breaking Scott Kelly’s previous record for most cumulative time spent in space by a U.S. astronaut, set during Kelly’s year-long mission.</t>
  </si>
  <si>
    <t>_403HWLU6Uk</t>
  </si>
  <si>
    <t>https://youtu.be/rXVILG8gLVo</t>
  </si>
  <si>
    <t>Space Station Live  Measuring Motor Skills</t>
  </si>
  <si>
    <t>Some of the simplest things you do become much more difficult when you’re trying to do them in zero g, and the Fine Motor Skills experiment on the International Space Station is finding out how much harder.  NASA Commentator Lori Meggs talks with Kritina Holden, the experiment’s principal investigator, about how she’s measuring station crew members’ adaptation to performing skills while in a weightless environment and what that data could mean for human capabilities during the future missions to deep space that are now on the drawing boards.
________________________________________
FOLLOW THE SPACE STATION!
Twitter: https://twitter.com/Space_Station 
Facebook: https://www.facebook.com/ISS
Instagram: https://instagram.com/iss/</t>
  </si>
  <si>
    <t>rXVILG8gLVo</t>
  </si>
  <si>
    <t>2016 08 23</t>
  </si>
  <si>
    <t>https://youtu.be/Z59pq5JHpnc</t>
  </si>
  <si>
    <t>NASA Public Affairs interviews Expedition 48 Crew About Upcoming Activities</t>
  </si>
  <si>
    <t>NASA Public Affairs Officer Rob Navias conducted an in-flight interview July 26, 2016 with International Space Station Expedition 48 Commander Jeff Williams and Flight Engineer Kate Rubins of NASA. Topics of discussion including their spacewalk Aug. 19 to install the first International Docking Adapter on the ISS for future use by U.S. commercial crew vehicles, station research work and the upcoming milestone on Aug. 24 when Williams surpasses former astronaut Scott Kelly’s record of 520 days in space, the most by an American astronaut.
________________________________________
FOLLOW THE SPACE STATION!
Twitter: https://twitter.com/Space_Station 
Facebook: https://www.facebook.com/ISS
Instagram: https://instagram.com/iss/</t>
  </si>
  <si>
    <t>Z59pq5JHpnc</t>
  </si>
  <si>
    <t>2016 08 22</t>
  </si>
  <si>
    <t>https://youtu.be/nbdrZ2JUOw0</t>
  </si>
  <si>
    <t>Benefits for Humanity  Engaging the Next Generation</t>
  </si>
  <si>
    <t>NASA is giving the engineers and scientists of tomorrow a chance to build real spaceflight hardware while still in school. 
High Schools United with NASA to Create Hardware (HUNCH) is an educational initiative that gives High School students the opportunity to create hardware with NASA’s aid. Students in the HUNCH program receive valuable experience creating goods for NASA from hardware to the culinary arts, while NASA receives the creativity of the High School students.
NASA provides materials, equipment, and mentoring to each of the HUNCH teams across the country so that they can complete their projects to near expert quality over the course of their studies while keeping the students as safe as possible when working with the machinery.
Learn more about HUNCH: https://www.nasahunch.com/
Learn more about bringing the space station into the classroom: http://www.nasa.gov/audience/foreducators/stem_on_station/index.html
HD download link: https://archive.org/details/ISSBenefitsforHumanity 
________________________________________
FOLLOW THE SPACE STATION!
Twitter: https://twitter.com/Space_Station 
Facebook: https://www.facebook.com/ISS 
Instagram: https://instagram.com/iss/
Web: https://www.nasa.gov/station</t>
  </si>
  <si>
    <t>nbdrZ2JUOw0</t>
  </si>
  <si>
    <t>https://youtu.be/SUJUlt5BNFg</t>
  </si>
  <si>
    <t>Two Spacewalkers, One New Port</t>
  </si>
  <si>
    <t>This quick video shows two spacewalkers on Friday installing a new port in less than six hours that will allow future commercial crew ships to dock at the International Space Station.</t>
  </si>
  <si>
    <t>SUJUlt5BNFg</t>
  </si>
  <si>
    <t>2016 08 19</t>
  </si>
  <si>
    <t>https://youtu.be/UCjlfPS_6ZM</t>
  </si>
  <si>
    <t>Space to Ground  A Gateway for Future Spacecraft  08 19 2016</t>
  </si>
  <si>
    <t>UCjlfPS_6ZM</t>
  </si>
  <si>
    <t>2016 08 18</t>
  </si>
  <si>
    <t>https://youtu.be/-kg6Zw3Hufo</t>
  </si>
  <si>
    <t>International Docking Adapter Is Extracted From SpaceX Dragon</t>
  </si>
  <si>
    <t>The International Docking Adapter (IDA), to be installed to the International Space Station during a spacewalk on Fri., Aug. 19, was extracted from the trunk of SpaceX Dragon on Wednesday, Aug. 17.
The IDA is in excellent shape ready for its installation.
Visit www.nasa.gov/station for more information.</t>
  </si>
  <si>
    <t>-kg6Zw3Hufo</t>
  </si>
  <si>
    <t>2016 08 17</t>
  </si>
  <si>
    <t>https://youtu.be/Gtaoc_5y8VE</t>
  </si>
  <si>
    <t>Space Station Live  A Pain in the Back</t>
  </si>
  <si>
    <t>NASA Commentator Lori Meggs at the Marshall Space Flight Center talks to Dr. Alan Hargens, professor of orthopaedic surgery at the University of California, San Diego, about back pain and injury that many astronauts experience during and after long-duration missions. Results from the Intervertebral Disc Damage study will not only have impacts to future Mars missions, but also to folks on Earth, such as kids carrying heavy backpacks, soldiers armed with heavy equipment, and patients on bed rest or with limited mobility.</t>
  </si>
  <si>
    <t>Gtaoc_5y8VE</t>
  </si>
  <si>
    <t>https://youtu.be/Tijap2ocSs4</t>
  </si>
  <si>
    <t>Exploring Beyond</t>
  </si>
  <si>
    <t>NASA is working to send astronauts beyond Earth’s orbit to destinations deep in space on the journey to Mars. The powerful Space Launch System rocket will send astronauts in the Orion spacecraft to places never before explored, enabling humanity to expand the frontier of space exploration. The first mission of SLS and Orion together, Exploration Mission-1, will send an uncrewed capsule about 40,000 miles beyond the moon.</t>
  </si>
  <si>
    <t>Tijap2ocSs4</t>
  </si>
  <si>
    <t>2016 08 16</t>
  </si>
  <si>
    <t>https://youtu.be/Ka3jRmDRAKk</t>
  </si>
  <si>
    <t>Monthly ISS Research Video Update for August 2016</t>
  </si>
  <si>
    <t>See the highlights of recent research conducted on the International Space Station during August.</t>
  </si>
  <si>
    <t>Ka3jRmDRAKk</t>
  </si>
  <si>
    <t>https://youtu.be/cSVpRPLu3EA</t>
  </si>
  <si>
    <t>Animation of Aug. 19 Space Station Spacewalk</t>
  </si>
  <si>
    <t>This animation depicts the activities spacewalkers Jeff Williams and Kate Rubins will perform Aug. 19. 
NASA astronauts Jeff Williams and Kate Rubins are due to work outside the International Space Station on Aug. 19 for 6.5 hours. The duo will install the first of two International Docking Adapters that future Commercial Crew vehicles being developed by Boeing and SpaceX will use to dock to the space station -- a significant milestone in NASA’s work to return crew launches to U.S. soil.
Coverage of the spacewalk will begin at 6:30 a.m. EDT Aug. 19, on NASA TV and the agency’s website, with the spacewalk scheduled to begin at 8:05 a.m.
Watch live on YouTube at https://www.youtube.com/watch?v=UdmHHpAsMVw or online at www.nasa.gov/ntv.</t>
  </si>
  <si>
    <t>cSVpRPLu3EA</t>
  </si>
  <si>
    <t>2016 08 15</t>
  </si>
  <si>
    <t>https://youtu.be/SEst1lHWgwk</t>
  </si>
  <si>
    <t>The Road to IDA</t>
  </si>
  <si>
    <t>In 2015, NASA astronauts laid the groundwork for the installation of the first International Docking Adapter, or IDA on the International Space Station.
________________________________________
FOLLOW THE SPACE STATION!
Twitter: https://twitter.com/Space_Station 
Facebook: https://www.facebook.com/ISS
Instagram: https://instagram.com/iss/</t>
  </si>
  <si>
    <t>SEst1lHWgwk</t>
  </si>
  <si>
    <t>2016 08 12</t>
  </si>
  <si>
    <t>https://youtu.be/UbvgIG5AyUs</t>
  </si>
  <si>
    <t>Space to Ground  Well-Suited For A Spacewalk  08 11 2016</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</si>
  <si>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
Category
Science &amp; Technology
License
Standard YouTube License</t>
  </si>
  <si>
    <t>UbvgIG5AyUs</t>
  </si>
  <si>
    <t>2016 08 10</t>
  </si>
  <si>
    <t>https://youtu.be/C_hs7Gw_6g8</t>
  </si>
  <si>
    <t>Space Station Live  Eye Opening Results</t>
  </si>
  <si>
    <t>NASA Commentator Lori Meggs at the Marshall Space Flight Center talks to Dr. Scott M. Smith, manager of the Nutritional Biochemistry Lab at the Johnson Space Center in Houston, about new, compelling results from studies on possible causes of the vision changes seen in some astronauts after long-duration spaceflight.  The possible genetic link may also point to important information regarding the health of a certain population of women on Earth.
________________________________________
FOLLOW THE SPACE STATION!
Twitter: https://twitter.com/Space_Station 
Facebook: https://www.facebook.com/ISS
Instagram: https://instagram.com/iss/</t>
  </si>
  <si>
    <t>C_hs7Gw_6g8</t>
  </si>
  <si>
    <t>2016 08 05</t>
  </si>
  <si>
    <t>https://youtu.be/Hi7YK7g_LZA</t>
  </si>
  <si>
    <t>Space to Ground  Taking a Breather  08 05 2016</t>
  </si>
  <si>
    <t>Hi7YK7g_LZA</t>
  </si>
  <si>
    <t>2016 08 03</t>
  </si>
  <si>
    <t>https://youtu.be/JhkyhhyQo_I</t>
  </si>
  <si>
    <t>Space Station Live  Make Room for Big Brother</t>
  </si>
  <si>
    <t>NASA Commentator Lori Meggs at the Marshall Space Flight Center talks to Lee Jordan and Yancy Young, project managers for both the Microgravity Sciences Glovebox currently on the International Space Station and the new Life Sciences Glovebox, headed there in a couple of years. The glovebox is a safely-sealed facility used for everything from biological to physical science experiments.  With so many payloads lining up to use the current glovebox, its so-called “big brother” may alleviate some of that workload.
________________________________________
FOLLOW THE SPACE STATION!
Twitter: https://twitter.com/Space_Station 
Facebook: https://www.facebook.com/ISS
Instagram: https://instagram.com/iss/</t>
  </si>
  <si>
    <t>JhkyhhyQo_I</t>
  </si>
  <si>
    <t>https://youtu.be/X-I0katihQo</t>
  </si>
  <si>
    <t>Orion Backstage  Up the Hatch with Astronauts</t>
  </si>
  <si>
    <t>Engineers and astronauts conducted testing in a representative model of the Orion spacecraft at NASA’s Johnson Space Center in Houston to gather the crew's feedback on the design of the docking hatch and on post-landing equipment operations. The testing, shown here with astronauts Stephanie Wilson, Karen Nyberg and Rick Mastracchio (L to R), was done to evaluate the equipment used during egress to ensure that a fully suited crew member carrying survival equipment can get out of the spacecraft through the docking hatch if necessary. While the crew will primarily use the side hatch for entry and exit on Earth and the docking hatch to travel between Orion and a habitation module on long-duration deep space missions, the crew will need to be able to exit out of the docking hatch if wave heights in the Pacific Ocean upon splashdown are too high. The work is being done to help ensure all elements of Orion's design are safe and effective for the crew to use on future missions on the journey to Mars.</t>
  </si>
  <si>
    <t>X-I0katihQo</t>
  </si>
  <si>
    <t>2016 07 29</t>
  </si>
  <si>
    <t>https://youtu.be/hJl5J8M2H-Q</t>
  </si>
  <si>
    <t>Space to Ground  From The Heart  07 29 2016</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</si>
  <si>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
Category
Science &amp; Technology
License
Standard YouTube License</t>
  </si>
  <si>
    <t>hJl5J8M2H-Q</t>
  </si>
  <si>
    <t>2016 07 28</t>
  </si>
  <si>
    <t>https://youtu.be/GiUvFpUK0ME</t>
  </si>
  <si>
    <t>Space Station Live  How the Garden Grows in Zero G</t>
  </si>
  <si>
    <t>The International Space Station is a garden for seedlings that scientists are studying as part of the effort to go to Mars: NASA Commentator Bill Hubscher at the Marshall Space Flight Center talks with Dr. Imara Perera of North Carolina State University, the principal investigator of the Plant RNA Regulation experiment, which is looking into gene expression in plants grown in space.  Those genetic changes affect how the plants grow and develop in weightlessness, and the scientists studying them expect to find new molecules that influence how the plants adapt to the environment, information that will be vital to plans for growing plants as sources of both food and oxygen on future missions out into the solar system.</t>
  </si>
  <si>
    <t>GiUvFpUK0ME</t>
  </si>
  <si>
    <t>2016 07 26</t>
  </si>
  <si>
    <t>https://youtu.be/iHomPzdPcH4</t>
  </si>
  <si>
    <t>Space Station Live  Hooking Up the New Docking Hardware</t>
  </si>
  <si>
    <t>The International Space Station is about to get the hardware it needs to be able to greet new spaceships: the International Docking Adapter.  NASA Commentator Pat Ryan talks with Sean Kelly, NASA’s senior project manager in the Development Projects Office, about the mechanisms that will be installed on the Pressurized Mating Adapters and make it possible for new commercial crew vehicles, and potentially other spacecraft, to mate to the space station.  The first of two IDAs is to be installed during a spacewalk by astronauts Jeff Williams and Kate Rubins in August.
________________________________________
FOLLOW THE SPACE STATION!
Twitter: https://twitter.com/Space_Station 
Facebook: https://www.facebook.com/ISS
Instagram: https://instagram.com/iss/</t>
  </si>
  <si>
    <t>iHomPzdPcH4</t>
  </si>
  <si>
    <t>2016 07 23</t>
  </si>
  <si>
    <t>https://youtu.be/1-awgz5DfeU</t>
  </si>
  <si>
    <t>Tale of Two Ships</t>
  </si>
  <si>
    <t>Two rockets blasted off, one after another, toward the same destination. This was the first time two different cargo ships, a Progress and a Dragon, were in orbit at the same time to supply the space station.</t>
  </si>
  <si>
    <t>1-awgz5DfeU</t>
  </si>
  <si>
    <t>2016 07 22</t>
  </si>
  <si>
    <t>https://youtu.be/-yHH6Uf5Fps</t>
  </si>
  <si>
    <t>NASA  On the Edge of Forever</t>
  </si>
  <si>
    <t>When Star Trek originally aired in 1966, NASA’s space program was still in its infancy. But Star Trek allowed us to imagine what could be, if we dared to boldly go where no one had gone before. 
Visualized in the Star Trek universe as massive docking ports for star ships exploring the unknown, inhabited space stations have been a reality for over 15 years. Supported by nations around the globe, the International Space Station supports science and research on how humans can survive in the cosmos, laying the ground work for journeys well beyond our own planet. NASA is on the Journey to Mars, and the International Space Station is a critical test bed for the technologies that will get us there.
The path to exploring the furthest stars starts at our planetary neighbors, and today we’re closer than ever to humans making those first footprints in alien soil. 
________________________________________
FOLLOW THE SPACE STATION!
Twitter: https://twitter.com/Space_Station
Facebook: https://www.facebook.com/ISS
Instagram: https://instagram.com/iss/
HD download link: https://archive.org/details/NASA_On-the-Edge-of-Forever
FOLLOW THE ASTRONAUTS SEEN IN THIS VIDEO!
Victor Glover, NASA Astronaut: https://twitter.com/VicGlover 
Jeanette Epps, NASA Astronaut: https://twitter.com/Astro_Jeanette 
Soichi Noguchi, JAXA Astronaut: https://twitter.com/Astro_Soichi 
Luca Parmitano, ESA Astronaut: https://twitter.com/astro_luca</t>
  </si>
  <si>
    <t>-yHH6Uf5Fps</t>
  </si>
  <si>
    <t>https://youtu.be/OCbPTwrIuWg</t>
  </si>
  <si>
    <t>Space to Ground  Double Down  07 22 2016</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</si>
  <si>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</si>
  <si>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OCbPTwrIuWg</t>
  </si>
  <si>
    <t>2016 07 21</t>
  </si>
  <si>
    <t>https://youtu.be/x0K7yi6yi4Y</t>
  </si>
  <si>
    <t>Space Station Live  Big DNA Science in a Small Package</t>
  </si>
  <si>
    <t>NASA Commentator Lori Meggs at the Marshall Space Flight Center talks to Sarah Wallace, a co-investigator for the Biomolecular Sequencer study on the International Space Station. This investigation will try to demonstrate, for the first time, that DNA sequencing is possible in microgravity. If so, this crew-operated, miniaturized device could potentially identify microbes, diagnose diseases, monitor crew health, and possibly help detect DNA-based life off the Earth.
________________________________________
FOLLOW THE SPACE STATION!
Twitter: https://twitter.com/Space_Station 
Facebook: https://www.facebook.com/ISS
Instagram: https://instagram.com/iss/</t>
  </si>
  <si>
    <t>x0K7yi6yi4Y</t>
  </si>
  <si>
    <t>2016 07 19</t>
  </si>
  <si>
    <t>https://youtu.be/37j7NNV-_A0</t>
  </si>
  <si>
    <t>Space Station Live  Looking Into Space Vision Issues</t>
  </si>
  <si>
    <t>Some International Space Station astronauts come home from long-duration space missions with diminished vision, and scientists are using the station’s crew members to figure out why.  NASA Commentator Pat Ryan talks with the principal investigator of the Ocular Health experiment, Dr. Christian Otto, about the post-flight follow-up exams being done on returned station crew members and the analysis of the data that’s underway to identify the cause or causes of the phenomenon.</t>
  </si>
  <si>
    <t>37j7NNV-_A0</t>
  </si>
  <si>
    <t>2016 07 15</t>
  </si>
  <si>
    <t>https://youtu.be/uyEqztKclx8</t>
  </si>
  <si>
    <t>Space-to-Ground  A New Crew Arrives  07 15 2016</t>
  </si>
  <si>
    <t>uyEqztKclx8</t>
  </si>
  <si>
    <t>2016 07 14</t>
  </si>
  <si>
    <t>https://youtu.be/99tglc1o04U</t>
  </si>
  <si>
    <t>Space Station Live  The Heart of the Matter</t>
  </si>
  <si>
    <t>Can skin cells help scientists learn how heart cells fare in weightlessness?  They can if they’re transformed into stem cells and then into heart muscle cells, and that’s the plan for a new experiment heading to the International Space Station next week.  NASA Commentator Pat Ryan talks with Arun Sharma of the Stanford University School of Medicine, one of the co-investigators of the Heart Cells experiment, about the effort to learn more about how the heart muscle changes while in space and use that information to improve efforts at disease modeling, drug development and heart cell therapy.</t>
  </si>
  <si>
    <t>99tglc1o04U</t>
  </si>
  <si>
    <t>2016 07 09</t>
  </si>
  <si>
    <t>https://youtu.be/yAQJsHaQ41E</t>
  </si>
  <si>
    <t>New Crew Completes Two-Day Trip to Station</t>
  </si>
  <si>
    <t>Three Expedition 48-49 crew members took a two-day ride to the International Space Station aboard the Soyuz MS-01 spacecraft. They launched Wednesday night from the Baikonur Cosmodrome in Kazakhstan and docked to the Rassvet module early Saturday morning.</t>
  </si>
  <si>
    <t>yAQJsHaQ41E</t>
  </si>
  <si>
    <t>https://youtu.be/dTJoDVBOxPE</t>
  </si>
  <si>
    <t>Rubins, Ivanishin and Onishi Arrive to Space Station</t>
  </si>
  <si>
    <t>After launching on July 7 in their Soyuz MS-01 spacecraft from the Baikonur Cosmodrome in Kazakhstan, NASA astronaut Kate Rubins, cosmonaut Anatoly Ivanishin of the Russian space agency Roscosmos, and astronaut Takuya Onishi of the Japan Aerospace Exploration Agency docked to the International Space Station at 12:06 a.m. EDT Saturday, July 9, to complete their two-day journey. Rubins, Ivanishin and Onishi joined their Expedition 48 crew members, Commander Jeff Williams of NASA and Flight Engineers Oleg Skripochka and Alexey Ovchinin of Roscosmos at 2:26 a.m., when the hatches opened between their Soyuz MS-01 and the space station.
________________________________________
FOLLOW THE SPACE STATION!
Twitter: https://twitter.com/Space_Station 
Facebook: https://www.facebook.com/ISS
Instagram: https://instagram.com/iss/</t>
  </si>
  <si>
    <t>dTJoDVBOxPE</t>
  </si>
  <si>
    <t>2016 07 08</t>
  </si>
  <si>
    <t>https://youtu.be/5xGcAJtkBUg</t>
  </si>
  <si>
    <t>Space Station Live  TReKking Station Science</t>
  </si>
  <si>
    <t>How can scientists on Earth conduct experiments on the International Space Station?  For some of them, the Telescience Resource Kit (TReK) provides the way!  NASA Commentator Bill Hubscher talks with Michelle Schneider, a system software developer at the Marshall Space Flight Center in Huntsville, Alabama, about the programs they created that allow researchers in their labs, offices or homes to interact with their orbiting experiments.</t>
  </si>
  <si>
    <t>5xGcAJtkBUg</t>
  </si>
  <si>
    <t>https://youtu.be/2B0azyRf4QU</t>
  </si>
  <si>
    <t>Space-to-Ground  New Crew, New Ride  07 08 2016</t>
  </si>
  <si>
    <t>2B0azyRf4QU</t>
  </si>
  <si>
    <t>https://youtu.be/3y6jNsuSrz4</t>
  </si>
  <si>
    <t>Moment with Kate Rubins</t>
  </si>
  <si>
    <t>A moment with Kate Rubins.</t>
  </si>
  <si>
    <t>3y6jNsuSrz4</t>
  </si>
  <si>
    <t>2016 07 07</t>
  </si>
  <si>
    <t>https://youtu.be/QE0LbWntBv4</t>
  </si>
  <si>
    <t>Monthly ISS Research Video Update for July 2016</t>
  </si>
  <si>
    <t>See the highlights of recent research conducted on the International Space Station during July.</t>
  </si>
  <si>
    <t>QE0LbWntBv4</t>
  </si>
  <si>
    <t>https://youtu.be/vsdklArMnCU</t>
  </si>
  <si>
    <t>Space Station Live  The New, Improved Soyuz Spacecraft</t>
  </si>
  <si>
    <t>The Russian Soyuz spacecraft that launched to the International Space Station July 6, U.S. time, is the first of the new model Soyuz MS-01 to fly in space.  NASA Commentator Rob Navias explores the upgrades to the Soyuz in this conversation with Mark Bowman, the chief engineer in the Soyuz Branch of the NASA Astronaut Office at the Johnson Space Center in Houston, who lays out the changes to the electrical power system, radio telemetry system, rendezvous system and approach and attitude control thruster systems (and more) that are designed to improve the vehicle’s performance and reliability.</t>
  </si>
  <si>
    <t>vsdklArMnCU</t>
  </si>
  <si>
    <t>https://youtu.be/q6A8nparbuk</t>
  </si>
  <si>
    <t>Expedition 48-49 launches to the ISS</t>
  </si>
  <si>
    <t>NASA astronaut Kate Rubins, cosmonaut Anatoly Ivanishin of the Russian space agency Roscosmos, and astronaut Takuya Onishi of the Japan Aerospace Exploration Agency launched on the Russian Soyuz MS-01 spacecraft at 7:36 a.m. Baikonur time, July 7 from the Baikonur Cosmodrome in Kazakhstan to begin a two-day journey to the International Space Station and the start of a four-month mission.
________________________________________
FOLLOW THE SPACE STATION!
Twitter: https://twitter.com/Space_Station 
Facebook: https://www.facebook.com/ISS
Instagram: https://instagram.com/iss/</t>
  </si>
  <si>
    <t>q6A8nparbuk</t>
  </si>
  <si>
    <t>2016 07 06</t>
  </si>
  <si>
    <t>https://youtu.be/6VPaf525lF0</t>
  </si>
  <si>
    <t>Ready for Flight</t>
  </si>
  <si>
    <t>NASA Commentator Brandi Dean talks with Dr. Kate Rubins, the next American crew member on the International Space Station, as she prepares for launch on July 6.  The biomedical researcher from California was selected as a NASA astronaut in 2009 and has been training for her first spaceflight, a four-month mission on the International Space Station.  Rubins discusses her preparation for the flight and some of the research she’s scheduled to do, including sequencing three genomes, while serving as a test subject for research into how the human body responds to prolonged exposure to weightlessness as humankind prepares for future exploration out into the solar system.
________________________________________
FOLLOW THE SPACE STATION!
Twitter: https://twitter.com/Space_Station 
Facebook: https://www.facebook.com/ISS
Instagram: https://instagram.com/iss/</t>
  </si>
  <si>
    <t>6VPaf525lF0</t>
  </si>
  <si>
    <t>2016 07 04</t>
  </si>
  <si>
    <t>https://youtu.be/JW0jGcNO7V8</t>
  </si>
  <si>
    <t>The Expedition 48-49 Soyuz Rocket Comes Together and Moves to Its Launch Pad</t>
  </si>
  <si>
    <t>At the Baikonur Cosmodrome in Kazakhstan, the Soyuz MS-01 spacecraft was mated to its booster rocket July 3, and moved to the launch pad on a railcar July 4 for final preparations before launch to the International Space Station on July 7, Kazakh time. The Soyuz MS-01 will carry Soyuz Commander Anatoly Ivanishin of Roscosmos and Flight Engineers Kate Rubins of NASA and Takuya Onishi of the Japan Aerospace Exploration Agency to the orbital complex for a four-month mission.</t>
  </si>
  <si>
    <t>JW0jGcNO7V8</t>
  </si>
  <si>
    <t>2016 07 02</t>
  </si>
  <si>
    <t>https://youtu.be/HbWFaw6uDUU</t>
  </si>
  <si>
    <t>Cargo Ship Succesfully Re-Docks After Test</t>
  </si>
  <si>
    <t>An unpiloted Russian cargo ship took a short trip Friday to test a manual rendezvous system. The spacecraft undocked then two cosmonauts inside the space station guided it back to the Pirs docking port. The cargo craft departs for good Saturday night.</t>
  </si>
  <si>
    <t>HbWFaw6uDUU</t>
  </si>
  <si>
    <t>https://youtu.be/Fdn8c7Bm5hw</t>
  </si>
  <si>
    <t>Expedition 48-49 Crew Final Launch Preparations in Kazakhstan</t>
  </si>
  <si>
    <t>At the Baikonur Cosmodrome in Kazakhstan, Expedition 48-49 Soyuz Commander Anatoly Ivanishin of Roscosmos and Flight Engineers Kate Rubins of NASA and Takuya Onishi of the Japan Aerospace Exploration Agency, along with their backups, Oleg Novitskiy of Roscosmos, Peggy Whitson of NASA and Thomas Pesquet of the European Space Agency, conducted a final "fit check" of their Soyuz MS-01 spacecraft, visited their Soyuz launch vehicle and toured the Baikonur Cosmodrome Museum July 2 in preparation for the July 7 launch, Kazakh time, of Ivanishin, Rubins and Onishi to the International Space Station, where they are scheduled to spend four months on the orbital complex.</t>
  </si>
  <si>
    <t>Fdn8c7Bm5hw</t>
  </si>
  <si>
    <t>2016 07 01</t>
  </si>
  <si>
    <t>https://youtu.be/T_vpsqVn2A8</t>
  </si>
  <si>
    <t>Space to Ground  3D Printing in Zero G  07 01 2016</t>
  </si>
  <si>
    <t>T_vpsqVn2A8</t>
  </si>
  <si>
    <t>2016 06 30</t>
  </si>
  <si>
    <t>https://youtu.be/w4bEWb_zU90</t>
  </si>
  <si>
    <t>Expedition 48-49 Crew Prepares For Launch in Kazakhstan</t>
  </si>
  <si>
    <t>HIghlights of Expedition 48 crew members Kate Rubins, Anatoly Ivanishin and Takauya Onishi conducting various activities in Kazakhstan as they prepare for launch to the International Space Station on July 6th.</t>
  </si>
  <si>
    <t>w4bEWb_zU90</t>
  </si>
  <si>
    <t>https://youtu.be/-f4dfaaG8BE</t>
  </si>
  <si>
    <t>Space Station Live  A Look at the New Science Lineup</t>
  </si>
  <si>
    <t>NASA Commentator Pat Ryan talks with Yuri Guinart-Ramirez, the lead increment scientist for the International Space Station’s Expeditions 47 and 48, about some of the new experiments and science planned over the coming few months.  That includes continuing research on the human crew members to find out how their bodies are impacted by being in weightlessness, plus new experiments, including: one that uses mice to gauge how the space environment may impact gene expression for those subjects and for their offspring, and one that will culture heart muscle cells grown from human skin cells to understand the negative effects of weightlessness at the cellular and molecular level.</t>
  </si>
  <si>
    <t>-f4dfaaG8BE</t>
  </si>
  <si>
    <t>https://youtu.be/kcBnW8BW9uQ</t>
  </si>
  <si>
    <t>Space Station Live  Coldest Spot Off the Earth</t>
  </si>
  <si>
    <t>NASA Commentator Lori Meggs at the Marshall Space Flight Center talks to Anita Sengupta and Kamal Oudrhiri from NASA’s Jet Propulsion Laboratory about the Cold Atom Laboratory, set to arrive at the International Space Station in 2017. This facility will conduct experiments on quantum gases at ultra-cold temperatures to test some of the fundamental laws of physics.
________________________________________
FOLLOW THE SPACE STATION!
Twitter: https://twitter.com/Space_Station 
Facebook: https://www.facebook.com/ISS
Instagram: https://instagram.com/iss/</t>
  </si>
  <si>
    <t>kcBnW8BW9uQ</t>
  </si>
  <si>
    <t>2016 06 24</t>
  </si>
  <si>
    <t>https://youtu.be/oOYz-Ru-vjM</t>
  </si>
  <si>
    <t>Space to Ground  Touchdown!  06 24 2016</t>
  </si>
  <si>
    <t>oOYz-Ru-vjM</t>
  </si>
  <si>
    <t>2016 06 22</t>
  </si>
  <si>
    <t>https://youtu.be/QOS7ddCiKMQ</t>
  </si>
  <si>
    <t>Monthly ISS Research Video Update for June 2016</t>
  </si>
  <si>
    <t>See the highlights of recent research conducted on the International Space Station during June.</t>
  </si>
  <si>
    <t>QOS7ddCiKMQ</t>
  </si>
  <si>
    <t>https://youtu.be/KKb75sZRsgw</t>
  </si>
  <si>
    <t>Space Station Live  Chasing a Dream</t>
  </si>
  <si>
    <t>NASA Commentator Lori Meggs speaks with John Olson, the vice president for space systems for Sierra Nevada Corp., to learn more about its “Dream Chaser.” The company is making its dream a reality in partnering with NASA to advance the development of a commercial crew and cargo transportation system. Sierra Nevada Corp., SpaceX and Orbital ATK were selected by NASA for cargo missions to fly between 2019 and 2024. 
________________________________________
FOLLOW THE SPACE STATION!
Twitter: https://twitter.com/Space_Station 
Facebook: https://www.facebook.com/ISS
Instagram: https://instagram.com/iss/</t>
  </si>
  <si>
    <t>KKb75sZRsgw</t>
  </si>
  <si>
    <t>2016 06 18</t>
  </si>
  <si>
    <t>https://youtu.be/bqO3ET4Zxu0</t>
  </si>
  <si>
    <t>Expedition 47 Swaps Command and Lands the Next Day</t>
  </si>
  <si>
    <t>Watch this short sequence of events that took place for the Expedition 47 crew from swapping space station command Friday to landing in Kazakhstan Saturday morning.</t>
  </si>
  <si>
    <t>bqO3ET4Zxu0</t>
  </si>
  <si>
    <t>https://youtu.be/eAlTbpIcbXE</t>
  </si>
  <si>
    <t>Crew Leaves Station After 186 Days in Space</t>
  </si>
  <si>
    <t>After spending 186 days aboard the International Space Station, Tim Kopra, Tim Peake and Yuri Malenchenko undocked from the station at 1:52 a.m. EDT 254 miles over eastern Mongolia to begin their voyage home. Malenchenko is at the controls of the Soyuz TMA-19M spacecraft.</t>
  </si>
  <si>
    <t>eAlTbpIcbXE</t>
  </si>
  <si>
    <t>https://youtu.be/QL5fcsQT0_M</t>
  </si>
  <si>
    <t>Expedition 47 Trio Says Farewell</t>
  </si>
  <si>
    <t>Watch Expedition 47 crew members Yuri Malenchenko, Tim Kopra and Tim Peake say goodbye to their crewmates and enter the Soyuz spacecraft before undocking and landing back on Earth Saturday morning.</t>
  </si>
  <si>
    <t>QL5fcsQT0_M</t>
  </si>
  <si>
    <t>2016 06 17</t>
  </si>
  <si>
    <t>https://youtu.be/gURSwQQJcX4</t>
  </si>
  <si>
    <t>Station Change of Command Ceremony</t>
  </si>
  <si>
    <t>Watch as Expedition 47 Commander Tim Kopra hands over station command to NASA astronaut Jeff Williams​ this morning. Kopra returns to Earth Saturday morning with British astronaut Tim Peake​ and cosmonaut Yuri Malenchenko after 186 days in space.</t>
  </si>
  <si>
    <t>gURSwQQJcX4</t>
  </si>
  <si>
    <t>https://youtu.be/kaBPXOylItw</t>
  </si>
  <si>
    <t>Space Station Live  The Real Story of Returning to Earth</t>
  </si>
  <si>
    <t>NASA Commentator Amiko Kauderer talks with astronaut Terry Virts for a first-hand account of what it’s like to finish up a long-duration mission on the International Space Station and return to Earth after six months on orbit.  Virts returned to Earth a year ago after commanding Expedition 43; on the day that Expedition 47 commander Tim Kopra and his crewmates are departing the station, Virts talks about all the things that have to be done to finish up a mission, the trip back to Earth in a Soyuz spacecraft, and the feelings experienced as he concluded the longest mission of his career.
________________________________________
FOLLOW THE SPACE STATION!
Twitter: https://twitter.com/Space_Station 
Facebook: https://www.facebook.com/ISS
Instagram: https://instagram.com/iss/</t>
  </si>
  <si>
    <t>kaBPXOylItw</t>
  </si>
  <si>
    <t>https://youtu.be/cFxxsb-pinA</t>
  </si>
  <si>
    <t>Space to Ground  How Fires Spread in Space   06 17 2016</t>
  </si>
  <si>
    <t>cFxxsb-pinA</t>
  </si>
  <si>
    <t>2016 06 16</t>
  </si>
  <si>
    <t>https://youtu.be/FlJaF2XkR6k</t>
  </si>
  <si>
    <t>'Home' - 4K Views from Space</t>
  </si>
  <si>
    <t>NASA monitors Earth's vital signs from land, air and space with a fleet of satellites and ambitious airborne and ground-based observation campaigns. The International Space Station hosts a variety of payloads and experiments supporting climate research, weather predictions, hurricane monitoring, pollution tracking, disaster response and more. 
For more on how NASA uses space to understand our home planet, visit: http://www.nasa.gov/earthrightnow 
Read more on 4K in space:
http://www.nasa.gov/mission_pages/station/research/news/red_epic_dragon_camera/ 
*To view in 4k, be sure to change resolution under "Settings" menu in YouTube viewer to "2160p 4k".
(Video: NASA)
________________________________________
FOLLOW THE SPACE STATION!
Twitter: https://twitter.com/Space_Station
Facebook: https://www.facebook.com/ISS
Instagram: https://instagram.com/iss/</t>
  </si>
  <si>
    <t>FlJaF2XkR6k</t>
  </si>
  <si>
    <t>2016 06 15</t>
  </si>
  <si>
    <t>https://youtu.be/f9zB7g01QFQ</t>
  </si>
  <si>
    <t>Cygnus Leaves Station and Begins Fire Research</t>
  </si>
  <si>
    <t>The Orbital ATK Cygnus left the station on Tuesday. Afterward, scientists from NASA's Glenn Research Center set a fire inside the resupply ship to explore space fires and improve spacecraft safety. Cygnus will re-enter Earth's atmosphere June 22.</t>
  </si>
  <si>
    <t>f9zB7g01QFQ</t>
  </si>
  <si>
    <t>https://youtu.be/XL1K3odUvQk</t>
  </si>
  <si>
    <t>Space Station Live  3-D Printing of a Student Design</t>
  </si>
  <si>
    <t>NASA Commentator Lori Meggs at the International Space Station Payload Operations Integration Center highlights an education challenge that’s culminated with a student-designed tool being 3-D-printed on orbit.  NASA, The American Society of Mechanical Engineers and others sponsored the Future Engineers 3-D Printing in Space Tool Challenge to promote study of design techniques for this new type of manufacturing that will be used by current and future space explorers.</t>
  </si>
  <si>
    <t>XL1K3odUvQk</t>
  </si>
  <si>
    <t>2016 06 10</t>
  </si>
  <si>
    <t>https://youtu.be/pYT2H9DdE0g</t>
  </si>
  <si>
    <t>Space to Ground  Enter the BEAM   06 10 2016</t>
  </si>
  <si>
    <t>pYT2H9DdE0g</t>
  </si>
  <si>
    <t>https://youtu.be/s2urx_NvXPo</t>
  </si>
  <si>
    <t>Space Station Stories  Charting the Course</t>
  </si>
  <si>
    <t>In this chapter of Space Station Stories we learn why the One Year Mission of Scott Kelly and Mikhail Kornienko to the International Space Station is fulfilling the station’s goal to prepare humankind to explore beyond low Earth orbit out into the solar system.  Astronaut Reid Wiseman, a veteran of more than five months on the station during Expeditions 40 and 41, takes you on a journey from Earth to our current home on orbit and on to Mars, and explains how today’s mission is setting the stage for tomorrow’s exploration objective.
Space Station Stories takes you inside the technological marvel that is the International Space Station. Humanity’s home in low Earth orbit since 1998, the station continues to be a platform for new discoveries, preparing us for the journeys of tomorrow while benefiting the world of today.
________________________________________
FOLLOW THE SPACE STATION!
Twitter: https://twitter.com/Space_Station 
Facebook: https://www.facebook.com/ISS
Instagram: https://instagram.com/iss/</t>
  </si>
  <si>
    <t>s2urx_NvXPo</t>
  </si>
  <si>
    <t>2016 06 09</t>
  </si>
  <si>
    <t>https://youtu.be/M1IBg6VheqA</t>
  </si>
  <si>
    <t>Space Station Live  Cygnus Prepped for Departure</t>
  </si>
  <si>
    <t>NASA Commentator Gary Jordan talks with Holly Vavrin, the International Space Station’s flight lead for the current mission of the Cygnus cargo vehicle, about the impending conclusion of the flight and the science the vehicle will host during its descent into the atmosphere after departure from the station next week.  The cargo ship provided by Orbital ATK is due to be released from the station June 14, and will deploy a set of small satellites and host a purposely-set fire to study how fire propagates in the absence of gravity before carrying its cargo of trash into the atmosphere for destruction.
________________________________________
FOLLOW THE SPACE STATION!
Twitter: https://twitter.com/Space_Station 
Facebook: https://www.facebook.com/ISS
Instagram: https://instagram.com/iss/</t>
  </si>
  <si>
    <t>M1IBg6VheqA</t>
  </si>
  <si>
    <t>2016 06 08</t>
  </si>
  <si>
    <t>https://youtu.be/knmoXlTFKsQ</t>
  </si>
  <si>
    <t>Space Station Live  Operating on Their Own</t>
  </si>
  <si>
    <t>Future missions going way out into space will need crews that are prepared to work independently, and that’s being studied right now on the International space Station.  NASA Commentator Lori Meggs at the Marshall Space Flight Center talks with Angie Haddock, the principal investigator of the Autonomous Mission Operations Express 2.0 experiment, about efforts underway to develop effective communications methods for crews that will be so far away that a radio signal moving at the speed of light, carrying voice communications or commands or transferring files, could take more than twenty minutes to be received.</t>
  </si>
  <si>
    <t>knmoXlTFKsQ</t>
  </si>
  <si>
    <t>2016 06 07</t>
  </si>
  <si>
    <t>https://youtu.be/8nKjqWX7o5U</t>
  </si>
  <si>
    <t>Monthly ISS Research Video Update for May 2016</t>
  </si>
  <si>
    <t>See the highlights of recent research conducted on the International Space Station during May.</t>
  </si>
  <si>
    <t>8nKjqWX7o5U</t>
  </si>
  <si>
    <t>2016 06 06</t>
  </si>
  <si>
    <t>https://youtu.be/vVUJaGichGk</t>
  </si>
  <si>
    <t>Space Station Live  Great “Space” Balls of Fire</t>
  </si>
  <si>
    <t>NASA Commentator Lori Meggs at the Marshall Space Flight Center talks to NASA Glenn Research Center’s SAFFIRE team about their upcoming experiment.  On June 14, this team will intentionally set a large-scale fire in space. The Spacecraft Fire Experiment-I, or Saffire-I, will light a fire inside the empty Cygnus resupply vehicle after it leaves the International Space Station and before it re-enters Earth’s atmosphere. 
________________________________________
FOLLOW THE SPACE STATION!
Twitter: https://twitter.com/Space_Station 
Facebook: https://www.facebook.com/ISS
Instagram: https://instagram.com/iss/</t>
  </si>
  <si>
    <t>vVUJaGichGk</t>
  </si>
  <si>
    <t>https://youtu.be/5kZZdp727ek</t>
  </si>
  <si>
    <t>Space Station Live   Astronaut Jeff Williams Enters BEAM Expandable Module</t>
  </si>
  <si>
    <t>Aboard the International Space Station, Expedition 47 Flight Engineer Jeff Williams of NASA opened the hatch to the Bigelow Expandable Activity Module (BEAM) June 6 to collect an air sample and set up equipment to monitor its status during its two-year lifetime attached to the aft port of the Tranquility module. Williams was the first astronaut to enter the habitat, which was expanded to its full capacity a week earlier. Once his work was completed, Williams closed the hatch again. Crew members will occasionally re-enter the module over the next two years to check BEAM’s condition. BEAM is serving as a prototype for possible expandable habitats that may be launched in the future to facilitate deep space exploration.</t>
  </si>
  <si>
    <t>5kZZdp727ek</t>
  </si>
  <si>
    <t>2016 06 03</t>
  </si>
  <si>
    <t>https://youtu.be/t2wdNxCvLiw</t>
  </si>
  <si>
    <t>Space to Ground  Friending the ISS  06 03 2016</t>
  </si>
  <si>
    <t>t2wdNxCvLiw</t>
  </si>
  <si>
    <t>2016 06 01</t>
  </si>
  <si>
    <t>https://youtu.be/nkAGltXw1CU</t>
  </si>
  <si>
    <t>Space Station Live  A Taste of Space</t>
  </si>
  <si>
    <t>NASA Commentator Lori Meggs at the Marshall Space Flight Center speaks with a team from Huntsville, Alabama that competed in NASA'S Culinary Challenge. The competition invited high school students from all across the country to develop a recipe for flight: a meal that astronauts would enjoy in space, but which also met the many dietary restrictions for crew members on orbit.
________________________________________
FOLLOW THE SPACE STATION!
Twitter: https://twitter.com/Space_Station 
Facebook: https://www.facebook.com/ISS
Instagram: https://instagram.com/iss/</t>
  </si>
  <si>
    <t>nkAGltXw1CU</t>
  </si>
  <si>
    <t>https://youtu.be/7-AlD4EqoVI</t>
  </si>
  <si>
    <t>Preparing America for Deep Space Exploration Episode 13  Some Assembly Required</t>
  </si>
  <si>
    <t>NASA’s Orion, Space Launch System (SLS) and Ground Systems Development &amp; Operations Programs, which together are developing and building the spacecraft, rocket and infrastructure necessary to send humans to deep space destinations, made important progress in the first quarter of 2016. Progress included: the delivery of the Orion pressure vessel to Kennedy Space Center in Florida for outfitting, a test between Orion’s rotational hand controller and crew, a deployment test of a solar array wing, the delivery of additional platforms for Kennedy’s Vehicle Assembly Building, where Orion and SLS will be integrated, preparations for a qualifications test of the SLS booster, the manufacture of the SLS core stage test article, launch vehicle stage adapter test article, and a test stand, as well as a hot fire of the RS-25 engine.
HD download link: https://archive.org/details/PreparingAmericaforDeepSpaceExploration</t>
  </si>
  <si>
    <t>7-AlD4EqoVI</t>
  </si>
  <si>
    <t>https://youtu.be/EEkWKLd82Yc</t>
  </si>
  <si>
    <t>Space Station Live  Vascular Echo</t>
  </si>
  <si>
    <t>NASA Commentator Pat Ryan talks with Dr. Richard Hughson, the principal investigator of the Vascular Echo experiment on the International Space Station which is researching why some astronauts return from station missions with stiffened arteries. Using data from ultrasound examinations of the astronauts’ carotid arteries, researchers are looking at changes in blood vessels and the heart with hopes of gaining a fuller understanding of the impact of those changes, and the astronaut’s daily activity patterns, on their cardiovascular health.
________________________________________
FOLLOW THE SPACE STATION!
Twitter: https://twitter.com/Space_Station 
Facebook: https://www.facebook.com/ISS
Instagram: https://instagram.com/iss/</t>
  </si>
  <si>
    <t>EEkWKLd82Yc</t>
  </si>
  <si>
    <t>2016 05 31</t>
  </si>
  <si>
    <t>https://youtu.be/2ke__EDxKvs</t>
  </si>
  <si>
    <t>Expedition 48 Crew Conducts Ceremonies</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</si>
  <si>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visited the Gagarin Museum where they viewed historic space artifacts at the Gagarin Cosmonaut Training Center in Star City, Russia May 31, then visited Red Square in Moscow for traditional ceremonies. Ivanishin, Rubins and Onishi are scheduled to launch June 24 from the Baikonur Cosmodrome in Kazakhstan in the Soyuz MS-01 spacecraft for a four-month mission on the International Space Station.
________________________________________
FOLLOW THE SPACE STATION!
Twitter: https://twitter.com/Space_Station 
Facebook: https://www.facebook.com/ISS
Instagram: https://instagram.com/iss/</t>
  </si>
  <si>
    <t>2ke__EDxKvs</t>
  </si>
  <si>
    <t>2016 05 29</t>
  </si>
  <si>
    <t>https://youtu.be/aciRYFKdaRU</t>
  </si>
  <si>
    <t>BEAM Expansion Time Lapse</t>
  </si>
  <si>
    <t>This short time-lapse video shows the complete Bigelow Aerospace BEAM expansion from start to finish to its full expanded, pressurized volume on Saturday, May 28. BEAM was installed May 16 on the Tranquility module after being delivered aboard the SpaceX Dragon cargo craft.</t>
  </si>
  <si>
    <t>aciRYFKdaRU</t>
  </si>
  <si>
    <t>2016 05 27</t>
  </si>
  <si>
    <t>https://youtu.be/OLxejNQ5Wzo</t>
  </si>
  <si>
    <t>Space to Ground  BEAM Expansion Delay  05 27 2016</t>
  </si>
  <si>
    <t>OLxejNQ5Wzo</t>
  </si>
  <si>
    <t>https://youtu.be/y52121wbO-k</t>
  </si>
  <si>
    <t>Space Station Live  Wise Eye in the Sky</t>
  </si>
  <si>
    <t>The International Space Station will soon host a new instrument to measure ozone, aerosols and other trace gases in Earth’s atmosphere: SAGE III (Stratospheric Aerosol and Gas Experiment) is scheduled to launch on a Dragon cargo ship later this year, and project scientist Dr. Joseph Zawodny of NASA’s Langley Research Center discusses the mission to provide crucial long-term measurements that should help people understand and care for Earth’s atmosphere.</t>
  </si>
  <si>
    <t>y52121wbO-k</t>
  </si>
  <si>
    <t>https://youtu.be/8UVNGkpT-ow</t>
  </si>
  <si>
    <t>Expedition 48-49 Crew Undergoes Final Training Outside Moscow</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</si>
  <si>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conducted final qualification training at the Gagarin Cosmonaut Training Center in Star City, Russia May 26 and 27. Ivanishin, Rubins and Onishi are scheduled to launch June 24 from the Baikonur Cosmodrome in Kazakhstan in the Soyuz MS-01 spacecraft for a four-month mission on the International Space Station.</t>
  </si>
  <si>
    <t>8UVNGkpT-ow</t>
  </si>
  <si>
    <t>2016 05 25</t>
  </si>
  <si>
    <t>https://youtu.be/8r-uO13Xy1s</t>
  </si>
  <si>
    <t>Space Station Live  A Crystal OASIS</t>
  </si>
  <si>
    <t>NASA Commentator Lori Meggs talks to scientists at NASA's Glenn Research Center about OASIS, Observation and Analysis of Smectic Islands in Space. This study on the International Space Station, aimed at learning more about the unique behavior of liquid crystals in microgravity, could change the future of cell phone and television liquid crystal display screens.</t>
  </si>
  <si>
    <t>8r-uO13Xy1s</t>
  </si>
  <si>
    <t>2016 05 24</t>
  </si>
  <si>
    <t>https://youtu.be/EqHkBfT498o</t>
  </si>
  <si>
    <t>How To Make an Origami BEAM – Fold your own space station module!</t>
  </si>
  <si>
    <t>To coincide with the expansion of the Bigelow Expandable Activity Module (BEAM), a technology demonstration for the International Space Station, here is a simple and fun activity called ‘origaBEAMi’ to enable you to build your own miniature BEAM module that you will be able to expand on your own -- all  simply by a series of folds of the paper model provided.
Download the printable BEAM module paper and crew procedures with full instructions: http://www.nasa.gov/mission_pages/station/research/news/origaBEAMi  to view or download the ‘crew procedures,’ which contain step by step instructions on how to print and fold your BEAM module. This video will walk you through folding a paper module in real-time. 
Follow http://www.twitter.com/ISS_Research, http://www.twitter.com/BigelowSpace, and www.nasa.gov/beam for updates on the BEAM expansion and technology demonstration.”
________________________________________
FOLLOW THE SPACE STATION!
Twitter: https://twitter.com/Space_Station   
Facebook: https://www.facebook.com/ISS 
Instagram: https://instagram.com/iss/</t>
  </si>
  <si>
    <t>EqHkBfT498o</t>
  </si>
  <si>
    <t>2016 05 23</t>
  </si>
  <si>
    <t>https://youtu.be/gARj5wmlFKg</t>
  </si>
  <si>
    <t>Space Station Live  Expanding BEAM</t>
  </si>
  <si>
    <t>NASA Commentator Brandi Dean speaks with Heidi Brewer, the NASA operations lead for this week’s scheduled expansion of the Bigelow Expandable Activity Module.  Delivered to the International Space Station on a commercial cargo ship and installed on the aft port of the Tranquility module using the Canadarm-2, BEAM will be expanded to its full size later this week to begin a two-year test of its ability to maintain a safe environment, with sensors monitoring temperature, radiation levels, and impacts from orbital debris.
________________________________________
FOLLOW THE SPACE STATION!
Twitter: https://twitter.com/Space_Station 
Facebook: https://www.facebook.com/ISS
Instagram: https://instagram.com/iss/</t>
  </si>
  <si>
    <t>gARj5wmlFKg</t>
  </si>
  <si>
    <t>2016 05 20</t>
  </si>
  <si>
    <t>https://youtu.be/yVeCVjf38Yg</t>
  </si>
  <si>
    <t>17 CubeSats Deployed for Research This Week</t>
  </si>
  <si>
    <t>17 CubeSats were deployed from the station this week exploring solar flares, the upper atmosphere, Earth imagery, ship tracking and weather.</t>
  </si>
  <si>
    <t>yVeCVjf38Yg</t>
  </si>
  <si>
    <t>https://youtu.be/Zn0CEHi5-Lg</t>
  </si>
  <si>
    <t>Space to Ground  Astronomical Numbers  05 20 2016</t>
  </si>
  <si>
    <t>Zn0CEHi5-Lg</t>
  </si>
  <si>
    <t>2016 05 18</t>
  </si>
  <si>
    <t>https://youtu.be/sbBQONITclk</t>
  </si>
  <si>
    <t>Space Station Live  Getting the Buzz on Astrobee</t>
  </si>
  <si>
    <t>NASA Commentator Lori Meggs at the Marshall Space Flight Center talks to NASA Ames Research Center’s Chris Provencher about SPHERES – a space station robotics experiment platform used for multiple purposes. May 18 marks a milestone for the project with 10 years of operations. These bowling ball sized experimental satellites have been used for everything from autonomous rendezvous and docking, to sloshing liquids, and even educational robotics competitions. And now adding to that legacy is the next generation free-flyer called Astrobee scheduled to fly in 2017.
________________________________________
FOLLOW THE SPACE STATION!
Twitter: https://twitter.com/Space_Station 
Facebook: https://www.facebook.com/ISS
Instagram: https://instagram.com/iss/</t>
  </si>
  <si>
    <t>sbBQONITclk</t>
  </si>
  <si>
    <t>2016 05 16</t>
  </si>
  <si>
    <t>https://youtu.be/Se4-RpKdgZc</t>
  </si>
  <si>
    <t>The International Space Station Has Made Its 100,000th Orbit!</t>
  </si>
  <si>
    <t>The International Space Station made its 100,000th orbit of Earth on May 16. During the 100,000 orbits since the first component of the station was launched Nov. 20, 1998, the station will have traveled around 2,643,342,240 miles, or roughly the distance between Earth and Neptune. It is also roughly equivalent of about 10 round trips between Earth and Mars at the average distance between the two planets. The station travels at 17,500 miles per hour, orbiting Earth every 90 minutes and traveling through 16 sunrises and sunsets per day.</t>
  </si>
  <si>
    <t>Se4-RpKdgZc</t>
  </si>
  <si>
    <t>2016 05 13</t>
  </si>
  <si>
    <t>https://youtu.be/g5chOA-WEuw</t>
  </si>
  <si>
    <t>International Space Station Marks 100,000 Orbits of Earth</t>
  </si>
  <si>
    <t>Aboard the International Space Station, Expedition 47 Flight Engineer Jeff Williams of NASA took time on May 9 to share his thoughts about the orbiting laboratory making its 100,000th orbit of Earth on May 16. During the 100,000 orbits since the first component of the station was launched Nov. 20, 1998, the station will have traveled around 2,643,342,240 miles, or roughly the distance between Earth and Neptune. It is also roughly equivalent of about 10 round trips between Earth and Mars at the average distance between the two planets. The station travels at 17,500 miles per hour, orbiting Earth every 90 minutes and traveling through 16 sunrises and sunsets per day. 
________________________________________
FOLLOW THE SPACE STATION!
Twitter: https://twitter.com/Space_Station 
Facebook: https://www.facebook.com/ISS
Instagram: https://instagram.com/iss/</t>
  </si>
  <si>
    <t>g5chOA-WEuw</t>
  </si>
  <si>
    <t>https://youtu.be/lzZ2TDCIX88</t>
  </si>
  <si>
    <t>Space Station Live  Green Chemistry for the Red Planet</t>
  </si>
  <si>
    <t>NASA Commentator Lori Meggs at the Marshall Space Flight Center talks to Laurel Karr and Richard Grugel, two materials scientists at Marshall who are using results from an investigation called Materials on the International Space Station Experiment, or MISSE, which is shedding light on technologies for future space travel to Mars. Ionic liquids may prove to be a valuable tool when it comes to designing tanks for spacecraft or extracting oxygen and other elements from the Martian soil. It’s a special class of liquids that are also environmentally friendly.
________________________________________
FOLLOW THE SPACE STATION!
Twitter: https://twitter.com/Space_Station 
Facebook: https://www.facebook.com/ISS
Instagram: https://instagram.com/iss/</t>
  </si>
  <si>
    <t>lzZ2TDCIX88</t>
  </si>
  <si>
    <t>https://youtu.be/85CQl6_tFOU</t>
  </si>
  <si>
    <t>Space to Ground  Release The Dragon  05 13 2016</t>
  </si>
  <si>
    <t>85CQl6_tFOU</t>
  </si>
  <si>
    <t>2016 05 11</t>
  </si>
  <si>
    <t>https://youtu.be/Lt6WVHMA3yE</t>
  </si>
  <si>
    <t>Dragon Departs Station</t>
  </si>
  <si>
    <t>The SpaceX Dragon completed its mission at the station today. The Canadarm2 released Dragon at 9:19 a.m. EDT/1:19 p.m. UTC. Dragon splashed down in the Pacific Ocean at 2:51 p.m. loaded with more than 3,700 pounds of NASA cargo and science samples.</t>
  </si>
  <si>
    <t>Lt6WVHMA3yE</t>
  </si>
  <si>
    <t>2016 05 10</t>
  </si>
  <si>
    <t>https://youtu.be/5uUzxagAPlw</t>
  </si>
  <si>
    <t>Space Station Live  Rodent Research Flies Again</t>
  </si>
  <si>
    <t>NASA Commentator Amiko Kauderer talks with Dr. Rosamund Smith of Eli Lilly, the principal investigator of the latest version of the Rodent Research experiment underway on board the International Space Station.  The research uses mice as stand-ins for humans to assess how well a new compound works to prevent skeletal muscle wasting and weakness, a condition that effects astronauts who spent long periods of time in weightlessness, as will the future crew members on journeys of exploration beyond low Earth orbit.  This research might also return results that could impact people on Earth who suffer similar conditions.
________________________________________
FOLLOW THE SPACE STATION!
Twitter: https://twitter.com/Space_Station 
Facebook: https://www.facebook.com/ISS
Instagram: https://instagram.com/iss/</t>
  </si>
  <si>
    <t>5uUzxagAPlw</t>
  </si>
  <si>
    <t>2016 05 06</t>
  </si>
  <si>
    <t>https://youtu.be/YBe1MHp1LsE</t>
  </si>
  <si>
    <t>Space Station Live  Genes in Space</t>
  </si>
  <si>
    <t>NASA Commentator Gary Jordan talks with Scott Copeland of Boeing, the program manager of the Genes in Space payload on the International Space Station.  The Genes in Space science competition challenges students to design an experiment that uses DNA analysis to solve a space exploration challenge, and is designed to foster creativity, collaboration and critical thinking among students.  The winner of the first year of the competition, 17-year-old Anna-Sophia Boguraev of Bedford, New York, designed an experiment using miniPCR DNA amplification technology to assess changes to an astronaut’s DNA.
________________________________________
FOLLOW THE SPACE STATION!
Twitter: https://twitter.com/Space_Station 
Facebook: https://www.facebook.com/ISS
Instagram: https://instagram.com/iss/</t>
  </si>
  <si>
    <t>YBe1MHp1LsE</t>
  </si>
  <si>
    <t>https://youtu.be/z3hv4q1XrDI</t>
  </si>
  <si>
    <t>Space to Ground  Every Picture Tells a Story  05 06 2016</t>
  </si>
  <si>
    <t>z3hv4q1XrDI</t>
  </si>
  <si>
    <t>2016 05 05</t>
  </si>
  <si>
    <t>https://youtu.be/EuCfB8b-JDM</t>
  </si>
  <si>
    <t>A Moment with Aleksey Ovchinin</t>
  </si>
  <si>
    <t>A moment with Aleksey Ovchinin.
HD download link: https://archive.org/details/Expedition47ResourceReel</t>
  </si>
  <si>
    <t>EuCfB8b-JDM</t>
  </si>
  <si>
    <t>2016 05 04</t>
  </si>
  <si>
    <t>https://youtu.be/ersxREmKIvE</t>
  </si>
  <si>
    <t>Space Station Live  Getting the Dirt on Regolith</t>
  </si>
  <si>
    <t>NASA Commentator Lori Meggs at the Marshall Space Flight Center talks to Strata-1 co-investigator Kristen John about her space station study to understand the behavior of regolith in microgravity. Regolith is the impact-shattered "soil" found on asteroids, comets, the moon, and other airless worlds, but it is different from soil here on Earth in that it contains no living material. It is important NASA learns more about regolith to help in the design of spacesuits and hardware for future exploration missions.</t>
  </si>
  <si>
    <t>ersxREmKIvE</t>
  </si>
  <si>
    <t>https://youtu.be/DDBoMVoEqIs</t>
  </si>
  <si>
    <t>A Moment with Oleg Skripochka</t>
  </si>
  <si>
    <t>A moment with Oleg Skripochka.
HD download link: https://archive.org/details/Expedition47ResourceReel</t>
  </si>
  <si>
    <t>DDBoMVoEqIs</t>
  </si>
  <si>
    <t>2016 05 03</t>
  </si>
  <si>
    <t>https://youtu.be/09wMN_bPoZY</t>
  </si>
  <si>
    <t>A Moment with Jeff Williams</t>
  </si>
  <si>
    <t>A moment with Jeff Williams.
Follow Jeff on Twitter at: https://twitter.com/astro_jeff 
Biography: http://www.jsc.nasa.gov/Bios/htmlbios/williamsj.pdf
HD download link: https://archive.org/details/Expedition47ResourceReel</t>
  </si>
  <si>
    <t>09wMN_bPoZY</t>
  </si>
  <si>
    <t>2016 05 02</t>
  </si>
  <si>
    <t>https://youtu.be/sYcbBA9Dg6c</t>
  </si>
  <si>
    <t>StationLIFE  Physical Science – May 2016</t>
  </si>
  <si>
    <t>Every month on StationLIFE, we’ll focus on a scientific area where the International Space Station is conducting groundbreaking research. This month, astronaut Tracy Dyson talks about studies into physical sciences aboard the International Space Station.
The International Space Station is a laboratory unlike any on Earth; on-board, we can control gravity as a variable and even remove it entirely from the equation.  Removing gravity from the equation reveals fundamental aspects of physics hidden by force-dependent phenomena such as buoyancy-driven convection and sedimentation.  
Gravity often masks or distorts subtle forces such as surface tension and diffusion; on ISS, these forces have been harnessed for a wide variety of physical science applications (combustion, fluids, colloids, surface wetting, boiling, convection, materials processing, etc.).  
So what?  By understanding the fundamentals of combustion and surface tension and colloids, we may make more efficient combustion engines; better portable medical diagnostics; stronger, lighter alloys; medicines with longer shelf-life, and buildings that are more resistant to earthquakes.
Be sure to check back every month to see more of how we’re working "Off the Earth, For the Earth."
http://www.nasa.gov/iss-science
HD download link: https://archive.org/details/StationLIFE
________________________________________
FOLLOW THE SPACE STATION!
Twitter: https://twitter.com/Space_Station
Facebook: https://www.facebook.com/ISS
Instagram: https://instagram.com/iss/</t>
  </si>
  <si>
    <t>sYcbBA9Dg6c</t>
  </si>
  <si>
    <t>2016 04 29</t>
  </si>
  <si>
    <t>https://youtu.be/1nHD65LUio0</t>
  </si>
  <si>
    <t>Space Station Live  A Window to Earth</t>
  </si>
  <si>
    <t>NASA Commentator Dan Huot talks with Carlos Fontanot, the co-principal investigator of the High Definition Earth Viewing experiment on the International Space Station.  HDEV is two years into a test of how four off-the-shelf high definition video cameras hold up in the space environment while offering 24/7 live views of Earth from the station’s perspective 250 miles up in orbit.  The public can monitor the live video stream at http://eol.jsc.nasa.gov/HDEV/.</t>
  </si>
  <si>
    <t>1nHD65LUio0</t>
  </si>
  <si>
    <t>https://youtu.be/9yp7EP4hvSQ</t>
  </si>
  <si>
    <t>Making Space  Aron Hozman</t>
  </si>
  <si>
    <t>Meet musician and acoustic engineer Aron Hozman. Aron is part of the team at NASA Glenn’s Plum Brook Station in Ohio that gives Orion a thorough sound check. He is in charge of blasting Orion with more than 140 dB of sound, louder than an AC/DC concert, so engineers can fine tune the spacecraft’s structural integrity to keep astronauts safe during deep-space exploration missions throughout our solar system. The series of acoustics tests are conducted to make sure Orion can withstand the trip to space atop NASA’s powerful Space Launch System rocket before its next mission beyond the moon in 2018. 
Aron is one of many dedicated rocket scientists and engineers across the country who are making space exploration of the future possible today. 
HD download link:</t>
  </si>
  <si>
    <t>9yp7EP4hvSQ</t>
  </si>
  <si>
    <t>https://youtu.be/5ESZW5YH6ow</t>
  </si>
  <si>
    <t>Space to Ground  Space Marathon  04 29 2016</t>
  </si>
  <si>
    <t>5ESZW5YH6ow</t>
  </si>
  <si>
    <t>2016 04 27</t>
  </si>
  <si>
    <t>https://youtu.be/BPIXfBJsWIg</t>
  </si>
  <si>
    <t>Space Station Live  The Doctor is In</t>
  </si>
  <si>
    <t>NASA Commentator Lori Meggs at the Marshall Space Flight Center talks to NASA astronaut Kjell Lindgren, who spent 141 days in space from July 23-Dec. 11, 2015. Lindgren was at Marshall to share his experiences of living and working on the station, and talked about how being a real-life doctor has similarities to being an astronaut. 
________________________________________
FOLLOW THE SPACE STATION!
Twitter: https://twitter.com/Space_Station 
Facebook: https://www.facebook.com/ISS
Instagram: https://instagram.com/iss/</t>
  </si>
  <si>
    <t>BPIXfBJsWIg</t>
  </si>
  <si>
    <t>https://youtu.be/dNuB6--L5tA</t>
  </si>
  <si>
    <t>CineSpace 2016</t>
  </si>
  <si>
    <t>CineSpace is a collaboration between NASA and Houston Cinema Arts Society (HCAS) that offers filmmakers around the world a chance to share their works inspired by, and using, actual NASA imagery through “CineSpace,” a short film competition.  Winners will be announced and screened along with all finalists  at Houston Cinema Arts Festival, November 10-17, 2016.
In 2015, NASA and the Houston Cinema Arts Society offered filmmakers around the world a chance to share their works inspired by, and using, real NASA imagery.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about the competition, visit: www.cinespace16.org
http://www.nasa.gov/feature/cinespace-winners</t>
  </si>
  <si>
    <t>dNuB6--L5tA</t>
  </si>
  <si>
    <t>2016 04 26</t>
  </si>
  <si>
    <t>https://youtu.be/KMR8b7T95xU</t>
  </si>
  <si>
    <t>Space Station Live  WetLab-2 Gene Expression Analysis</t>
  </si>
  <si>
    <t>NASA Commentator Dan Huot talks to Dr. Macarena Parra of the NASA Ames Research Center, the project scientist for the WetLab-02 technology validation project now underway on the International Space Station.  Cellular biologists doing research on the station currently have to send samples back to Earth to get gene expression information; WetLab-2 is an effort to perform that analysis on orbit, which would accelerate the timetable of an experiment and prevent the loss of results due to deterioration of an RNA sample in transit back to Earth.
________________________________________
FOLLOW THE SPACE STATION!
Twitter: https://twitter.com/Space_Station 
Facebook: https://www.facebook.com/ISS
Instagram: https://instagram.com/iss/</t>
  </si>
  <si>
    <t>KMR8b7T95xU</t>
  </si>
  <si>
    <t>2016 04 22</t>
  </si>
  <si>
    <t>https://youtu.be/r3S1XPDqN_w</t>
  </si>
  <si>
    <t>Space Station Live  An Earth Day View of Earth</t>
  </si>
  <si>
    <t>NASA Commentator Amiko Kauderer talks with Dr. Lisa Vanderbloemen, the manager of the Earth Science and Remote Sensing Unit at NASA’s Johnson Space Center in Houston, about the pictures of Earth gathered by International Space Station crew members during the Crew Earth Observation experiment.  Taking advantage of the perch 250 miles above the planet, astronauts can capture images that document the impact that the human inhabitants of Earth have on their planet and let experts monitor natural disasters.  Most of the images are available to the public online at the Gateway to Astronaut Photography of Earth (http://eol.jsc.nasa.gov).</t>
  </si>
  <si>
    <t>r3S1XPDqN_w</t>
  </si>
  <si>
    <t>https://youtu.be/UvXX3L7o_kw</t>
  </si>
  <si>
    <t>Space to Ground  BEAM Me Up Scotty!  04 22 2016</t>
  </si>
  <si>
    <t>UvXX3L7o_kw</t>
  </si>
  <si>
    <t>2016 04 20</t>
  </si>
  <si>
    <t>https://youtu.be/kvYLpzFdreQ</t>
  </si>
  <si>
    <t>Space Station Live  Windows on Earth</t>
  </si>
  <si>
    <t>NASA Commentator Lori Meggs at the Marshall Space Flight Center talks to Dan Barstow, the principal investigator for Windows on Earth on the International Space Station. Windows on Earth is a suite of software tools to help students, scientists and astronauts explore Earth from space. The software provides a little help to astronauts in snapping the best photographs as they must key in on a city or landmark and get a picture, while traveling 17,500 mph.</t>
  </si>
  <si>
    <t>kvYLpzFdreQ</t>
  </si>
  <si>
    <t>2016 04 19</t>
  </si>
  <si>
    <t>https://youtu.be/oFDeNcu3mnc</t>
  </si>
  <si>
    <t>Ultra High Definition (4K) View of Planet Earth</t>
  </si>
  <si>
    <t>NASA monitors Earth's vital signs from land, air and space with a fleet of satellites and ambitious airborne and ground-based observation campaigns. The International Space Station hosts a variety of payloads and experiments supporting climate research, weather predictions, hurricane monitoring, pollution tracking, disaster response and more. 
For more on how NASA uses space to understand our home planet, visit: http://www.nasa.gov/earthrightnow 
Read more on 4K in space:
http://www.nasa.gov/mission_pages/station/research/news/red_epic_dragon_camera/ 
*To view in 4k, be sure to change resolution under "Settings" menu in YouTube viewer to "2160p 4k".
(Video: NASA)
HD download: https://archive.org/details/NASA-Ultra-High-Definition
________________________________________
FOLLOW THE SPACE STATION!
Twitter: https://twitter.com/Space_Station
Facebook: https://www.facebook.com/ISS
Instagram: https://instagram.com/iss/</t>
  </si>
  <si>
    <t>oFDeNcu3mnc</t>
  </si>
  <si>
    <t>https://youtu.be/2_4r_DRtcDI</t>
  </si>
  <si>
    <t>Space Station Live  Burning for Safety</t>
  </si>
  <si>
    <t>NASA Commentator Brandi Dean talks with the vice president of Milliken Research, Chris Desoiza, about the company’s combustion research on board the International Space Station.  The textile manufacturer has an interest in learning about flame retardance to improve product safety and is able to learn more about the characteristics of combustion by conducting test burns in the weightlessness of space.</t>
  </si>
  <si>
    <t>2_4r_DRtcDI</t>
  </si>
  <si>
    <t>2016 04 18</t>
  </si>
  <si>
    <t>https://youtu.be/c7OO3qCfH9Y</t>
  </si>
  <si>
    <t>Ultra High Definition (4K) Crew Earth Observations</t>
  </si>
  <si>
    <t>c7OO3qCfH9Y</t>
  </si>
  <si>
    <t>2016 04 15</t>
  </si>
  <si>
    <t>https://youtu.be/60w3WbVwhh8</t>
  </si>
  <si>
    <t>Meteorites Help Answer Questions About Solar System Evolution</t>
  </si>
  <si>
    <t>A team of eight scientists spent two-months in the frozen landscape of Antarctica as part of the Antarctic Search for Meteorites (ANSMET), a 40-year program that has helped 
reveal information about asteroids, other bodies of our solar system and the red planet which will assist NASA on its Journey to Mars. 
The team recovered nearly 570 new meteorite samples from the Miller Range of the Trans-Antarctic Mountains during the expedition. 
Samples recovered from recent seasons include rare and scientifically valuable pieces of Mars and Moon, as well as rocks formed very early during the formation and evolution of the solar system that hold clues to the origin of volatiles, planets and the organic compounds essential to life. 
The meteorites collected give us important clues about the early solar system, but even the thousands of meteorites recovered over the years represent a tiny part of the larger puzzle, including a find in the 1990s that produced evidence that sparked a vigorous debate about whether life could have existed on Mars more than 3.6 billion years ago.
Meteorites are currently the only way to acquire samples from Mars as well as new samples of the moon that are different from – and originated far from – the Apollo landing sites, as well as a variety of asteroid bodies.</t>
  </si>
  <si>
    <t>60w3WbVwhh8</t>
  </si>
  <si>
    <t>https://youtu.be/_kd8tWBLNB0</t>
  </si>
  <si>
    <t>Space to Ground  Six Pack of Spaceships  04 15 2016</t>
  </si>
  <si>
    <t>_kd8tWBLNB0</t>
  </si>
  <si>
    <t>2016 04 13</t>
  </si>
  <si>
    <t>https://youtu.be/9JDAZBoLJUc</t>
  </si>
  <si>
    <t>Space Station Live  Everything’s Coming up Veggie</t>
  </si>
  <si>
    <t>NASA Commentator Lori Meggs at the Marshall Space Flight Center talks about the latest work of the Veggie experiment on board the International Space Station with Gioia Massa, the Veggie project scientist.  The experimental compact greenhouse has been used successfully to grow two crops of lettuce and a crop of zinnias, demonstrating an ability to grow crops in space that could be very useful for future exploration missions out into the solar systems.  More tests are on the agenda as specialists improve the capabilities of the system.
________________________________________
FOLLOW THE SPACE STATION!
Twitter: https://twitter.com/Space_Station 
Facebook: https://www.facebook.com/ISS
Instagram: https://instagram.com/iss/</t>
  </si>
  <si>
    <t>9JDAZBoLJUc</t>
  </si>
  <si>
    <t>https://youtu.be/y4qQ-L672Q0</t>
  </si>
  <si>
    <t>Monthly ISS Research Video Update for April 2016</t>
  </si>
  <si>
    <t>See the highlights of recent research conducted on the International Space Station during April.</t>
  </si>
  <si>
    <t>y4qQ-L672Q0</t>
  </si>
  <si>
    <t>2016 04 12</t>
  </si>
  <si>
    <t>https://youtu.be/wlg0rexZmFM</t>
  </si>
  <si>
    <t>Station Crew Observes Cosmonautics Day 2016</t>
  </si>
  <si>
    <t>The Expedition 47 crew observed Cosmonautics Day on April 12, 2016 aboard the International Space Station. The holiday marked the 55th anniversary of Yuri Gagarin’s historic launch aboard Vostok 1 from the Baikonur Cosmodrome in Kazakhstan, the birth of human spaceflight. Russian President Vladimir Putin called the station crew to offer Cosmonautics Day greetings and congratulations, with all six crew members participating. They also spoke with Alexey Leonov, a retired Russian cosmonaut and the first human to perform a spacewalk. He offered greetings from the new Vostochny Cosmodrome in far Eastern Russia which is weeks away from its first launch.</t>
  </si>
  <si>
    <t>wlg0rexZmFM</t>
  </si>
  <si>
    <t>2016 04 11</t>
  </si>
  <si>
    <t>https://youtu.be/vkdAgyJ3Xqw</t>
  </si>
  <si>
    <t>Space Station Live  Williams Talks Candidly about Cameras</t>
  </si>
  <si>
    <t>Astronaut Jeff Williams aboard the International Space Station highlights a favorite activity of crew members while aboard: Earth photography. On his fourth space mission and third Expedition on the ISS, Williams demonstrates the cameras and lenses used to capture still and video imagery of the station and its various visiting vehicle spacecraft like the Soyuz, Progress and Orbital ATK Cygnus cargo craft. He then floats into the Cupola – his favorite “window on the world” from which breathtaking views of the Earth are taken and shared with everyone on Earth.
________________________________________
FOLLOW THE SPACE STATION!
Twitter: https://twitter.com/Space_Station 
Facebook: https://www.facebook.com/ISS
Instagram: https://instagram.com/iss/</t>
  </si>
  <si>
    <t>vkdAgyJ3Xqw</t>
  </si>
  <si>
    <t>2016 04 10</t>
  </si>
  <si>
    <t>https://youtu.be/74DgelycULc</t>
  </si>
  <si>
    <t>SpaceX Dragon Mated to Harmony</t>
  </si>
  <si>
    <t>The SpaceX Dragon cargo spacecraft was bolted on the Harmony module today at 9:57 a.m. EDT/1:57 p.m. UTC. There are now six spacecraft at the International Space Station. http://go.nasa.gov/1SpTxWI</t>
  </si>
  <si>
    <t>74DgelycULc</t>
  </si>
  <si>
    <t>2016 04 09</t>
  </si>
  <si>
    <t>https://youtu.be/GgN1HVRbSEc</t>
  </si>
  <si>
    <t>Space Station Live  Expedition 47 Science Update</t>
  </si>
  <si>
    <t>NASA Commentator Pat Ryan talks about human life science research on the International Space Station with the Expedition 47/48 lead increment scientist, Yuri Guinart-Ramirez.  NASA and the space agencies of Russia, Japan, Canada and Europe all have research underway to learn more about how the human body responds to being in weightlessness for an extended period of time, and some of those experiments are wrapping up with Expedition 47.  The science community is also looking forward to new experiments coming to the station on the new Dragon cargo ship.
________________________________________
FOLLOW THE SPACE STATION!
Twitter: https://twitter.com/Space_Station 
Facebook: https://www.facebook.com/ISS
Instagram: https://instagram.com/iss/</t>
  </si>
  <si>
    <t>GgN1HVRbSEc</t>
  </si>
  <si>
    <t>2016 04 08</t>
  </si>
  <si>
    <t>https://youtu.be/wITwZU3r2mM</t>
  </si>
  <si>
    <t>Space to Ground  A New View of the Front Porch  04 08 2016</t>
  </si>
  <si>
    <t>Published on Apr 1, 2016
NASA's Space to Ground is your weekly update on what's happening aboard the International Space Station. 
Got a question or comment? Use #spacetoground to talk to us.</t>
  </si>
  <si>
    <t>wITwZU3r2mM</t>
  </si>
  <si>
    <t>2016 04 07</t>
  </si>
  <si>
    <t>https://youtu.be/vBAAawuBgyY</t>
  </si>
  <si>
    <t>Space Station Live  Learning About the Soil of Space</t>
  </si>
  <si>
    <t>NASA Commentator Pat Ryan talks with Dr. Marc Fries, a planetary scientist at the Johnson Space Center in Houston and principal investigator of an experiment designed to learn how soils on airless bodies behave.  Specialists planning future missions to asteroids or to Mars need to know how regolith behaves and moves in microgravity, whether or not it will be difficult to anchor a spacecraft there, and how it interacts with spacecraft and spacesuit materials.  Fries and his team sent canisters of material that simulate regolith to the International Space Station to study how the materials react to the weightless environment and the vibrations on board the station.
________________________________________
FOLLOW THE SPACE STATION!
Twitter: https://twitter.com/Space_Station 
Facebook: https://www.facebook.com/ISS
Instagram: https://instagram.com/iss/</t>
  </si>
  <si>
    <t>vBAAawuBgyY</t>
  </si>
  <si>
    <t>2016 04 06</t>
  </si>
  <si>
    <t>https://youtu.be/X4lTOJU22oY</t>
  </si>
  <si>
    <t>NASA is Sending an Expandable Habitat to Space</t>
  </si>
  <si>
    <t>We’re launching an expandable habitat to the space station aboard a SpaceX Dragon cargo spacecraft on Friday April 8. This habitat could pave the way for future space habitats on missions to deep space.
Future space habitats for low-Earth orbit, the moon, Mars, or other destinations need to be lightweight and relatively simple to construct. The Bigelow Expandable Activity Module (BEAM) is an experimental expandable capsule that docks with the International Space Station (ISS). After docking, BEAM inflates to roughly 13 feet long and 10.5 feet in diameter to provide a habitable volume where a crew member can enter.
Check out "The Five W's of an Expandable Habitat in Space" on NASA's Tumblr: http://nasa.tumblr.com/post/142294936624/the-five-ws-of-an-expandable-habitat-in-space
Learn more about BEAM at: http://www.nasa.gov/mission_pages/station/research/experiments/1804.html</t>
  </si>
  <si>
    <t>X4lTOJU22oY</t>
  </si>
  <si>
    <t>https://youtu.be/XhQEIF7rLmY</t>
  </si>
  <si>
    <t>Space Station Live  Getting a Grip on the Space Station</t>
  </si>
  <si>
    <t>NASA Commentator Lori Meggs at the Marshall Space Flight Center talks to Aaron Parness, the principal investigator for the Gecko Gripper experiment, an adhesive technology inspired by nature. The Gecko Gripper can stick to a surface on command, and is being considered as a way to enable new capabilities in space such as reusable sensor mounts and robotic crawlers that could walk along spacecraft surfaces inside and out.
________________________________________
FOLLOW THE SPACE STATION!
Twitter: https://twitter.com/Space_Station 
Facebook: https://www.facebook.com/ISS
Instagram: https://instagram.com/iss/</t>
  </si>
  <si>
    <t>XhQEIF7rLmY</t>
  </si>
  <si>
    <t>2016 04 05</t>
  </si>
  <si>
    <t>https://youtu.be/AlEo6MW2yMY</t>
  </si>
  <si>
    <t>mISSion imaginaTIon  Orbital Debris</t>
  </si>
  <si>
    <t>mISSion imaginaTIon, a joint venture between NASA and Texas Instruments, challenges students to take the knowledge gathered from missions aboard the International Space Station and adapt proven systems and processes for a future #JourneytoMars. For the fourth and final activity, students are challenged to design a spacecraft that can detect and prevent potential collisions with orbital debris. To help them along the way, Dr. J-C Liou, Chief Scientist for Orbital Debris and Bryan Corley, Trajectory Operations and Planning Group Lead at the Johnson Space Center, explain orbital debris, why it is important to track, how the Space Station avoids collisions, and what NASA is doing to help prepare for future missions. Are you ready to put science, technology, engineering and mathematics to work and take the next big leap? 
www.missionimagination.com</t>
  </si>
  <si>
    <t>AlEo6MW2yMY</t>
  </si>
  <si>
    <t>2016 04 01</t>
  </si>
  <si>
    <t>https://youtu.be/Gm8ECUMYBFg</t>
  </si>
  <si>
    <t>Orion Backstage  Chris Cassidy and Heather Paul</t>
  </si>
  <si>
    <t>Piloting a spaceship at 25,000 mph? That controller used to maneuver it better fit like a glove! At NASA's Johnson Space Center in Houston, engineer Heather Paul and astronaut Chris Cassidy put on spacesuits to test out the next generation controller for the Orion spacecraft - NASA's deep space vehicle that will take humans on the #JourneyToMars. The testing is providing data teams will use to make any adjustments needed to ensure future Orion crews can interact appropriately with the spacecraft’s control system when they're inside their spacesuits during deep space missions.
FOLLOW ORION!
Twitter: https://twitter.com/NASA_Orion
Facebook: https://www.facebook.com/NASAOrion
Tumblr: http://nasaorion.tumblr.com/</t>
  </si>
  <si>
    <t>Gm8ECUMYBFg</t>
  </si>
  <si>
    <t>https://youtu.be/STIH6SsDBro</t>
  </si>
  <si>
    <t>Space to Ground  Rush Hour  04 01 2016</t>
  </si>
  <si>
    <t>NASA's Space to Ground is your weekly update on what's happening aboard the International Space Station. 
Got a question or comment? Use #spacetoground to talk to us.</t>
  </si>
  <si>
    <t>STIH6SsDBro</t>
  </si>
  <si>
    <t>2016 03 30</t>
  </si>
  <si>
    <t>https://youtu.be/SVrW3uOkLjU</t>
  </si>
  <si>
    <t>Space Station Live  Classroom with a View</t>
  </si>
  <si>
    <t>NASA Commentator Lori Meggs at the Marshall Space Flight Center talks to Scott Harbour with the U.S. Space &amp; Rocket Center in Huntsville, Alabama, home to Space Camp and now the new home to the Sally Ride EarthKAM experiment, in which middle school students from all over the world can photograph targets on Earth by commanding a camera on the International Space Station. Teachers can register their class for EarthKAM by visiting http://www.earthkam.org
________________________________________
FOLLOW THE SPACE STATION!
Twitter: https://twitter.com/Space_Station 
Facebook: https://www.facebook.com/ISS
Instagram: https://instagram.com/iss/</t>
  </si>
  <si>
    <t>SVrW3uOkLjU</t>
  </si>
  <si>
    <t>2016 03 29</t>
  </si>
  <si>
    <t>https://youtu.be/TQHjWFFeetc</t>
  </si>
  <si>
    <t>Space Station Live  BEAMing up to ISS</t>
  </si>
  <si>
    <t>NASA Commentator Gary Jordan talks with Rajib Dasgupta, the International Space Station project manager for the Bigelow Expandable Activity Module, which will launch to the station on a Dragon cargo ship next month.  Provided by Bigelow Aerospace, BEAM will be berthed to the aft docking port of the station’s Tranquility module for a two-year demonstration of the commercial expandable technology.  The station crew members will perform maintenance inside the BEAM on a quarterly basis: inspecting for leaks, taking air and surface samples for later analysis, and changing out batteries in instruments measuring temperature and radiation levels and impact data.
 ________________________________________
FOLLOW THE SPACE STATION!
Twitter: https://twitter.com/Space_Station
Facebook: https://www.facebook.com/ISS
Instagram: https://instagram.com/iss/</t>
  </si>
  <si>
    <t>TQHjWFFeetc</t>
  </si>
  <si>
    <t>2016 03 28</t>
  </si>
  <si>
    <t>https://youtu.be/Gv03IN3Fcmc</t>
  </si>
  <si>
    <t>StationLIFE  Observing the Earth – April 2016</t>
  </si>
  <si>
    <t>Every month on StationLIFE, we’ll focus on a scientific area where the International Space Station is conducting groundbreaking research. This month, astronaut Tracy Dyson talks about studies focused on Earth taking place aboard the International Space Station.
The International Space Station is part of a fleet of Earth remote-sensing platforms to develop a scientific understanding of Earth’s systems and its response to natural or human-induced changes and to improve prediction of climate, weather, and natural hazards. Unlike automated remote-sensing platforms, the station has a human crew, a low-orbit altitude, and orbital parameters that provide variable views and lighting. It also has an inclined, sun-asynchronous orbit that carries it over 90 percent of the inhabited surface of the Earth and allows for the ISS to pass over ground locations at different times of the day and night. This is different and complimentary to other orbiting satellites.
Be sure to check back every month to see more of how we’re working "Off the Earth, For the Earth."
http://www.nasa.gov/iss-science
HD download link: https://archive.org/details/StationLIFE
________________________________________
FOLLOW THE SPACE STATION!
Twitter: https://twitter.com/Space_Station
Facebook: https://www.facebook.com/ISS
Instagram: https://instagram.com/iss/</t>
  </si>
  <si>
    <t>Gv03IN3Fcmc</t>
  </si>
  <si>
    <t>2016 03 25</t>
  </si>
  <si>
    <t>https://youtu.be/6WYYLnFCF_U</t>
  </si>
  <si>
    <t>Interview with One-Year Crew Member Scott Kelly</t>
  </si>
  <si>
    <t>Expedition 43-46 astronaut Scott Kelly of NASA sits down for an in-depth interview at the Gagarin Cosmonaut Training Center in Star City, Russia on March 25, several weeks after landing in their Soyuz TMA-18M spacecraft in Kazakhstan. Kelly spent 340 days in space after launching in March 2015 to gather valuable biomedical data on the long duration effects of weightlessness on the human body that will be used to formulate a human mission to Mars.
________________________________________
FOLLOW THE SPACE STATION!
Twitter: https://twitter.com/Space_Station 
Facebook: https://www.facebook.com/ISS
Instagram: https://instagram.com/iss/</t>
  </si>
  <si>
    <t>6WYYLnFCF_U</t>
  </si>
  <si>
    <t>https://youtu.be/m1ZAntTQ3e0</t>
  </si>
  <si>
    <t>Interview with One-Year Crew Member Mikhail Kornienko</t>
  </si>
  <si>
    <t>Expedition 43-46 cosmonaut Mikhail Kornienko of Roscosmos sits down for an in-depth interview at the Gagarin Cosmonaut Training Center in Star City, Russia on March 25, several weeks after landing in their Soyuz TMA-18M spacecraft in Kazakhstan. Kornienko spent 340 days in space after launching in March 2015 to gather valuable biomedical data on the long duration effects of weightlessness on the human body that will be used to formulate a human mission to Mars.
________________________________________
FOLLOW THE SPACE STATION!
Twitter: https://twitter.com/Space_Station 
Facebook: https://www.facebook.com/ISS
Instagram: https://instagram.com/iss/</t>
  </si>
  <si>
    <t>m1ZAntTQ3e0</t>
  </si>
  <si>
    <t>https://youtu.be/moInhIwh0lI</t>
  </si>
  <si>
    <t>One-Year Space Station Crew Receives a Warm Welcome in Star City, Russia</t>
  </si>
  <si>
    <t>Expedition 45-46 Commander Scott Kelly of NASA and cosmonauts Sergey Volkov and Mikhail Kornienko of Roscosmos participated in traditional welcoming ceremonies at their training base at the Gagarin Cosmonaut Training Center in Star City, Russia on March 25, several weeks after landing in their Soyuz TMA-18M spacecraft in Kazakhstan. The crew laid flowers at a statue of Yuri Gagarin, the first human in space, and then led a procession of well-wishers to the House of Cosmonauts where other ceremonial activities took place. Kelly and Kornienko spent 340 days in space after launching in March 2015 to gather valuable biomedical data on the long duration effects of weightlessness on the human body that will be used to formulate a human mission to Mars.
________________________________________
FOLLOW THE SPACE STATION!
Twitter: https://twitter.com/Space_Station 
Facebook: https://www.facebook.com/ISS
Instagram: https://instagram.com/iss/</t>
  </si>
  <si>
    <t>moInhIwh0lI</t>
  </si>
  <si>
    <t>https://youtu.be/U3ez7ci4TEg</t>
  </si>
  <si>
    <t>Space to Ground  Rising Cygnus, Falling Stars  03 25 2016</t>
  </si>
  <si>
    <t>U3ez7ci4TEg</t>
  </si>
  <si>
    <t>2016 03 24</t>
  </si>
  <si>
    <t>https://youtu.be/VopaBsuwikk</t>
  </si>
  <si>
    <t>BEAM Installation Animation</t>
  </si>
  <si>
    <t>Future astronauts will require highly reliable habitation systems to keep them healthy and productive during missions that take them farther from Earth than humans have ever gone before. Through public-private partnerships with U.S. industry, NASA is investigating habitation concepts that can support astronauts who are living and working in the harsh environment of deep space. 
Expandable habitats are one such concept under consideration. To demonstrate expandable habitation modules, NASA will attach the Bigelow Expandable Activity Module (BEAM) to the International Space Station for a minimum two-year technology demonstration. The space station is the world’s leading laboratory for conducting cutting-edge research and is the primary platform for technology research, development and testing in space to enable human and robotic exploration of destinations beyond low-Earth orbit, including asteroids and Mars. 
For more: http://go.nasa.gov/1Rzwp7L
HD download link: https://archive.org/details/Expedition47ResourceReel
________________________________________
FOLLOW THE SPACE STATION!
Twitter: https://twitter.com/Space_Station 
Facebook: https://www.facebook.com/ISS
Instagram: https://instagram.com/iss/</t>
  </si>
  <si>
    <t>VopaBsuwikk</t>
  </si>
  <si>
    <t>2016 03 23</t>
  </si>
  <si>
    <t>https://youtu.be/fB9jDM49b-g</t>
  </si>
  <si>
    <t>Space Station Live  What Works Well, and Why</t>
  </si>
  <si>
    <t>NASA Commentator Lori Meggs at the Marshall Space Flight Center talks to Dr. David Dinges, a principal investigator on one of the Year in Space studies called Reaction Self Test. For this study, astronauts take a five-minute test to see how different factors, including fatigue, can affect their job performance. It’s a similar problem for folks here on Earth, like airline pilots, truck drivers and shift workers who may work up to 16 hours per day, or more than six consecutive days without a day off to rest.
________________________________________
FOLLOW THE SPACE STATION!
Twitter: https://twitter.com/Space_Station 
Facebook: https://www.facebook.com/ISS
Instagram: https://instagram.com/iss/</t>
  </si>
  <si>
    <t>fB9jDM49b-g</t>
  </si>
  <si>
    <t>2016 03 22</t>
  </si>
  <si>
    <t>https://youtu.be/pF1LEd_NDuY</t>
  </si>
  <si>
    <t>The Heart to Heart activity promotes student engagement in science, technology, engineering and math (STEM) practices that are critical for success in school and careers. NASA and Texas Instruments developed this free TI-NspireTM activity to give students a first-hand look at the STEM practices that make life in space possible. Follow along as NASA Flight Surgeon Natacha Chough introduces the activity and shows how cardiovascular research aboard the International Space Station helps us understand how to better treat patients on the ground.  Go to www.missionimagination.com, and click on “Activities” to get started!</t>
  </si>
  <si>
    <t>pF1LEd_NDuY</t>
  </si>
  <si>
    <t>https://youtu.be/GjLtuTRKp2s</t>
  </si>
  <si>
    <t>Space Station Live  Time for a Little Exercise</t>
  </si>
  <si>
    <t>NASA Commentator Brandi Dean talks with Fernando Zumbado of the Johnson Space Center in Houston, the project manager for the Miniature Exercise Device (MED-2) that’s being delivered to the International Space Station on the next Cygnus cargo vehicle.  MED-2 seeks to demonstrate that an apparatus with small robotic actuators can provide the motion and resistance required for both strength and aerobic exercise, and potentially reduce the size and weight requirements for exercise equipment to support future crews on missions to deep space.
________________________________________
FOLLOW THE SPACE STATION!
Twitter: https://twitter.com/Space_Station
Facebook: https://www.facebook.com/ISS
Instagram: https://instagram.com/iss/</t>
  </si>
  <si>
    <t>GjLtuTRKp2s</t>
  </si>
  <si>
    <t>2016 03 21</t>
  </si>
  <si>
    <t>https://youtu.be/5jpp8ccqPps</t>
  </si>
  <si>
    <t>Space Station Live  The Stuff of Meteors</t>
  </si>
  <si>
    <t>NASA Commentator Dan Huot talks with Michael Fortenberry of the Southwest Research Institute in San Antonio, Texas, the developer of the Meteor experiment flying to the International Space Station on the next Cygnus cargo ship.  Once set up in the station’s Windows Observational Research Facility (WORF) in the Destiny module, the Meteor camera equipped with a series of filters will observe meteor showers and take spectral measurements that can reveal the chemical makeup of the meteors and improve our understanding of how the planets developed.
FOLLOW THE SPACE STATION!
Twitter: https://twitter.com/Space_Station 
Facebook: https://www.facebook.com/ISS
Instagram: https://instagram.com/iss/</t>
  </si>
  <si>
    <t>5jpp8ccqPps</t>
  </si>
  <si>
    <t>https://youtu.be/S8veP-ZMR7o</t>
  </si>
  <si>
    <t xml:space="preserve">How Will Astronauts Exercise on a Mission to Mars </t>
  </si>
  <si>
    <t>For future human spaceflight missions beyond Low Earth Orbit, NASA must invent a lighter, more compact device that will allow astronauts to meet their aerobic and resistive exercise needs for long-duration flights. The Miniature Exercise Device (MED-2) was designed and produced in less than a calendar year at a fraction of the cost of traditional processes to meet those needs. The MED-2 weighs in at under 6% the mass of ARED, the resistive exercise device currently aboard the International Space Station, while also including aerobic exercise capabilities. The MED-2 is scheduled to launch to the space station on March 22 aboard the Orbital ATK Cygnus cargo vehicle.</t>
  </si>
  <si>
    <t>S8veP-ZMR7o</t>
  </si>
  <si>
    <t>2016 03 18</t>
  </si>
  <si>
    <t>https://youtu.be/8XtPkS3Qls8</t>
  </si>
  <si>
    <t>New Crew Launches and Heads to Space Station</t>
  </si>
  <si>
    <t>The Soyuz TMA-20M spacecraft launched today at 5:26 p.m. EDT/9:26 p.m. UTC carrying NASA astronaut Jeff Williams, Oleg Skripochka and Alexey Ovchinin on a six-hour trip to their new home in space, the International Space Station.</t>
  </si>
  <si>
    <t>8XtPkS3Qls8</t>
  </si>
  <si>
    <t>https://youtu.be/KZ4IzEBnuek</t>
  </si>
  <si>
    <t>Space to Ground  Records Are Meant to be Broken  03 18 2016</t>
  </si>
  <si>
    <t>KZ4IzEBnuek</t>
  </si>
  <si>
    <t>2016 03 17</t>
  </si>
  <si>
    <t>https://youtu.be/Wz9Xg7Lv-BU</t>
  </si>
  <si>
    <t>Space Station Live  Station Veteran Ready for Historic Flight</t>
  </si>
  <si>
    <t>NASA Commentator Pat Ryan talks with NASA astronaut Jeff Williams, who is about to become the first American to launch to the International Space Station for a third long-duration mission.  The veteran of two prior tours of duty on the station, as well as a space shuttle mission to assemble and outfit the station prior to the arrival of the first crew, will serve as a flight engineer on Expedition 47 and then as commander of Expedition 48 later this year; he is scheduled to launch on board a Soyuz spacecraft with cosmonauts Alexey Ovchinin and Oleg Skripochka, on March 18.
________________________________________
FOLLOW THE SPACE STATION!
Twitter: https://twitter.com/Space_Station 
Facebook: https://www.facebook.com/ISS
Instagram: https://instagram.com/iss/</t>
  </si>
  <si>
    <t>Wz9Xg7Lv-BU</t>
  </si>
  <si>
    <t>2016 03 16</t>
  </si>
  <si>
    <t>https://youtu.be/Sn6MWSCyiJg</t>
  </si>
  <si>
    <t>Expedition 47 Soyuz Rocket Moves to Its Launch Pad</t>
  </si>
  <si>
    <t>The Soyuz TMA-20M spacecraft was mated to its booster rocket in the Integration Facility at the Baikonur Cosmodrome in Kazakhstan Mar. 15, and was moved to the launch pad on a railcar Mar. 16 for final preparations before launch to the International Space Station on Mar. 19, Kazakh time. The Soyuz TMA-20M will carry Soyuz Commander Alexey Ovchinin and Flight Engineer Oleg Skripochka of Roscosmos and Flight Engineer Jeff Williams of NASA to the orbital complex for a six-month mission. Also included are interviews at the launch pad with Astronaut Rex Walheim, Assistant Director for ISS Operations; Daniel Hartman, ISS Deputy Program Manager and William Gerstenmaier, NASA Associate Administrator for Human Exploration Operations.</t>
  </si>
  <si>
    <t>Sn6MWSCyiJg</t>
  </si>
  <si>
    <t>https://youtu.be/SDfTJA9KsXY</t>
  </si>
  <si>
    <t>Space Station Live  Space Zzzzzs</t>
  </si>
  <si>
    <t>NASA Commentator Lori Meggs at the Marshall Space Flight Center talks with Dr. Laura Barger, principal investigator of a sleep study that examined the effects of spaceflight and ambient light exposure on astronaut sleep during the One Year Mission on the International Space Station.  A lack of restful sleep can impact health and job performance, so understanding how living in weightlessness effects the sleep patterns of astronauts is important in planning for station expeditions as well as for future missions beyond low Earth orbit.
________________________________________
FOLLOW THE SPACE STATION!
Twitter: https://twitter.com/Space_Station 
Facebook: https://www.facebook.com/ISS
Instagram: https://instagram.com/iss/</t>
  </si>
  <si>
    <t>SDfTJA9KsXY</t>
  </si>
  <si>
    <t>2016 03 15</t>
  </si>
  <si>
    <t>https://youtu.be/FjqdEVfYQAo</t>
  </si>
  <si>
    <t>Space Station Live  The Zinnias of Space</t>
  </si>
  <si>
    <t>NASA Commentator Brandi Dean talks with Dr. Gioia Massa, the Veggie project scientist, about the most recent crop of zinnias grown in the compact greenhouse on the International Space Station.  The project is testing the viability of a system that would allow crew members on future missions to deep space to grow some of their own food; it has already grown two successful crops of lettuce, and now a crop of flowers during Expedition 46 that are a prerequisite to a planned future crop of tomatoes.  The Veggie team is launching red romaine lettuce and a small Chinese cabbage on the next SpaceX Dragon cargo ship targeted to launch in early April.
________________________________________
FOLLOW THE SPACE STATION!
Twitter: https://twitter.com/Space_Station 
Facebook: https://www.facebook.com/ISS
Instagram: https://instagram.com/iss/</t>
  </si>
  <si>
    <t>FjqdEVfYQAo</t>
  </si>
  <si>
    <t>2016 03 14</t>
  </si>
  <si>
    <t>https://youtu.be/wSsUCquggPE</t>
  </si>
  <si>
    <t>Expedition 47-48 Crew Prepares for Launch in Kazakhstan</t>
  </si>
  <si>
    <t>At the Baikonur Cosmodrome in Kazakhstan, Expedition 47-48 Soyuz Commander Alexey Ovchinin and Oleg Skripochka of Roscosmos and Flight Engineer Jeff Williams of NASA and their backups, Sergey Ryzhikov and Andrey Borisenko of Roscosmos and Shane Kimbrough of NASA participated in a variety of activities Mar. 3-14 as they prepared for the launch of Ovchinin, Williams and Skripochka to the International Space Station in the Soyuz TMA-20M spacecraft on Mar. 19, Kazakh time. The footage includes the crew’s arrival in Baikonur, their Soyuz fit checks in the Cosmodrome Integration Facility, the ceremonial Cosmonaut Hotel flag-raising ceremony, the crew’s traditional media day activities and other training activities.</t>
  </si>
  <si>
    <t>wSsUCquggPE</t>
  </si>
  <si>
    <t>2016 03 11</t>
  </si>
  <si>
    <t>https://youtu.be/DGoV9mTic4I</t>
  </si>
  <si>
    <t>Project Sidekick in Action</t>
  </si>
  <si>
    <t>Science fiction becomes science fact. 
Crew members aboard the International Space Station performed the first checkouts for Project Sidekick on Saturday, Feb. 20. Sidekick uses Microsoft's HoloLens to enable station crews with assistance when and where they need it.
A pair of devices arrived in December 2015 on Orbital ATK's Cygnus cargo craft. Expedition 46 Commander Scott Kelly performed the checkout with team members in Mission Control Houston. 
Sidekick has two modes of operation to provide virtual aid to astronauts, which could reduce crew training requirements and increase the efficiency at which astronauts can work in space. 
To learn more, visit: http://go.nasa.gov/1GKRAld 
________________________________________
FOLLOW THE SPACE STATION!
Twitter: https://twitter.com/Space_Station 
Facebook: https://www.facebook.com/ISS
Instagram: https://instagram.com/iss/</t>
  </si>
  <si>
    <t>DGoV9mTic4I</t>
  </si>
  <si>
    <t>https://youtu.be/Z-yHD9lVbH8</t>
  </si>
  <si>
    <t>ARISS  Talking to Astronauts</t>
  </si>
  <si>
    <t>Amateur Radio on the International Space Station (ARISS) lets students worldwide experience the excitement of talking directly with crew members of the International Space Station, inspiring them to pursue interests in careers in science, technology, engineering and math, and engaging them with radio science technology through amateur radio. 
In this video, ESA (European Space Agency) astronaut Tim Peake talks about the opportunities ARISS offers and the impact it can have on the next generation of explorers. 
Follow Tim Peake during his stay in space at: https://twitter.com/astro_timpeake 
Read more at: http://go.nasa.gov/1P2qQgF 
For more on ARISS, visit: http://www.ariss.org/
________________________________________
FOLLOW THE SPACE STATION!
Twitter: https://twitter.com/Space_Station 
Facebook: https://www.facebook.com/ISS
Instagram: https://instagram.com/iss/</t>
  </si>
  <si>
    <t>Z-yHD9lVbH8</t>
  </si>
  <si>
    <t>https://youtu.be/SktLZ2l3uxs</t>
  </si>
  <si>
    <t>Space to Ground  You Talkin' to Me  -- 03 11 2016</t>
  </si>
  <si>
    <t>SktLZ2l3uxs</t>
  </si>
  <si>
    <t>https://youtu.be/jkVilobS4i0</t>
  </si>
  <si>
    <t>Monthly ISS Research Video Update for March 2016</t>
  </si>
  <si>
    <t>See the highlights of recent research conducted on the International Space Station during March.
________________________________________
FOLLOW THE SPACE STATION!
Twitter: https://twitter.com/Space_Station 
Facebook: https://www.facebook.com/ISS
Instagram: https://instagram.com/iss/</t>
  </si>
  <si>
    <t>jkVilobS4i0</t>
  </si>
  <si>
    <t>2016 03 10</t>
  </si>
  <si>
    <t>https://youtu.be/DwtLkTpgNMM</t>
  </si>
  <si>
    <t>ARISS  1,000 Calls and Counting</t>
  </si>
  <si>
    <t>Amateur Radio on the International Space Station (ARISS) lets students worldwide experience the excitement of talking directly with crew members of the International Space Station, inspiring them to pursue interests in careers in science, technology, engineering and math, and engaging them with radio science technology through amateur radio. 
Space station astronauts from countries all over the globe have had the chance to speak with the next generation while orbiting overhead. With 1,000 calls and counting, ARISS is continuing to open the frontier of space to the explorers of the future. 
Read more at: http://go.nasa.gov/1P2qQgF 
For more on ARISS, visit: http://www.ariss.org/
________________________________________
FOLLOW THE SPACE STATION!
Twitter: https://twitter.com/Space_Station 
Facebook: https://www.facebook.com/ISS
Instagram: https://instagram.com/iss/</t>
  </si>
  <si>
    <t>DwtLkTpgNMM</t>
  </si>
  <si>
    <t>2016 03 09</t>
  </si>
  <si>
    <t>https://youtu.be/53mBaj7ElM8</t>
  </si>
  <si>
    <t>Speed of Sound %23YearInSpace</t>
  </si>
  <si>
    <t>NASA astronaut Scott Kelly and Russian cosmonaut Mikhail Kornienko blasted off from the Baikonur Cosmodrome in Kazakhstan on March 27, 2015. With a successful landing 340 days later on March 1, 2016, the pair completed one of the most ambitious missions in the history of the International Space Station and opened a new chapter in human exploration.
During their record-setting mission, nearly 400 investigations were conducted that advance NASA’s mission to reach new heights, reveal the unknown, and benefit all of humanity. Kelly and Kornienko participated in dozens of studies to provide new insights into how the human body adjusts to weightlessness, isolation, radiation and the stress of long-duration spaceflight, which will include the Journey to Mars. Kelly’s twin brother, former NASA astronaut Mark Kelly, participated in parallel twin studies on Earth to help scientists compare the effects on the body and mind in space.
The completion of the one-year mission and its studies will help guide the next steps in planning for long-duration deep space missions that will be necessary as humans move farther into the solar system. Kelly and Kornienko’s mission will inform future decisions and planning for other long-duration missions, whether they are aboard the space station, a deep space habitat in lunar orbit, or a mission to Mars.
Learn more about the mission at: www.nasa.gov/oneyear 
HD download link: https://archive.org/details/Speed-of-Sound
________________________________________
FOLLOW THE SPACE STATION!
Twitter: https://twitter.com/Space_Station 
Facebook: https://www.facebook.com/ISS
Instagram: https://instagram.com/iss/</t>
  </si>
  <si>
    <t>53mBaj7ElM8</t>
  </si>
  <si>
    <t>https://youtu.be/0xP_cgs19kU</t>
  </si>
  <si>
    <t>Space Station Live  Payload Pioneer Marks 15th Anniversary</t>
  </si>
  <si>
    <t>NASA Commentator Lori Meggs at the Marshall Space Flight Center talks to Pat Patterson, a payload operations director in the Payload Operations Integration Center, the command post for science on the International Space Station.  Patterson has supported every crew and mission to the station since Expedition 2, when the payload center began 24/7 operations in March 2001. 
________________________________________
FOLLOW THE SPACE STATION!
Twitter: https://twitter.com/Space_Station 
Facebook: https://www.facebook.com/ISS
Instagram: https://instagram.com/iss/</t>
  </si>
  <si>
    <t>0xP_cgs19kU</t>
  </si>
  <si>
    <t>https://youtu.be/HdQBlkjbJq8</t>
  </si>
  <si>
    <t>mISSion imaginaTIon  Habitat</t>
  </si>
  <si>
    <t>mISSion imaginaTIon, a joint venture between NASA and Texas Instruments, challenges students to take the knowledge gathered from missions aboard the International Space Station and adapt proven systems and processes for a future #JourneytoMars. For the third activity, students are challenged to design a habitat. To help them along the way, Dr. Robert Howard, Habitability Design Center Manager at the Johnson Space Center, explains how astronauts live and work in space and what NASA is doing to help prepare for future missions. Are you ready to put science, technology, engineering and mathematics to work and take the next big leap?  
www.missionimagination.com</t>
  </si>
  <si>
    <t>HdQBlkjbJq8</t>
  </si>
  <si>
    <t>2016 03 04</t>
  </si>
  <si>
    <t>https://youtu.be/gBLZjBqNAAk</t>
  </si>
  <si>
    <t>Kelly Twins Greet Media at Johnson Space Center</t>
  </si>
  <si>
    <t>NASA astronaut Scott Kelly, recently returned from his one-year mission, met with his twin brother and former NASA astronaut Mark Kelly at NASA’s Johnson Space Center on Friday, March 4. The pair participated in parallel twin studies on the International Space Station and Earth to help scientists compare the effects on the body and mind in space. Scott Kelly spent 340 days aboard the orbiting laboratory along with Russian cosmonaut Mikhail Kornienko to provide new insights into how the human body adjusts to weightlessness, isolation, radiation and the stress of long-duration spaceflight, which will include the Journey to Mars.
HD download link: https://archive.org/details/VFKellyTwins160304Arc
________________________________________
FOLLOW THE SPACE STATION!
Twitter: https://twitter.com/Space_Station 
Facebook: https://www.facebook.com/ISS
Instagram: https://instagram.com/iss/</t>
  </si>
  <si>
    <t>gBLZjBqNAAk</t>
  </si>
  <si>
    <t>https://youtu.be/Ut9jfotstZg</t>
  </si>
  <si>
    <t>Space to Ground  Historic Homecoming  03 04 2016</t>
  </si>
  <si>
    <t>Ut9jfotstZg</t>
  </si>
  <si>
    <t>2016 03 03</t>
  </si>
  <si>
    <t>https://youtu.be/QZQr-btpJWM</t>
  </si>
  <si>
    <t>Expedition 47 Crew Departs For Kazakh Launch Site</t>
  </si>
  <si>
    <t>Expedition 47-48 Soyuz Commander Alexey Ovchinin and Flight Engineer Oleg Skripochka of Roscosmos and Flight Engineer Jeff Williams of NASA and their backups, Sergey Ryzhikov and Andrey Borisenko of Roscosmos and Shane Kimbrough of NASA participated in traditional ceremonies at the Gagarin Cosmonaut Training Center in Star City, Russia, outside Moscow on March 3. Afterward, they departed for the Baikonur Cosmodrome in Kazakhstan to complete their training for the launch of Ovchinin, Williams and Skripochka to the International Space Station in the Soyuz TMA-20M spacecraft on March 19, Kazakh time, for a six-month mission.
Twitter: https://twitter.com/Space_Station 
Facebook: https://www.facebook.com/ISS
Instagram: https://instagram.com/iss/</t>
  </si>
  <si>
    <t>QZQr-btpJWM</t>
  </si>
  <si>
    <t>2016 03 02</t>
  </si>
  <si>
    <t>https://youtu.be/hzt9R1HV5Rw</t>
  </si>
  <si>
    <t>Space Station Live  Balancing a Year in Space</t>
  </si>
  <si>
    <t>NASA Commentator Lori Meggs at the Marshall Space Flight Center talks to Mill Reschke, a principal investigator on the One Year Mission science experiment called Field Test, which presented astronaut Scott Kelly with some of the first post-landing experiment tasks he faced after 340 days in space.  This study looks at the vestibular system and how microgravity has an effect on an astronaut performing simple tasks, like walking a straight line or standing from a seated position, after returning to Earth.
________________________________________
FOLLOW THE SPACE STATION!
Twitter: https://twitter.com/Space_Station 
Facebook: https://www.facebook.com/ISS
Instagram: https://instagram.com/iss/</t>
  </si>
  <si>
    <t>hzt9R1HV5Rw</t>
  </si>
  <si>
    <t>https://youtu.be/FyNvFssBNlk</t>
  </si>
  <si>
    <t>Expedition 46 Crew Receives a Warm Welcome in Kazakhstan</t>
  </si>
  <si>
    <t>Expedition 46 Commander Scott Kelly of NASA and cosmonauts Sergey Volkov and Mikhail Kornienko of Roscosmos were greeted in a traditional ceremony at the airport in Dzhezkazgan, Kazakhstan on Mar. 2, a few hours after landing in their Soyuz TMA-18M spacecraft in Kazakhstan. After the ceremony, the crew split up, with Volkov and Kornienko returning to their training base in Star City, Russia, while Kelly boarded a NASA plane for a return trip to Houston. Kelly and Kornienko spent 340 days in space after launching in March 2015, gathering valuable biomedical data on the long duration effects of weightlessness on the human body that will be used to formulate a human mission to Mars. The footage includes Kelly and Kornienko at the Dzhezkazgan airport.</t>
  </si>
  <si>
    <t>FyNvFssBNlk</t>
  </si>
  <si>
    <t>2016 02 29</t>
  </si>
  <si>
    <t>https://youtu.be/xUZMGxl3Wq4</t>
  </si>
  <si>
    <t>Bean Bag Session  Landing in Kazakhstan</t>
  </si>
  <si>
    <t>NASA astronauts Chris Cassidy and Tracy Caldwell Dyson sit down to talk with fellow astronaut Kjell Lindgren on the finer details of landing in a Russian Soyuz spacecraft. Lindgren was a crew member for Expeditions 44 and 45 aboard the International Space Station and landed in Kazakhstan on Dec. 11, 2015. 
For more on Kjell’s landing, visit http://go.nasa.gov/21nasE3 
________________________________________
FOLLOW THE SPACE STATION!
Twitter: https://twitter.com/Space_Station
Facebook: https://www.facebook.com/ISS 
Instagram: https://instagram.com/iss/</t>
  </si>
  <si>
    <t>xUZMGxl3Wq4</t>
  </si>
  <si>
    <t>https://youtu.be/WJW_N-0c-Is</t>
  </si>
  <si>
    <t>Scott Kelly Hands Over Station Command to Tim Kopra</t>
  </si>
  <si>
    <t>At 3:15 p.m. EST, NASA astronaut Tim Kopra assumed command of the International Space Station from astronaut Scott Kelly of NASA in a traditional Change of Command ceremony. Expedition 47 will officially begin under Kopra’s command when the Soyuz spacecraft carrying Kelly and Russian cosmonauts Mikhail Kornienko and Sergey Volkov undocks from the space station on March 1.</t>
  </si>
  <si>
    <t>WJW_N-0c-Is</t>
  </si>
  <si>
    <t>2016 02 26</t>
  </si>
  <si>
    <t>https://youtu.be/9ib47vMS7Nk</t>
  </si>
  <si>
    <t>Expedition 47-48 Crew Conducts Traditional Ceremonies</t>
  </si>
  <si>
    <t>Expedition 47-48 Soyuz Commander Alexey Ovchinin and Flight Engineer Oleg Skripochka of Roscosmos and Flight Engineer Jeff Williams of NASA and their backups, Sergey Ryzhikov and Andrey Borisenko of Roscosmos and Shane Kimbrough of NASA visited the Gagarin Museum where they viewed historic space artifacts at the Gagarin Cosmonaut Training Center in Star City, Russia Feb. 26, then visited Red Square in Moscow for traditional ceremonies.  Ovchinin, Williams and Skripochka are scheduled to launch on March 19, Kazakh time, from the Baikonur Cosmodrome in Kazakhstan in the Soyuz TMA-20M spacecraft for a six-month mission on the International Space Station.
________________________________________
FOLLOW THE SPACE STATION!
Twitter: https://twitter.com/Space_Station 
Facebook: https://www.facebook.com/ISS
Instagram: https://instagram.com/iss/</t>
  </si>
  <si>
    <t>9ib47vMS7Nk</t>
  </si>
  <si>
    <t>https://youtu.be/zE-M9hZ5WQ4</t>
  </si>
  <si>
    <t>Space Station Live  African American History Month</t>
  </si>
  <si>
    <t>As NASA honors the contributions of African Americans to the cause of spaceflight and space exploration, NASA Commentator Gary Jordan talks with astronaut Jeanette Epps about the past, present and future of African Americans in the nation’s space exploration effort.</t>
  </si>
  <si>
    <t>zE-M9hZ5WQ4</t>
  </si>
  <si>
    <t>https://youtu.be/bTOiiBd2dCo</t>
  </si>
  <si>
    <t>Amateur Radio on the International Space Station (ARISS) - The 1000th Educational Radio Contact</t>
  </si>
  <si>
    <t>Amateur Radio on the International Space Station (ARISS), the first-ever ISS payload activated by the crew, is gearing up for its 1000th educational radio contact in March 2016. 
Since the first amateur radio contact with a school in December 2000, astronauts and cosmonauts aboard ISS have talked to students in 44 states in the US and in 51 other countries! ARISS anticipates it will celebrate its 1000th educational radio contact in March 2016.
ARISS is a cooperative venture of international amateur radio societies and the space agencies that support the ISS. In the United States, the ARISS partners include the American Radio Relay League (ARRL), the Radio Amateur Satellite Corporation (AMSAT) and the National Aeronautics and Space Administration (NASA).  ARISS inspires students, worldwide, to pursue interests and careers in science, technology, engineering and math (STEM) through amateur radio communications opportunities with the ISS on-orbit crew.  ARISS can organize a scheduled amateur radio contact between crew members aboard the ISS and your students in school or an informal education venue.  Experienced amateur radio volunteers in your area can help ISS crews speak directly with a large audience in a variety of public forums.  Before and during these radio contacts, your students, educators, parents, and communities learn about space, space technologies, and amateur radio.  For information about how your organization may pursue an ARISS contact, visit http://www.ariss.org.”</t>
  </si>
  <si>
    <t>bTOiiBd2dCo</t>
  </si>
  <si>
    <t>https://youtu.be/tikG7eHPXq0</t>
  </si>
  <si>
    <t>Space to Ground  Cue the Confetti  02 26 2016</t>
  </si>
  <si>
    <t>tikG7eHPXq0</t>
  </si>
  <si>
    <t>2016 02 25</t>
  </si>
  <si>
    <t>https://youtu.be/e6hxdtKOGiE</t>
  </si>
  <si>
    <t>Space Station Live  My Brother’s Coming Home</t>
  </si>
  <si>
    <t>NASA Commentator Dan Huot talks with former astronaut Mark Kelly about the imminent conclusion of the One Year Mission of his identical twin brother, International Space Station Commander Scott Kelly, who is due to return to Earth next week.  Kelly talks about his feelings about his brother’s mission, and about his own participation in the Twins experiment, in which both brothers are being studied to compare the changes Scott may experience from being in the space environment for a year to Mark’s condition during the same year spent on Earth.
________________________________________
FOLLOW THE SPACE STATION!
Twitter: https://twitter.com/Space_Station 
Facebook: https://www.facebook.com/ISS
Instagram: https://instagram.com/iss/</t>
  </si>
  <si>
    <t>e6hxdtKOGiE</t>
  </si>
  <si>
    <t>https://youtu.be/ziSQY8E1b9w</t>
  </si>
  <si>
    <t>Space Station Live  Hamming it up on Space Station</t>
  </si>
  <si>
    <t>NASA Commentator Lori Meggs at the Marshall Space Flight Center talks to a group of students who had the unique opportunity to ask questions to astronaut Tim Kopra as the space station flew over Huntsville, Alabama. The students contacted the station using a Ham radio. It was all thanks to a research activity called Amateur Radio on the International Space Station, or ARISS, which is approaching the 1000th call like this to students. 
For more information on ARISS, check out http://www.ariss.org/
________________________________________
FOLLOW THE SPACE STATION!
Twitter: https://twitter.com/Space_Station 
Facebook: https://www.facebook.com/ISS
Instagram: https://instagram.com/iss/</t>
  </si>
  <si>
    <t>ziSQY8E1b9w</t>
  </si>
  <si>
    <t>https://youtu.be/6nieKZcsu00</t>
  </si>
  <si>
    <t>Expedition 47 Crew  Final Qualification Exams</t>
  </si>
  <si>
    <t>Expedition 47-48 Soyuz Commander Alexey Ovchinin and Flight Engineer Oleg Skripochka of Roscosmos and Flight Engineer Jeff Williams of NASA and their backups, Sergey Ryzhikov and Andrey Borisenko of Roscosmos and Shane Kimbrough of NASA conducted final qualification training at the Gagarin Cosmonaut Training Center in Star City, Russia Feb. 24 and 25.  Ovchinin, Williams and Skripochka are scheduled to launch on March 19, Kazakh time, from the Baikonur Cosmodrome in Kazakhstan in the Soyuz TMA-20M spacecraft for a six-month mission on the International Space Station.
Twitter: https://twitter.com/Space_Station 
Facebook: https://www.facebook.com/ISS
Instagram: https://instagram.com/iss/</t>
  </si>
  <si>
    <t>6nieKZcsu00</t>
  </si>
  <si>
    <t>2016 02 24</t>
  </si>
  <si>
    <t>https://youtu.be/MCKL5zxfQ2Q</t>
  </si>
  <si>
    <t>Space Station Live  Making High-Tech Devices Cooler</t>
  </si>
  <si>
    <t>From supercomputers to personal laptops and LED lights, a wide range of high-performance devices must be cooled in order to function. NASA Commentator Lori Meggs talks with Joel Plawsky and Peter Wayner, researchers who are using the International Space Station to test the use of heat pipes to distribute cooling fluid instead of relying on mechanical pumps. The study, called Constrained Vapor Bubble, could lead to better designs of high-tech devices.</t>
  </si>
  <si>
    <t>MCKL5zxfQ2Q</t>
  </si>
  <si>
    <t>2016 02 23</t>
  </si>
  <si>
    <t>https://youtu.be/jUxVkXuEKmI</t>
  </si>
  <si>
    <t>Space Station Live  Wrapping Up the One Year Mission</t>
  </si>
  <si>
    <t>NASA Commentator Gary Jordan talks with Dr. John Charles, chief scientist of NASA’s Human Research Program, about the science of the One Year Mission on board the International Space Station of Scott Kelly and Mikhail Kornienko, which wraps up next week.  Charles discusses the range of science investigations undertaken to learn how human bodies respond to the weightless environment, the countermeasures being used to counteract the negative effects of that environment, and the success of the effort that was conducted jointly with the scientists of the Russian space program.</t>
  </si>
  <si>
    <t>jUxVkXuEKmI</t>
  </si>
  <si>
    <t>https://youtu.be/Ce6vIa4_0dg</t>
  </si>
  <si>
    <t>Preparing America for Deep Space Exploration Episode 12  Built for Exploration</t>
  </si>
  <si>
    <t>NASA’s deep space exploration system development programs continue to make progress on the agency’s journey to Mars. In the final months of 2015, engineers continued welding together the underlying structure of the Orion crew module for Exploration Mission-1, tested how well astronauts can get in and out of Orion’s seats and saw the delivery of a structural representation of Orion’s service module to Ohio for testing. The ground systems team at Kennedy Space Center in Florida, where Orion will launch atop the Space Launch System rocket, continued building the mobile launcher, including testing some of the umbilicals that will fuel the rocket while it’s on the launch pad, and installed both a communications tracker and a work platform in the Vehicle Assembly Building.The Space Launch System Program performed welding operations on a  test article for the launch vehicle stage adapter as well as confidence welding of the core stage, installed a RS-25 rocket engine for Exploration Mission-2 into a test stand and continued construction on a liquid hydrogen structural test stand.
HD download link: https://archive.org/details/PreparingAmericaforDeepSpaceExploration</t>
  </si>
  <si>
    <t>Ce6vIa4_0dg</t>
  </si>
  <si>
    <t>2016 02 19</t>
  </si>
  <si>
    <t>https://youtu.be/0EvbXi_ccBA</t>
  </si>
  <si>
    <t>As NASA honors the contributions of African Americans to the cause of spaceflight and space exploration, NASA Commentator Dan Huot talks with Camille Alleyne, the International Space Station associate program scientist, about the past, present and future of African Americans in the nation’s space exploration effort.</t>
  </si>
  <si>
    <t>0EvbXi_ccBA</t>
  </si>
  <si>
    <t>https://youtu.be/LY1hbQuJlC8</t>
  </si>
  <si>
    <t>Space to Ground  Cygnus Farewell  02 19 2016</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</si>
  <si>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</si>
  <si>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LY1hbQuJlC8</t>
  </si>
  <si>
    <t>https://youtu.be/pTyYu7yuKuw</t>
  </si>
  <si>
    <t>Cygnus Departs Station after Robotic Release</t>
  </si>
  <si>
    <t>Expedition 46 astronauts Scott Kelly and Tim Kopra of NASA commanded the International Space Station’s Canadarm2 robotic arm to release the Cygnus spacecraft at 7:26 a.m. EST while the space station was flying above Bolivia. Earlier, ground controllers at NASA’s Johnson Space Center had maneuvered Cygnus into place for its departure.
Once the spacecraft is a safe distance from the station, its engines will fire twice, pushing it into Earth's atmosphere where it will burn up over the Pacific Ocean. The deorbit burn and re-entry of Cygnus will not air on NASA TV.
The Cygnus resupply craft arrived to the space station on Dec. 9, following Dec. 6 launch on a United Launch Alliance Atlas V rocket from Cape Canaveral Air Force Station in Florida, for the company’s fourth NASA-contracted commercial station resupply mission.
Experiments delivered on Cygnus supported NASA and other research investigations during Expeditions 45 and 46, in areas such as biology, biotechnology, and physical and Earth science -- research that impacts life on Earth.
For more information about the International Space Station, visit: http://www.nasa.gov/station</t>
  </si>
  <si>
    <t>pTyYu7yuKuw</t>
  </si>
  <si>
    <t>2016 02 18</t>
  </si>
  <si>
    <t>https://youtu.be/6L_cO0cBRQg</t>
  </si>
  <si>
    <t>Fuel for the Fire</t>
  </si>
  <si>
    <t>The Fuel for the Fire activity promotes student engagement in science, technology, engineering and math (STEM) practices that are critical for success in school and careers. NASA and Texas Instruments developed this free TI-NspireTM activity to give students a first-hand look at the STEM practices that make life in space possible. Follow along as NASA engineer Jonathan Looser introduces the activity and shows how he provides fuel for the fire of the Space Launch System (SLS). Go to www.missionimagination.com, and click on “Activities” to get started!</t>
  </si>
  <si>
    <t>6L_cO0cBRQg</t>
  </si>
  <si>
    <t>2016 02 17</t>
  </si>
  <si>
    <t>https://youtu.be/aHzFcorlj4Y</t>
  </si>
  <si>
    <t>Space Station Live  Building a One-Year Space Relationship</t>
  </si>
  <si>
    <t>NASA Commentator Lori Meggs talks with Samantha Harris, a PAYCOM in the Payload Operations Integration Center at NASA’s Marshall Space Flight Center in Huntsville, Alabama.  As the only member of the POIC team who communicates directly with crewmembers on the International Space Station during their science operations, Harris discusses what it's been like to work with a crewmember for an entire year—Scott Kelly on the One Year Mission—versus a typical six-month mission.
________________________________________
FOLLOW THE SPACE STATION!
Twitter: https://twitter.com/Space_Station 
Facebook: https://www.facebook.com/ISS
Instagram: https://instagram.com/iss/</t>
  </si>
  <si>
    <t>aHzFcorlj4Y</t>
  </si>
  <si>
    <t>https://youtu.be/yjLLfd3uKXo</t>
  </si>
  <si>
    <t>Space Station Live  Homecoming for Kelly</t>
  </si>
  <si>
    <t>NASA Commentator Dan Huot talks with Dr. Stevan Gilmore, the lead flight surgeon for astronaut Scott Kelly’s One Year Mission to the International Space Station.  Gilmore, who will be on the team that meets Kelly and his Expedition 46 crewmates when they land in Kazakhstan the night of March 1, U.S. time, talks about the tests to be done at the landing site to evaluate the crew’s abilities after a year in weightlessness, and the recovery period Kelly will go through after returning to his home in Houston.
________________________________________
FOLLOW THE SPACE STATION!
Twitter: https://twitter.com/Space_Station 
Facebook: https://www.facebook.com/ISS
Instagram: https://instagram.com/iss/</t>
  </si>
  <si>
    <t>yjLLfd3uKXo</t>
  </si>
  <si>
    <t>2016 02 16</t>
  </si>
  <si>
    <t>https://youtu.be/leYseS988Gg</t>
  </si>
  <si>
    <t>Space Station Live  Research Results During One Year Mission</t>
  </si>
  <si>
    <t>NASA Commentator Dan Huot talks with International Space Station Chief Scientist Dr. Julie Robinson about the range of research conducted on the station during the One Year Mission of NASA astronaut Scott Kelly and Roscosmos cosmonaut Mikhail Kornienko.  It’s estimated that Kelly has taken part in about 340 different experiments during this mission, including those he operated for researchers on the ground as well as the ones in which he has been the test subject, and he’ll be involved in follow-up studies for as long as three years to gauge how his body recovers from the long-term exposure to the weightless environment.</t>
  </si>
  <si>
    <t>leYseS988Gg</t>
  </si>
  <si>
    <t>https://youtu.be/R2mAL1XrKSE</t>
  </si>
  <si>
    <t>As NASA honors the contributions of African Americans to the cause of spaceflight and space exploration, NASA Commentator Gary Jordan talks with Sheela Yomekpe, a biomedical engineer at the International Space Station Mission Control Center in Houston, about the past, present and future of African Americans in the nation’s space exploration effort.</t>
  </si>
  <si>
    <t>R2mAL1XrKSE</t>
  </si>
  <si>
    <t>2016 02 12</t>
  </si>
  <si>
    <t>https://youtu.be/9884aTBsyU4</t>
  </si>
  <si>
    <t>Space to Ground  Space Suit Repairs  02 12 2016</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</si>
  <si>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</si>
  <si>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9884aTBsyU4</t>
  </si>
  <si>
    <t>2016 02 10</t>
  </si>
  <si>
    <t>https://youtu.be/uFhvJfcO0lA</t>
  </si>
  <si>
    <t>Space Station Live  Science of the Gut</t>
  </si>
  <si>
    <t>NASA Commentator Lori Meggs talks with a principal researcher on the Microbiome experiment. The ongoing study looks at the impact of space travel on both the human immune system and an individual’s microbiome (the collection of microbes that live in and on the human body at any given time.) Microbiome is part of the ongoing Twins Study with brothers Scott and Mark Kelly and will explore the brothers’ dietary differences and stressors to find out how both affect the organisms in the twins’ guts.
To learn about the Microbiome experiment, visit: http://go.nasa.gov/1WgFFTh. 
________________________________________
FOLLOW THE SPACE STATION!
Twitter: https://twitter.com/Space_Station 
Facebook: https://www.facebook.com/ISS
Instagram: https://instagram.com/iss/</t>
  </si>
  <si>
    <t>uFhvJfcO0lA</t>
  </si>
  <si>
    <t>2016 02 09</t>
  </si>
  <si>
    <t>https://youtu.be/YP5OzMBYUqs</t>
  </si>
  <si>
    <t>A Moment with Yuri Malenchenko</t>
  </si>
  <si>
    <t>A Moment with Yuri Malenchenko. 
HD download link: https://archive.org/details/Expedition46ResourceReel</t>
  </si>
  <si>
    <t>YP5OzMBYUqs</t>
  </si>
  <si>
    <t>2016 02 06</t>
  </si>
  <si>
    <t>https://youtu.be/ww3ueFwqnWs</t>
  </si>
  <si>
    <t>ISS Crew Discusses Life in Space with Former President Bush</t>
  </si>
  <si>
    <t>Aboard the International Space Station, Expedition 46 Commander Scott Kelly and Flight Engineer Tim Kopra of NASA discussed Kelly’s year-long mission and research aboard the orbital laboratory during a conversation Feb. 5 with former President George H.W. Bush who paid a visit to Mission Control at the Johnson Space Center in Houston. Mr. Bush was accompanied in Mission Control by Kelly’s twin brother, Mark Kelly and his wife, former Congresswoman Gabrielle Giffords. The linkup came less than four weeks before Kelly’s return to Earth with Russian cosmonaut Mikhail Kornienko of Roscosmos to complete a year-long mission designed to gather valuable biomedical data that will be used in the formulation of a human mission to Mars. Kelly and Kornienko are scheduled to land in a Soyuz spacecraft on the steppe of Kazakhstan on March 2, Kazakhstan time (March 1, U.S. time).
________________________________________
FOLLOW THE SPACE STATION!
Twitter: https://twitter.com/Space_Station 
Facebook: https://www.facebook.com/ISS
Instagram: https://instagram.com/iss/</t>
  </si>
  <si>
    <t>ww3ueFwqnWs</t>
  </si>
  <si>
    <t>2016 02 05</t>
  </si>
  <si>
    <t>https://youtu.be/KoKC6qA_syU</t>
  </si>
  <si>
    <t>As NASA honors the contributions of African Americans to the cause of spaceflight and space exploration, NASA Commentator Pat Ryan talks with astronaut Victor Glover about the past, present and future of African Americans in the nation’s space exploration effort.
________________________________________
FOLLOW THE SPACE STATION!
Twitter: https://twitter.com/Space_Station 
Facebook: https://www.facebook.com/ISS
Instagram: https://instagram.com/iss/</t>
  </si>
  <si>
    <t>KoKC6qA_syU</t>
  </si>
  <si>
    <t>https://youtu.be/AXGS1-UVZPY</t>
  </si>
  <si>
    <t>mISSion imaginaTIon  Waste Management</t>
  </si>
  <si>
    <t>mISSion imaginaTIon, a joint venture between NASA and Texas Instruments, challenges students to take the knowledge gathered from missions aboard the International Space Station and adapt proven systems and process for a future #JourneytoMars. For the second activity, students are challenged to design a waste management system. To help them along the way, Kristen Fortson, International Space Station program Stowage and Disposal lead at the Johnson Space Center explains the different types of waste that astronauts accumulate, how waste is managed and disposed of on the International Space Station, and what NASA is doing to help prepare for future missions. Are you ready to put science, technology, engineering and mathematics to work, and take the next big leap? 
www.missionimagination.com</t>
  </si>
  <si>
    <t>AXGS1-UVZPY</t>
  </si>
  <si>
    <t>https://youtu.be/hsPVXXxUWyo</t>
  </si>
  <si>
    <t>Space to Ground  A Walk in Space  02 05 2016</t>
  </si>
  <si>
    <t>hsPVXXxUWyo</t>
  </si>
  <si>
    <t>2016 02 04</t>
  </si>
  <si>
    <t>https://youtu.be/-TU1OkVctaI</t>
  </si>
  <si>
    <t>Space Station Live  The ISS Workout Plan</t>
  </si>
  <si>
    <t>NASA Commentator Lori Meggs talks with Gail Perusek of NASA’s Exercise Countermeasures Lab at the Glenn Research Center about the exercises that keep International Space Station crew members healthy during extended missions in weightlessness and how the scientists design the hardware for use on orbit.  Resistance and aerobic exercises are vital to keeping the crew members healthy in an environment where they don’t even have to work against the pull of gravity in their day to day lives.
________________________________________
FOLLOW THE SPACE STATION!
Twitter: https://twitter.com/Space_Station 
Facebook: https://www.facebook.com/ISS
Instagram: https://instagram.com/iss/</t>
  </si>
  <si>
    <t>-TU1OkVctaI</t>
  </si>
  <si>
    <t>2016 02 03</t>
  </si>
  <si>
    <t>https://youtu.be/HPlsOlR9yQI</t>
  </si>
  <si>
    <t>Monthly ISS Research Video Update for February 2016</t>
  </si>
  <si>
    <t>See the highlights of recent research conducted on the International Space Station during June.
________________________________________
FOLLOW THE SPACE STATION!
Twitter: https://twitter.com/Space_Station 
Facebook: https://www.facebook.com/ISS
Instagram: https://instagram.com/iss/</t>
  </si>
  <si>
    <t>HPlsOlR9yQI</t>
  </si>
  <si>
    <t>2016 02 01</t>
  </si>
  <si>
    <t>https://youtu.be/iS0ZVT5dnDA</t>
  </si>
  <si>
    <t>Space Station Live  Simulating Two Years in Space</t>
  </si>
  <si>
    <t>NASA Commentator Gary Jordan talks with Lisa Spence, the flight analog project manager for NASA’s Human Research Program, about the latest campaign using the Human Exploration Research Analog (HERA) habitat at the Johnson Space Center in Houston.  A crew of four women is conducting a 30-day-long simulation of a two-year mission to an asteroid, conducting research for almost two dozen investigators trying to learn more about how a group of people interact and work with one another for an extended period of time.  Three more of these simulations are planned during 2016.</t>
  </si>
  <si>
    <t>iS0ZVT5dnDA</t>
  </si>
  <si>
    <t>https://youtu.be/c81EaTtFBD8</t>
  </si>
  <si>
    <t>StationLIFE  Cardiovascular – February 2016</t>
  </si>
  <si>
    <t>Every month on StationLIFE, we’ll focus on a scientific area where the International Space Station is conducting groundbreaking research. This month, astronaut Tracy Dyson talks about studies into cardiovascular health aboard the International Space Station.
This February, we wanted to focus on cardiovascular research onboard the International Space Station, which coincides with the American Heart Month. Like bones and muscle, the cardiovascular system deconditions (gets weaker) in microgravity. 
Long-duration spaceflight may increase the risk of oxidative damage and inflammation in the cardiovascular system primarily from radiation, but also from psychological stress, reduced physical activity, diminished nutritional standards and, in the case of extravehicular activity, increased oxygen exposure. Developing countermeasures to keep astronauts’ hearts healthy in space is applicable to heart health on Earth, too!
Be sure to check back every month to see more of how we’re working "Off the Earth, For the Earth."
http://www.nasa.gov/iss-science
HD download link: https://archive.org/details/StationLIFE
________________________________________
FOLLOW THE SPACE STATION!
Twitter: https://twitter.com/Space_Station
Facebook: https://www.facebook.com/ISS
Instagram: https://instagram.com/iss/</t>
  </si>
  <si>
    <t>c81EaTtFBD8</t>
  </si>
  <si>
    <t>https://youtu.be/-p-D2XBZk38</t>
  </si>
  <si>
    <t>Russian ISS Spacewalk %2342 Animation</t>
  </si>
  <si>
    <t>A narrated animation of the 42nd spacewalk using the Russian airlock and spacesuits aboard the International Space Station. The spacewalk is planned for Wednesday, February 3. 
Expedition 46 Flight Engineers Yuri Malenchenko and Sergey Volkov of Roscosmos will don their spacesuits and exit the station's Pirs airlock at approximately 8:10 a.m. Their objectives are to deploy and retrieve several experiment packages on the Zvezda and Poisk modules and install devices called gap spanners, which will be placed on the hull of the station to facilitate the movement of crew members on future spacewalks.
Malenchenko and Volkov also will install the Vinoslivost experiment, which will test the effects of the space environment on various structural material samples, and test a device called the Restavratsiya experiment, which could be used to glue special coatings to external surfaces of the station’s Russian segment. 
The pair will retrieve the EXPOSE-R Experiment, a collection of biological and biochemical samples placed in the harsh environment of space. The EXPOSE program is part of ESA’s (European Space Agency) research into astrobiology, or the study of the origin, evolution and distribution of life in the universe.
The spacewalk will be the 193rd in support of space station assembly and maintenance, the sixth spacewalk for Malenchenko and the fourth spacewalk for Volkov. Malenchenko will be designated extravehicular crew member 1 (EV1) and Volkov will be extravehicular crew member 2 (EV2). Both will wear Russian Orlan spacesuits bearing blue stripes.
________________________________________
FOLLOW THE SPACE STATION!
Twitter: https://twitter.com/Space_Station 
Facebook: https://www.facebook.com/ISS
Instagram: https://instagram.com/iss/</t>
  </si>
  <si>
    <t>-p-D2XBZk38</t>
  </si>
  <si>
    <t>https://youtu.be/W6cYACCrwbU</t>
  </si>
  <si>
    <t>A Moment with Tim Kopra</t>
  </si>
  <si>
    <t>A Moment with Tim Kopra. 
HD download link: https://archive.org/details/Expedition46ResourceReel</t>
  </si>
  <si>
    <t>W6cYACCrwbU</t>
  </si>
  <si>
    <t>https://youtu.be/N9TdWhYBsU0</t>
  </si>
  <si>
    <t>A Moment with Tim Peake</t>
  </si>
  <si>
    <t>A Moment with Tim Peake. 
HD download link: https://archive.org/details/Expedition46ResourceReel</t>
  </si>
  <si>
    <t>N9TdWhYBsU0</t>
  </si>
  <si>
    <t>2016 01 29</t>
  </si>
  <si>
    <t>https://youtu.be/eo_6W568XtI</t>
  </si>
  <si>
    <t>Orion Backstage  Anthony Thrikettle</t>
  </si>
  <si>
    <t>Even engineers like to shake things up now and then. Anthony Thirkettle is a principal mechanical engineer for ESA (European Space Agency) working on Orion's European-built service module, which provides propulsion and power for the spacecraft. He explains structural testing that is now underway at NASA's Glenn Research Center Plum Brook Station in Sandusky, Ohio, where a structural representation of the service module is being put through a series of tests to evaluate how it will stand up to the harsh environment of liftoff and ascent to space. The service module element is being built by ESA and Airbus Defence &amp; Space for NASA's Orion spacecraft, which will launch atop the Space Launch System rocket on a three-week mission to the far side of the moon and back in 2018.</t>
  </si>
  <si>
    <t>eo_6W568XtI</t>
  </si>
  <si>
    <t>https://youtu.be/zQxdl0XDpw0</t>
  </si>
  <si>
    <t>Space Station Live  The Space Lab Lineup</t>
  </si>
  <si>
    <t>NASA Commentator Lori Meggs talks with International Space Station Chief Scientist Dr. Julie Robinson about plans for scientific research on board the station during Expeditions 47 and 48, the first six months after the conclusion of the current One Year Mission.  Robinson is attending a meeting of payload developers and researchers at NASA’s Marshall Space Flight Center in Huntsville, Alabama, the home to the Payload Operations and Integration Center which manages experiment activity inside the U.S. segment of the space station.
To learn about the top four research results from 2015 that Dr. Robinson mentions in her interview, check out her blog, A Lab Aloft: http://go.nasa.gov/1JM15FX . 
________________________________________
FOLLOW THE SPACE STATION!
Twitter: https://twitter.com/Space_Station 
Facebook: https://www.facebook.com/ISS
Instagram: https://instagram.com/iss/</t>
  </si>
  <si>
    <t>zQxdl0XDpw0</t>
  </si>
  <si>
    <t>https://youtu.be/FVHF8FTbfow</t>
  </si>
  <si>
    <t>Space to Ground  Cyclops and LONESTAR Meet Station  01 29 2016</t>
  </si>
  <si>
    <t>FVHF8FTbfow</t>
  </si>
  <si>
    <t>2016 01 28</t>
  </si>
  <si>
    <t>https://youtu.be/Ybv-UfXKzyA</t>
  </si>
  <si>
    <t>NASA Remembers</t>
  </si>
  <si>
    <t>Today, NASA astronaut Scott Kelly, One-Year crew member and Commander of Expedition 46 aboard the International Space Station, remembered the sacrifice of the crews of Apollo 1 and space shuttles Columbia and Challenger.</t>
  </si>
  <si>
    <t>Ybv-UfXKzyA</t>
  </si>
  <si>
    <t>2016 01 22</t>
  </si>
  <si>
    <t>https://youtu.be/nD6rnYjWPzo</t>
  </si>
  <si>
    <t>Space to Ground  In Bloom  01 22 2016</t>
  </si>
  <si>
    <t>nD6rnYjWPzo</t>
  </si>
  <si>
    <t>2016 01 21</t>
  </si>
  <si>
    <t>https://youtu.be/TLbhrMCM4_0</t>
  </si>
  <si>
    <t>Liquid Ping Pong in Space - RED 4K</t>
  </si>
  <si>
    <t>NASA astronaut Scott Kelly, who marked day 300 of a historic year in space on Jan. 21, 2016, shows off another fascinating feature of life in microgravity. Kelly used two paddles with hydrophobic, or water repellant, features to pass a sphere of water back and forth. Scientists use the microgravity environment of the space station to advance scientific knowledge in Earth, space, physical, and biological sciences that otherwise wouldn't be possible down here on the planet.
The paddles are polycarbonate laser etched so that the surfaces are actually arrays of 300 micrometer posts (0.3mm). The surfaces were then spray coated with a Teflon coat. The combined effects of surface roughness and non-wettability produce a super-hydrophobic surface capable of preventing water adhesion in dynamic processes. The larger the drop, the less force it takes to break it up. The smaller the drop, the harder you can hit it. Scott is demonstrating about a 4 mL drop (over 100 times larger than a rain drop).
Learn more and follow along with the one-year mission online or using #YearInSpace
http://www.nasa.gov/oneyear
Read more on 4K in space:
http://www.nasa.gov/mission_pages/station/research/news/red_epic_dragon_camera/ 
*To view in 4k, be sure to change resolution under "Settings" menu in YouTube viewer to "2160p 4k".
(Video: NASA)
HD download link: https://archive.org/details/NASA-Ultra-High-Definition
________________________________________
FOLLOW THE SPACE STATION!
Twitter: https://twitter.com/Space_Station
Facebook: https://www.facebook.com/ISS
Instagram: https://instagram.com/iss/</t>
  </si>
  <si>
    <t>TLbhrMCM4_0</t>
  </si>
  <si>
    <t>2016 01 19</t>
  </si>
  <si>
    <t>https://youtu.be/Bale3zt3fog</t>
  </si>
  <si>
    <t>Space Station Live  Orion Update</t>
  </si>
  <si>
    <t>NASA Commentator Pat Ryan talks with John McCullough, NASA’s Orion Vehicle Integration Manager, about the progress of preparing the spacecraft which will carry future astronauts to destinations beyond low Earth orbit.  The capsule which will be used for the next uncrewed flight test, targeted for 2018, is to be flown to the Kennedy Space Center in Florida next month to begin a series of tests over the next two years to ensure its readiness for a flight that will take it well beyond the orbit of the moon on a flight that will last more than three weeks.</t>
  </si>
  <si>
    <t>Bale3zt3fog</t>
  </si>
  <si>
    <t>2016 01 15</t>
  </si>
  <si>
    <t>https://youtu.be/HDtlJn9ufME</t>
  </si>
  <si>
    <t>Flight Director Royce Renfrew Discusses Early Spacewalk End</t>
  </si>
  <si>
    <t>Flight Director Royce Renfrew discusses the early end to the spacewalk on January 15, 2016 which included NASA astronaut Tim Kopra and ESA (European Space Agency) astronaut Tim Peake. 
The pair ended its spacewalk at 12:31 p.m. EST with the repressurization of the U.S. Quest airlock following an early termination after Kopra reported a small water bubble had formed inside his helmet. 
Commander Scott Kelly assisted the crew members with an expedited removal of their spacesuits and helmets. Once they removed the spacesuits and helmets, the astronauts used a syringe to take a water sample and retrieve the helmet absorption pad to determine how much water was introduced. Engineers are already looking at data to find what may have prompted the water to form inside Kopra’s helmet. 
The crew was never in any danger and returned to the airlock in an orderly fashion. The astronauts replaced a failed voltage regulator that caused a loss of power to one of the station’s eight power channels last November, accomplishing the major objective for this spacewalk. 
The 4 hour and 43 minutes spacewalk was the third for Kopra and the first for Peake, who both arrived to the station Dec. 15. It was the 192 in support of assembly and maintenance of the orbiting laboratory.
________________________________________
FOLLOW THE SPACE STATION!
Twitter: https://twitter.com/Space_Station 
Facebook: https://www.facebook.com/ISS
Instagram: https://instagram.com/iss/</t>
  </si>
  <si>
    <t>HDtlJn9ufME</t>
  </si>
  <si>
    <t>https://youtu.be/a5OEpP53pLc</t>
  </si>
  <si>
    <t>Space to Ground  All Powered Up  01 15 2016</t>
  </si>
  <si>
    <t>a5OEpP53pLc</t>
  </si>
  <si>
    <t>2016 01 14</t>
  </si>
  <si>
    <t>https://youtu.be/odcqeJnboxQ</t>
  </si>
  <si>
    <t>Space Station Live  Nutrition, Genetics and Vision in Space</t>
  </si>
  <si>
    <t>NASA Commentator Dan Huot talks with Dr. Scott M. Smith of the Nutritional Biochemistry Lab at NASA’s Johnson Space Center about new findings related to the diminished vision suffered by some astronauts after missions on the International Space Station.  Recent research findings show there may be a link between nutrition and genetics and these vision issues; Smith is a co-author of a paper on the topic published in the January issue of The Federation of American Societies for Experimental Biology Journal.
________________________________________
FOLLOW THE SPACE STATION!
Twitter: https://twitter.com/Space_Station 
Facebook: https://www.facebook.com/ISS
Instagram: https://instagram.com/iss/</t>
  </si>
  <si>
    <t>odcqeJnboxQ</t>
  </si>
  <si>
    <t>2016 01 13</t>
  </si>
  <si>
    <t>https://youtu.be/jCOen-aiG5E</t>
  </si>
  <si>
    <t>Space Station Live  The Data Connection</t>
  </si>
  <si>
    <t>NASA Commentator Lori Meggs talks with Kevin McPherson of NASA’s Glenn Research Center about the Telescience Support Center, which connects crew members on board the International Space Station to scientists on the ground while they work on those scientists’ experiments and channels the data from the experiments back to the ground.
________________________________________
FOLLOW THE SPACE STATION!
Twitter: https://twitter.com/Space_Station 
Facebook: https://www.facebook.com/ISS
Instagram: https://instagram.com/iss/</t>
  </si>
  <si>
    <t>jCOen-aiG5E</t>
  </si>
  <si>
    <t>https://youtu.be/UgaC1fmF5ao</t>
  </si>
  <si>
    <t>ISS Spacewalk Animation - U.S. EVA %2335 SSU Replacement</t>
  </si>
  <si>
    <t>Lead Spacewalk officer for U.S. EVA #35 Paul Dum walks through the tasks for the planned 6.5 hour spacewalk. Set to be performed by NASA astronaut Tim Kopra and Tim Peake on Jan. 15, 2016, the spacewalk will focus on the replacement of a failed voltage regulator to restore the space station's power generation system to full functionality. 
HD download link: https://archive.org/details/Expedition46ResourceReel</t>
  </si>
  <si>
    <t>UgaC1fmF5ao</t>
  </si>
  <si>
    <t>2016 01 12</t>
  </si>
  <si>
    <t>https://youtu.be/vqBE0F77LPM</t>
  </si>
  <si>
    <t>Space Station Live  A New Measure of Bone Strength</t>
  </si>
  <si>
    <t>NASA Commentator Dan Huot talks with Dr. Steven Boyd of the University of Calgary, the principal investigator of the TBone experiment on the International Space Station, which is taking advantage of a new technique to learn how spaceflight effects the quality of bone after prolonged exposure to weightlessness.  Using three-dimensional high resolution peripheral quantitative computed tomography, the investigation measures bone density and structure so scientists can distinguish changes in bone health and strength that result from microgravity or extended periods of immobilization.
________________________________________
FOLLOW THE SPACE STATION!
Twitter: https://twitter.com/Space_Station 
Facebook: https://www.facebook.com/ISS
Instagram: https://instagram.com/iss/</t>
  </si>
  <si>
    <t>vqBE0F77LPM</t>
  </si>
  <si>
    <t>https://youtu.be/bCZyUb8228k</t>
  </si>
  <si>
    <t>Join mISSion imaginaTIon</t>
  </si>
  <si>
    <t>Today’s math and science students are tomorrow’s visionaries – the innovators who will look to the stars, imagine new possibilities and come up with solutions to turn them into reality. To fire their imaginations and introduce them to the careers that will make the future happen, NASA and Texas Instruments are launching a joint challenge – mISSion imaginaTIon.  mISSion imaginaTIon includes four activities designed by NASA and based on the knowledge gathered from missions aboard the International Space Station, including the One Year Mission. Using what has been learned, students will be challenged to adapt proven systems and processes for a future #JourneytoMars. Are you ready to put science, technology, engineering and mathematics to work, and take the next big leap? Join NASA astronaut Ricky Arnold as he introduces students to the challenge. www.missionimagination.com</t>
  </si>
  <si>
    <t>bCZyUb8228k</t>
  </si>
  <si>
    <t>https://youtu.be/8zAY3_kzGhw</t>
  </si>
  <si>
    <t>mISSion imaginaTIon  Space Food</t>
  </si>
  <si>
    <t>mISSion imaginaTIon, a joint venture between NASA and Texas Instruments, challenges students to take the knowledge gathered from missions aboard the International Space Station and adapt proven systems and process for a future #JourneytoMars. For the first activity, students are challenged to design a food system. To help them along the way, Kimberly Glaus-Läte, Space Food Systems Laboratory Manager at the Johnson Space Center explains the difference between space food and “Earth food”, how the food system works on the International Space Station, and what NASA is doing to help prepare for future missions. Are you ready to put science, technology, engineering and mathematics to work, and take the next big leap? 
www.missionimagination.com</t>
  </si>
  <si>
    <t>8zAY3_kzGhw</t>
  </si>
  <si>
    <t>2016 01 08</t>
  </si>
  <si>
    <t>https://youtu.be/1jwgYDbJ6S4</t>
  </si>
  <si>
    <t>Space to Ground  Gearing Up For a Spacewalk   01 08 2016</t>
  </si>
  <si>
    <t>NASA's Space to Ground is your weekly update on what's happening aboard the International Space Station. Got a question or comment? Use #spacetoground to talk to us.</t>
  </si>
  <si>
    <t>1jwgYDbJ6S4</t>
  </si>
  <si>
    <t>2016 01 07</t>
  </si>
  <si>
    <t>https://youtu.be/epSYavFfLOE</t>
  </si>
  <si>
    <t>Double the Data with Space Station Twins Study</t>
  </si>
  <si>
    <t>In March of 2015, NASA embarked on a milestone mission in microgravity Human Research. Not only are astronaut Scott Kelly and cosmonaut Mikhail Kornienko spending one year in space, but both Scott Kelly and his identical twin back on Earth, retired astronaut Mark Kelly, are participating in a set of 10 focused investigations. These investigations are studying how the space environment, including microgravity, radiation, and other stressors, affect the astronauts on a molecular level and how changes at this fundamental level may affect overall changes in astronaut health and well-being. Results from these experiments will allow us to better understand factors that influence aging, cancer, immune responses, risk factors for diseases, and treatments for conditions that are similar to those seen in space.</t>
  </si>
  <si>
    <t>epSYavFfLOE</t>
  </si>
  <si>
    <t>2016 01 06</t>
  </si>
  <si>
    <t>https://youtu.be/Jn8LfT9HVOQ</t>
  </si>
  <si>
    <t>Space Station Live  Gauging the Shaking on Orbit</t>
  </si>
  <si>
    <t>NASA Commentator Lori Meggs talks with Ken Hrovat of NASA’s Glenn Research Center in Cleveland, Ohio, about the Space Acceleration Measurement System that tracks vibrations on the International Space Station.  From the machinery operating on board to the human crew members exercising, vibrations along the length of the station can cause stresses and strains on the structure and can disturb delicate microgravity science experiments; the SAMS helps specialists understand the vibration environment and contributes to efforts to dampen the effects.
________________________________________
FOLLOW THE SPACE STATION!
Twitter: https://twitter.com/Space_Station 
Facebook: https://www.facebook.com/ISS
Instagram: https://instagram.com/iss/</t>
  </si>
  <si>
    <t>Jn8LfT9HVOQ</t>
  </si>
  <si>
    <t>2016 01 05</t>
  </si>
  <si>
    <t>https://youtu.be/6GnVLQqgR7o</t>
  </si>
  <si>
    <t>Space Station Live  The Measure of the Marrow</t>
  </si>
  <si>
    <t>NASA Commentator Brandi Dean talks with Drs. Guy Trudel and Odette Laneuville of the University of Ottawa about the MARROW experiment now underway on board the International Space Station.  The researchers believe that in weightlessness bone marrow may produce more fat cells than blood cells and leave astronauts susceptible to things like anemia or infection, similar to patients on Earth who are restricted to bed rest.  In this experiment they’re gathering samples from space station crew members before, during and after their flights to measure for fat content in the marrow and begin to develop countermeasures that would help keep future astronauts safe on long-duration missions.</t>
  </si>
  <si>
    <t>6GnVLQqgR7o</t>
  </si>
  <si>
    <t>https://youtu.be/KOTMa4ZBivw</t>
  </si>
  <si>
    <t>StationLIFE  Nutrition – January</t>
  </si>
  <si>
    <t>Every month on StationLIFE, we’ll focus on a scientific area where the International Space Station is conducting groundbreaking research. This month, astronaut Tracy Dyson talks about the International Space Station’s role in the field of nutrition.
The space station is being utilized to study the risks to human health that are inherent in space exploration.  The human body changes in various ways in microgravity, and nutrition-related investigations help us understand and reduce those risks associated with those changes (bone mineral density loss, muscle atrophy, cardiovascular deconditioning, immune dysfunction, radiation, etc.). Scientists can also test the effectiveness of potential countermeasures like exercise and nutrition, which can have health benefits for those of us on Earth.
Be sure to check back every month to see more of how we’re working "Off the Earth, For the Earth."
http://www.nasa.gov/iss-science
HD download link: https://archive.org/details/StationLIFE
________________________________________
FOLLOW THE SPACE STATION!
Twitter: https://twitter.com/Space_Station
Facebook: https://www.facebook.com/ISS
Instagram: https://instagram.com/iss/</t>
  </si>
  <si>
    <t>KOTMa4ZBivw</t>
  </si>
  <si>
    <t>2016 01 04</t>
  </si>
  <si>
    <t>https://youtu.be/0q7S6stE0hU</t>
  </si>
  <si>
    <t>Monthly ISS Research Video Update for January 2016</t>
  </si>
  <si>
    <t>See the highlights of recent research conducted on the International Space Station.
________________________________________
FOLLOW THE SPACE STATION!
Twitter: https://twitter.com/Space_Station 
Facebook: https://www.facebook.com/ISS
Instagram: https://instagram.com/iss/</t>
  </si>
  <si>
    <t>0q7S6stE0hU</t>
  </si>
  <si>
    <t>2016 01 01</t>
  </si>
  <si>
    <t>https://youtu.be/zXrQZbU9r40</t>
  </si>
  <si>
    <t>Orion Backstage  Floyd Daniels and Tammy Bourgeois</t>
  </si>
  <si>
    <t>Here's your backstage pass to go behind the scenes with NASA’s Orion Program. Meet the people building the spacecraft that will take humans on the journey to Mars. In this episode, Lockheed Martin technicians Floyd Daniels and Tammy Bourgeois take us into the clean room at NASA's Stennis Space Center to show us where they inspect Orion's propellant tubes for contamination. Propellant tubes will be sent to Kennedy Space Center for installation on Orion's crew module for Exploration Mission 1 in 2018.</t>
  </si>
  <si>
    <t>zXrQZbU9r40</t>
  </si>
  <si>
    <t>2015 12 28</t>
  </si>
  <si>
    <t>https://youtu.be/9SY7ojOx6mo</t>
  </si>
  <si>
    <t>Happy New Year from the International Space Station</t>
  </si>
  <si>
    <t>Aboard the International Space Station, Expedition 46 Commander Scott Kelly of NASA, Flight Engineer Tim Kopra of NASA and Flight Engineer Tim Peake of the European Space Agency wished the people of Earth a Happy New Year. Kelly is nearing the completion of the ninth month of a year-long mission on the orbital laboratory, while Kopra and Peake arrived Dec. 15 to begin a six-month mission on the complex.
HD download link: https://archive.org/details/Expedition46ResourceReel</t>
  </si>
  <si>
    <t>9SY7ojOx6mo</t>
  </si>
  <si>
    <t>2015 12 25</t>
  </si>
  <si>
    <t>https://youtu.be/0JP59g79vA4</t>
  </si>
  <si>
    <t>Space to Ground  A Look Back  12 25 2015</t>
  </si>
  <si>
    <t>0JP59g79vA4</t>
  </si>
  <si>
    <t>https://youtu.be/IyoPoETy5gY</t>
  </si>
  <si>
    <t>Seven Billion Dreams</t>
  </si>
  <si>
    <t>Take in the view from the International Space Station. 
For 15 years, humans have been living continuously aboard the ISS to advance scientific knowledge and demonstrate new technologies, making research breakthroughs not possible on Earth that also will enable long-duration human and robotic exploration into deep space. A truly global endeavor, more than 200 people from 15 countries have visited the unique microgravity laboratory that has hosted more than 1,700 research investigations from researchers in more than 83 countries. 
For more timelapse views of planet Earth from the International Space Station, visit: 
http://eol.jsc.nasa.gov/BeyondThePhotography/CrewEarthObservationsVideos/ 
Original score written and performed by Yanni and provided as a gift for the ISS 15th Anniversary of human presence. 
23rd Street publishing Inc/Yanni Music Publishing (ASCAP)
Used by Permission. All Rights Reserved.
HD download link: https://archive.org/details/SevenBillionDreams</t>
  </si>
  <si>
    <t>IyoPoETy5gY</t>
  </si>
  <si>
    <t>2015 12 23</t>
  </si>
  <si>
    <t>https://youtu.be/oUa9DYveXpY</t>
  </si>
  <si>
    <t>Space Station Live  A Surgical Assist from ISS Robotics Technology</t>
  </si>
  <si>
    <t>NASA Commentator Lori Meggs talks with Dr. Mehran Anvari, a professor of surgery at McMaster University in Canada and the scientific officer for the Center for Surgical Invention and Innovation/IGAR, about the transfer of the robotics technology behind the International Space Station’s Canadarm-2 into the operating room here on Earth, and about how that technology might assist future space travelers should they ever be called upon to perform tele-surgery while on some future deep space mission.</t>
  </si>
  <si>
    <t>oUa9DYveXpY</t>
  </si>
  <si>
    <t>2015 12 21</t>
  </si>
  <si>
    <t>https://youtu.be/d03-JnJ5QNE</t>
  </si>
  <si>
    <t>Happy Holidays from the International Space Station Crew</t>
  </si>
  <si>
    <t>Aboard the International Space Station, Expedition 46 Commander Scott Kelly of NASA, Flight Engineer Tim Kopra of NASA and Flight Engineer Tim Peake of the European Space Agency offered their thoughts on being in orbit away from home during the Christmas holidays and what Christmas means to them in a message downlinked on Dec. 17. Kelly is nearing the completion of the ninth month of a year-long mission on the orbital laboratory, while Kopra and Peake arrived Dec. 15 to begin a six-month mission on the complex.
HD download link: https://archive.org/details/Expedition46ResourceReel</t>
  </si>
  <si>
    <t>d03-JnJ5QNE</t>
  </si>
  <si>
    <t>2015 12 18</t>
  </si>
  <si>
    <t>https://youtu.be/wqjqP0-wX4A</t>
  </si>
  <si>
    <t>Orion Backstage  Tobias Fricke</t>
  </si>
  <si>
    <t>Here's your backstage pass to go behind the scenes with NASA’s Orion Program. Meet the people building the spacecraft that will take humans on the journey to Mars. In this episode, Tobias Fricke, a quality engineer from Airbus Defence and Space, discusses testing a structural representation of Orion’s service module known as the ESTA at NASA Glenn Research Center’s Space Power Facility in Sandusky, Ohio. The service module is being built in Europe and is a critical piece of Orion and provides its power and in-space propulsion, as well as air and water.</t>
  </si>
  <si>
    <t>wqjqP0-wX4A</t>
  </si>
  <si>
    <t>https://youtu.be/uL2OSs7DXoU</t>
  </si>
  <si>
    <t>Space Station Live  Kenneth Todd</t>
  </si>
  <si>
    <t>Kenneth Todd, ISS Operations Integration Manager, discusses a possible EVA to occur the week of December 21st.</t>
  </si>
  <si>
    <t>uL2OSs7DXoU</t>
  </si>
  <si>
    <t>https://youtu.be/SN_L2KwB6kE</t>
  </si>
  <si>
    <t>Orion 2015 Progress Toward Exploration Mission-1</t>
  </si>
  <si>
    <t>This video shows many hardware milestones reached in 2015 to send NASA’s Orion spacecraft to deep space on Exploration Mission-1, a flight that will take the uncrewed spacecraft thousands of miles beyond the moon in the first integrated mission with NASA’s Space Launch System rocket.
HD download link: https://archive.org/details/NASA-Orion-Resource-Reel</t>
  </si>
  <si>
    <t>SN_L2KwB6kE</t>
  </si>
  <si>
    <t>https://youtu.be/GbH376EJ-uo</t>
  </si>
  <si>
    <t>Space to Ground  New Arrival  12 18 2015</t>
  </si>
  <si>
    <t>GbH376EJ-uo</t>
  </si>
  <si>
    <t>2015 12 17</t>
  </si>
  <si>
    <t>https://youtu.be/TvmVTzN8exQ</t>
  </si>
  <si>
    <t>NASA’s Trio of WB-57s Fly in Formation Over Houston</t>
  </si>
  <si>
    <t>NASA’s trio of WB-57s fly in formation over Houston on November 19, 2015. This flight was the first time that three WB-57s have been aloft simultaneously since the early 1970s, when the U.S. Air Force had an active squadron of WB-57s. These fully operational WB-57 aircraft are based near NASA's Johnson Space Center at Ellington Field, home of the NASA WB-57 High Altitude Research Program, which provides unique, high-altitude airborne platforms to support scientific research and advanced technology development and testing. Mission examples include atmospheric and earth science, ground mapping, cosmic dust collection, rocket launch support, and testbed operations for future airborne or spaceborne systems. 
The WB-57 pilots and personnel supported several missions during the 2015 hurricane season, including flights over hurricanes Joaquin, and Patricia. This flight took the planes over Ellington Field, Houston’s Downtown, Galleria, and Medical Center. The flight continued over the Astro Dome, Minute Maid Park, Intercontinental Airport, the Houston Ship Channel, San Jacinto Monument and Johnson Space Center.
HD download link: https://archive.org/details/WB57VideoResourceReel</t>
  </si>
  <si>
    <t>TvmVTzN8exQ</t>
  </si>
  <si>
    <t>https://youtu.be/joXGqIoMlBY</t>
  </si>
  <si>
    <t>NASA’s Trio of WB-57s Fly in Formation Over Houston (alternate take)</t>
  </si>
  <si>
    <t>NASA’s trio of WB-57s fly in formation over Houston on November 19, 2015. This flight was the first time that three WB-57s have been aloft simultaneously since the early 1970s, when the U.S. Air Force had an active squadron of WB-57s. These fully operational WB-57 aircraft are based near NASA's Johnson Space Center at Ellington Field, home of the NASA WB-57 High Altitude Research Program, which provides unique, high-altitude airborne platforms to support scientific research and advanced technology development and testing. Mission examples include atmospheric and earth science, ground mapping, cosmic dust collection, rocket launch support, and testbed operations for future airborne or spaceborne systems. 
The WB-57 pilots and personnel supported several missions during the 2015 hurricane season, including flights over hurricanes Joaquin, and Patricia. This flight took the planes over Ellington Field, Houston’s Downtown, Galleria, and Medical Center. The flight continued over the Astro Dome, Minute Maid Park, Intercontinental Airport, the Houston Ship Channel, San Jacinto Monument and Johnson Space Center.
HD download link: https://archive.org/details/WB57VideoResourceReel</t>
  </si>
  <si>
    <t>joXGqIoMlBY</t>
  </si>
  <si>
    <t>https://youtu.be/U2f6aChCFyg</t>
  </si>
  <si>
    <t>Space Station Live  Recycling Milestone on Orbit</t>
  </si>
  <si>
    <t>NASA Commentator Dan Huot talks with Dave Mathers, a manager in the International Space Station Mission Evaluation Room, about a milestone for the station’s regenerative environmental control and life support system.  As of early this week the Urine Processor Assembly, Water Processor Assembly, and Oxygen Generation Assembly racks have been operating together on orbit for seven years, transforming waste water on the station into pure drinking water and breathing oxygen to support the human crew members.</t>
  </si>
  <si>
    <t>U2f6aChCFyg</t>
  </si>
  <si>
    <t>2015 12 16</t>
  </si>
  <si>
    <t>https://youtu.be/fPjr4NPtlLE</t>
  </si>
  <si>
    <t>Space Station Live  Student Experiments Fly to Station</t>
  </si>
  <si>
    <t>NASA Commentator Lori Meggs talks with Dan Saldana of Valley Christian High School in San Jose, California about some of the 17 experiments developed by students in schools from the USA to Finland that just arrived at the International Space station aboard the new Cygnus cargo ship.  Experiments ranging from protein crystal growth and electroplating to bacterial and plant growth are giving the students a chance to take what they’ve learned from textbooks and put it into practice.</t>
  </si>
  <si>
    <t>fPjr4NPtlLE</t>
  </si>
  <si>
    <t>https://youtu.be/BAcoHQaLWTw</t>
  </si>
  <si>
    <t>NASA Arc Jet Facility History</t>
  </si>
  <si>
    <t>NASA researchers used the Arc Jet Facility at Johnson Space Center for over 40 years to provide researchers with the data necessary to develop spacecraft protective systems. From the dawn the space race, through the development of the Orion spacecraft, the Arc Jet facility allowed researchers the opportunity to test and refine spacecraft material and structural designs to determine what could withstand the extreme temperature, physical and chemical changes required to penetrate the atmosphere and return safely to earth. As NASA progresses on the Journey to Mars,  the groundwork laid by Arc Jet researchers will prove invaluable. 
HD download link: https://archive.org/details/NASAArcJetFacilityHistory</t>
  </si>
  <si>
    <t>BAcoHQaLWTw</t>
  </si>
  <si>
    <t>2015 12 15</t>
  </si>
  <si>
    <t>https://youtu.be/scGc1NS_IV8</t>
  </si>
  <si>
    <t>Soyuz Docked to Space Station</t>
  </si>
  <si>
    <t>Soyuz Commander Yuri Malenchenko manually docked the Soyuz TMA-19M spacecraft at 12:33 p.m. EST to the International Space Station’s Rassvet module after an initial automated attempt was aborted. Malenchenko took control of the Soyuz, backed it away from the station to assess the Soyuz’ systems, then reapproached the complex for the manual docking. Flight Engineer Tim Kopra of NASA and Flight Engineer Tim Peake of the European Space Agency flanked Malenchenko as he brought the Soyuz to the Rassvet port for the start of a six-month mission.
After leak checks are conducted on both sides of the docking interface, hatches will be opened and Malenchenko, Kopra and Peake will be greeted by Expedition 46 Commander Scott Kelly of NASA and Flight Engineers Mikhail Kornienko and Sergey Volkov of the Russian Federal Space Agency (Roscosmos).
________________________________________
FOLLOW THE SPACE STATION!
Twitter: https://twitter.com/Space_Station 
Facebook: https://www.facebook.com/ISS
Instagram: https://instagram.com/iss/</t>
  </si>
  <si>
    <t>scGc1NS_IV8</t>
  </si>
  <si>
    <t>2015 12 14</t>
  </si>
  <si>
    <t>https://youtu.be/ocPYDuTvivY</t>
  </si>
  <si>
    <t>Space Station Live  Kopra Ready to Fly!</t>
  </si>
  <si>
    <t>NASA Commentator Pat Ryan talks with astronaut Tim Kopra as his finishes his preparations to launch to the International Space Station for Expeditions 46 and 47.  Kopra, retired from the U.S. Army with the rank of colonel, will launch in a Soyuz spacecraft on Dec. 15 at 6:03 a.m. ET from the Baikonur Cosmodrome in Kazakhstan, along with Russian cosmonaut Yuri Malenchenko and European Space Agency astronaut Tim Peake of Great Britain, to spend six months on orbit.  This will be Kopra’s second tour of duty as a member of the ISS crew.
________________________________________
FOLLOW THE SPACE STATION!
Twitter: https://twitter.com/Space_Station 
Facebook: https://www.facebook.com/ISS
Instagram: https://instagram.com/iss/</t>
  </si>
  <si>
    <t>ocPYDuTvivY</t>
  </si>
  <si>
    <t>https://youtu.be/P32j17Fl5L0</t>
  </si>
  <si>
    <t>NASA Spacesuit Development</t>
  </si>
  <si>
    <t>NASA takes you on the journey engineers go through to make a spacesuit.  What challenges must be overcome to build a spacesuit capable of withstanding the heat, cold and the extreme environment of space?  Learn about the accomplishments achieved by humans working in space, and discover two new prototype spacesuits, the PXS and the Z-2, as NASA continues to build on a 50 year legacy of spacesuits and prepares the next generation of explorers for the Journey to Mars.
HD dowload link: https://archive.org/details/NASASpacesuitDevelopment</t>
  </si>
  <si>
    <t>P32j17Fl5L0</t>
  </si>
  <si>
    <t>2015 12 12</t>
  </si>
  <si>
    <t>https://youtu.be/fgBi2BjiKXI</t>
  </si>
  <si>
    <t>Expedition 45 Crew Traveling Home</t>
  </si>
  <si>
    <t>Expedition 45 Commander Oleg Kononenko of the Russian Federal Space Agency (Roscosmos) and Flight Engineers Kjell Lindgren of NASA and Kimiya Yui of the Japan Aerospace Exploration Agency arrived at the airport in Dzhezkazgan, Kazakhstan on Dec. 11, a few hours after landing in their Soyuz TMA-17M spacecraft.  The crew then split up, with Kononenko returning to his training base in Star City, Russia, while Lindgren and Yui boarded a NASA plane for a return trip to Houston. 
________________________________________
FOLLOW THE SPACE STATION!
Twitter: https://twitter.com/Space_Station 
Facebook: https://www.facebook.com/ISS
Instagram: https://instagram.com/iss/</t>
  </si>
  <si>
    <t>fgBi2BjiKXI</t>
  </si>
  <si>
    <t>2015 12 11</t>
  </si>
  <si>
    <t>https://youtu.be/sldv0JYFVgU</t>
  </si>
  <si>
    <t>Astronauts give underwater shout-out for Army-Navy game</t>
  </si>
  <si>
    <t>NASA astronauts Captain Suni Williams, Naval Academy Class of 1987 graduate, and Colonel Doug Wheelock, West Point Class of 1983 graduate, cheer on their teams ahead of the Army-Navy football game on Saturday, December 12, 2015.
Williams and Wheelock are underwater in NASA's Neutral Buoyancy Laboratory. The 40 ft. deep, 6.2 million gallon pool houses life-size mockups of the International Space Station which astronauts use to train for spacewalks.</t>
  </si>
  <si>
    <t>sldv0JYFVgU</t>
  </si>
  <si>
    <t>https://youtu.be/PqU3LjQr5hM</t>
  </si>
  <si>
    <t>Astronauts cheer for Army-Navy game</t>
  </si>
  <si>
    <t>NASA astronauts Captain Suni Williams, Naval Academy Class of 1987 graduate, and Colonel Doug Wheelock, West Point Class of 1983 graduate, cheer on their teams ahead of the Army-Navy football game on Saturday, December 12, 2015.
Williams and Wheelock are speaking from the pool deck of NASA's Neutral Buoyancy Laboratory. The 40 ft. deep, 6.2 million gallon pool houses life-size mockups of the International Space Station which astronauts use to train for spacewalks.</t>
  </si>
  <si>
    <t>PqU3LjQr5hM</t>
  </si>
  <si>
    <t>https://youtu.be/iOimGkaJGl4</t>
  </si>
  <si>
    <t>Space to Ground  Home For The Holidays   12 11 2015</t>
  </si>
  <si>
    <t>iOimGkaJGl4</t>
  </si>
  <si>
    <t>2015 12 10</t>
  </si>
  <si>
    <t>https://youtu.be/fjqWBsaQj2k</t>
  </si>
  <si>
    <t>Expedition 46-47 Crew Prepares for Launch</t>
  </si>
  <si>
    <t>At the Baikonur Cosmodrome in Kazakhstan, Expedition 46-47 Soyuz Commander Yuri Malenchenko of the Russian Federal Space Agency (Roscosmos), NASA Flight Engineer Tim Kopra and Flight Engineer Tim Peake of the European Space Agency participated in a variety of activities Nov. 30-Dec. 10. The crew will launch from Baikonur to the International Space Station in the Soyuz TMA-19M spacecraft on December 15. 
________________________________________
FOLLOW THE SPACE STATION!
Twitter: https://twitter.com/Space_Station 
Facebook: https://www.facebook.com/ISS
Instagram: https://instagram.com/iss/</t>
  </si>
  <si>
    <t>fjqWBsaQj2k</t>
  </si>
  <si>
    <t>https://youtu.be/E5xbrT80yqA</t>
  </si>
  <si>
    <t>Space Station Live  Remote Control From On Orbit</t>
  </si>
  <si>
    <t>NASA Commentator Pat Ryan talks with astronaut Barry Wilmore about the Haptics experiment that he performed while serving as commander of the International Space Station’s Expedition 42.  The Haptics researchers are developing the technology that would allow an astronaut on board an orbiting vehicle to command a robotic explorer on the surface of the moon or planet they are orbiting.</t>
  </si>
  <si>
    <t>E5xbrT80yqA</t>
  </si>
  <si>
    <t>2015 12 09</t>
  </si>
  <si>
    <t>https://youtu.be/h5WOWMlt9Ug</t>
  </si>
  <si>
    <t>Preparing America for Deep Space Exploration Episode 11  Committed to Exploration</t>
  </si>
  <si>
    <t>Engineers around the country are making progress developing NASA’s Space Launch System, Orion spacecraft and the ground systems at Kennedy Space Center in Florida needed to send astronauts on missions to deep space destinations. Between July and September, progress continued as pieces of Orion’s crew module and the SLS core stage tanks were welded together at NASA’s Michoud Assembly Facility in New Orleans, modifications were made to the mobile launcher at Kennedy, astronauts tested techniques for exiting Orion after a mission, and an RS-25 engine was tested at Stennis Space Center in Mississippi.
HD download link: https://archive.org/details/PreparingAmericaforDeepSpaceExploration</t>
  </si>
  <si>
    <t>h5WOWMlt9Ug</t>
  </si>
  <si>
    <t>https://youtu.be/Mo8IkHM8fGE</t>
  </si>
  <si>
    <t>A Visual Journey  NASA’s Exploration Mission-1</t>
  </si>
  <si>
    <t>NASA is hard at work building the Orion spacecraft, Space Launch System rocket and the ground systems needed to send astronauts into deep space. The agency is developing the core capabilities needed to enable the journey to Mars. On Exploration Mission-1, the spacecraft will travel thousands of miles beyond the moon over the course of about a three-week mission.
HD download link: https://archive.org/details/NASA-Orion-Resource-Reel</t>
  </si>
  <si>
    <t>Mo8IkHM8fGE</t>
  </si>
  <si>
    <t>https://youtu.be/merzd5ib4l8</t>
  </si>
  <si>
    <t>Space Station Live  NASA-TV Going UHD</t>
  </si>
  <si>
    <t>NASA Media Specialist Bill Hubscher talks with Imagery Experts program manager Rodney Grubbs about a new ultra high definition television camera delivered to the International Space Station on the new Cygnus cargo vehicle, and NASA’s overall efforts to upgrade NASA Television to the UHD technology.
________________________________________
FOLLOW THE SPACE STATION!
Twitter: https://twitter.com/Space_Station 
Facebook: https://www.facebook.com/ISS
Instagram: https://instagram.com/iss/</t>
  </si>
  <si>
    <t>merzd5ib4l8</t>
  </si>
  <si>
    <t>https://youtu.be/metJZuLJiy4</t>
  </si>
  <si>
    <t>Johnson Space Center 2015 Highlights</t>
  </si>
  <si>
    <t>HD download link: https://archive.org/details/JSCHighlightsVideos</t>
  </si>
  <si>
    <t>metJZuLJiy4</t>
  </si>
  <si>
    <t>2015 12 08</t>
  </si>
  <si>
    <t>https://youtu.be/5e82F6auX4M</t>
  </si>
  <si>
    <t>Space Station Live  Synthetic Muscle</t>
  </si>
  <si>
    <t>NASA Commentator Pat Ryan talks with Dr. Lenore Rasmussen, the founder and chief technology officer of Ras Labs in Quincy, Massachusetts and principal investigator of the Synthetic Muscle experiment that’s currently being radiation-tested on the International Space Station.  The synthetic muscle material lends itself to life-like motion and could improve the ability of robots to perform work in space as well as improve the performance of prosthetics on Earth. 
Watch Space Station Live, weekdays at 11am eastern.
http://www.nasa.gov/multimedia/nasatv/index.html
________________________________________
FOLLOW THE SPACE STATION!
Twitter: https://twitter.com/Space_Station 
Facebook: https://www.facebook.com/ISS
Instagram: https://instagram.com/iss/</t>
  </si>
  <si>
    <t>5e82F6auX4M</t>
  </si>
  <si>
    <t>https://youtu.be/gK03z06_Tkg</t>
  </si>
  <si>
    <t>Space Station Stories  A World of Possibilities</t>
  </si>
  <si>
    <t>A key element to NASA’s efforts to commercialize space research, the International Space Station is changing how businesses think of space: as a destination on orbit and a laboratory that supports cutting edge science and technology research and development, the station is driving private sector expansion while enabling future deep space exploration, fostering international cooperation, and generating benefits for people on Earth today.
HD download link: https://archive.org/details/SpaceStationStories 
________________________________________
FOLLOW THE SPACE STATION!
Twitter: https://twitter.com/Space_Station 
Facebook: https://www.facebook.com/ISS
Instagram: https://instagram.com/iss/</t>
  </si>
  <si>
    <t>gK03z06_Tkg</t>
  </si>
  <si>
    <t>2015 12 07</t>
  </si>
  <si>
    <t>https://youtu.be/R62xbngPcOE</t>
  </si>
  <si>
    <t>Combined Federal Campaign 2015</t>
  </si>
  <si>
    <t>The Combined Federal Campaign (CFC) is an annual fundraising drive that provides an opportunity for government employees to donate to local, national, and international non-profit organizations. It's a unique opportunity for employees to give back and let the community know that we care.
CFC is the world's largest and most successful annual workplace charity campaign, with almost 200 CFC campaigns throughout the country and overseas raising millions of dollars each year.
For more information, visit: https://www.opm.gov/combined-federal-campaign/</t>
  </si>
  <si>
    <t>R62xbngPcOE</t>
  </si>
  <si>
    <t>2015 12 04</t>
  </si>
  <si>
    <t>https://youtu.be/IlejgR0DM-g</t>
  </si>
  <si>
    <t>Space Station Live  Studying the Microbiome</t>
  </si>
  <si>
    <t>NASA Commentator Amiko Kauderer talks with Dr. Cherie Oubre, a microbiologist at NASA’s Johnson Space Center, about the Microbiome experiment on the International Space Station, which is looking at how the stresses of a space flight impact the human immune system and the collection of microbes that live in and on the human body.  Researchers will study the samples taken from different parts of the bodies of station crew members before, during and after their flight, and from different parts of the station itself, to learn how the extreme environment alters the microbiome and thus the health of astronauts during long space flights.</t>
  </si>
  <si>
    <t>IlejgR0DM-g</t>
  </si>
  <si>
    <t>https://youtu.be/Q8ynNFZ8XCw</t>
  </si>
  <si>
    <t>Space to Ground  Orbital ATK   12 04 2015</t>
  </si>
  <si>
    <t>Q8ynNFZ8XCw</t>
  </si>
  <si>
    <t>2015 12 02</t>
  </si>
  <si>
    <t>https://youtu.be/NFEC8OZWDCY</t>
  </si>
  <si>
    <t>Space Station Live  Packed Bed Reactor</t>
  </si>
  <si>
    <t>NASA Commentator Lori Meggs talks with Brian Motil of the Glenn Research Center, the principal investigator of the Packed Bed Reactor experiment flying to the International Space Station on the Orbital 4 resupply mission.  This experiment studies the behavior of gases and liquids when they flow simultaneously through a column filled with porous media, as is done in chemical engineering to enhance the contact between two immiscible fluid phases.  Data from this experiment could lead to better designs for chemical and biological reactors used in water recovery, planetary surface processing and oxygen production, and thus longer space missions in the future.</t>
  </si>
  <si>
    <t>NFEC8OZWDCY</t>
  </si>
  <si>
    <t>https://youtu.be/bVzwbGFdX1Q</t>
  </si>
  <si>
    <t>StationLIFE  Robotics – December</t>
  </si>
  <si>
    <t>Every month on StationLIFE, we’ll focus on a scientific area where the International Space Station is conducting groundbreaking research. This month, astronaut Tracy Dyson talks about the ways robotics are used on the International Space Station.
The International Space Station is home to some of the most advanced robotic systems ever developed. These machines are used in tasks ranging from simple house cleaning to capturing visiting spacecraft!
Right now on the station, robotic systems are demonstrating the ability to repair and refuel satellites, testing 3D mapping and navigation technologies, analyzing robotic synthetic muscles that contract and relax like real muscle, and even saving lives back here on Earth!
Be sure to check back every month to see more of how we’re working "Off the Earth, For the Earth."
http://www.nasa.gov/iss-science
HD download link: https://archive.org/details/StationLIFE
________________________________________
FOLLOW THE SPACE STATION!
Twitter: https://twitter.com/Space_Station
Facebook: https://www.facebook.com/ISS
Instagram: https://instagram.com/iss/</t>
  </si>
  <si>
    <t>bVzwbGFdX1Q</t>
  </si>
  <si>
    <t>2015 11 30</t>
  </si>
  <si>
    <t>https://youtu.be/yTGSy-79eHc</t>
  </si>
  <si>
    <t>Meet R5  Valkyrie</t>
  </si>
  <si>
    <t>You won't find the latest robot in the #BlackFriday frenzy. Meet NASA's R5: Valkyrie, the latest in humanoid robot technology designed to perform in extreme environments.
HD download link: https://archive.org/details/MeetR5Valkyrie</t>
  </si>
  <si>
    <t>yTGSy-79eHc</t>
  </si>
  <si>
    <t>https://youtu.be/1YdAYr16Y1U</t>
  </si>
  <si>
    <t>Monthly ISS Research Video Update for December 2015</t>
  </si>
  <si>
    <t>1YdAYr16Y1U</t>
  </si>
  <si>
    <t>https://youtu.be/_n7lnGySYEk</t>
  </si>
  <si>
    <t>Expedition 46-47 Crew Departs for Kazakh Launch Site</t>
  </si>
  <si>
    <t>Expedition 46-47 Soyuz Commander Yuri Malenchenko of the Russian Federal Space Agency (Roscosmos), NASA Flight Engineer Tim Kopra and Flight Engineer Tim Peake of the European Space Agency, and their backups, Anatoly Ivanishin of Roscosmos, Kate Rubins of NASA and Takuya Onishi of the Japan Aerospace Exploration Agency participated in traditional ceremonies at the Gagarin Cosmonaut Training Center in Star City, Russia, outside Moscow Nov. 30. Afterward, they departed for the Baikonur Cosmodrome in Kazakhstan to complete their training for the launch of Malenchenko, Kopra and Peake to the International Space Station in the Soyuz TMA-19M spacecraft Dec. 15 for a six-month mission.</t>
  </si>
  <si>
    <t>_n7lnGySYEk</t>
  </si>
  <si>
    <t>2015 11 27</t>
  </si>
  <si>
    <t>https://youtu.be/Brwb6JAZJ0I</t>
  </si>
  <si>
    <t>Space to Ground  Space Thanksgiving   11 27 2015</t>
  </si>
  <si>
    <t>Brwb6JAZJ0I</t>
  </si>
  <si>
    <t>2015 11 25</t>
  </si>
  <si>
    <t>https://youtu.be/60fxGvNLFtY</t>
  </si>
  <si>
    <t>How to Prepare (Thanksgiving) Food in Space</t>
  </si>
  <si>
    <t>While astronauts aboard the International Space Station are not able to step outside and fire up the turkey fryer, they still celebrate Thanksgiving with a feast of smoked turkey, candied yams, cornbread dressing and many other classic holiday favorites. 
Some of the food is thermostabilized and others need to be rehydrated. Here, rehydrating turkey tetrazzini is shown in a step-by-step process.
Download at https://archive.org/details/Expedition45ResourceReel</t>
  </si>
  <si>
    <t>60fxGvNLFtY</t>
  </si>
  <si>
    <t>2015 11 24</t>
  </si>
  <si>
    <t>https://youtu.be/QFoZG-eI0WU</t>
  </si>
  <si>
    <t>Space Station Live  Drug Development in Space</t>
  </si>
  <si>
    <t>NASA Commentator Lori Meggs talks with Paul Reichert, the associate principal scientist for Merck Research Laboratories, about the work with monoclonal antibodies he’s conducting on the International Space Station.  By conducting research in a weightless environment, Reichert and other scientists have been identifying variables that influence the growth of protein crystals, which can improve the manufacturing, delivery and storage of drugs used in the fights against diseases like cancer, osteoporosis and multiple sclerosis.</t>
  </si>
  <si>
    <t>QFoZG-eI0WU</t>
  </si>
  <si>
    <t>2015 11 23</t>
  </si>
  <si>
    <t>https://youtu.be/VSIC752WPe4</t>
  </si>
  <si>
    <t>Malenchenko, Kopra and Peake Conduct Ceremonies in Russia</t>
  </si>
  <si>
    <t>Expedition 46-47 Soyuz Commander Yuri Malenchenko of the Russian Federal Space Agency (Roscosmos), NASA Flight Engineer Tim Kopra and Flight Engineer Tim Peake of the European Space Agency visited the Gagarin Museum where they viewed historic space artifacts at the Gagarin Cosmonaut Training Center in Star City, Russia Nov. 23, then traveled to Moscow where they laid flowers at the Kremlin Wall in Red Square where Russian space icons are interred. Malenchenko, Kopra and Peake are scheduled to launch Dec. 15 in the Soyuz TMA-19M spacecraft to the International Space Station for a six-month mission.
________________________________________
FOLLOW THE SPACE STATION!
Twitter: https://twitter.com/Space_Station 
Facebook: https://www.facebook.com/ISS
Instagram: https://instagram.com/iss/</t>
  </si>
  <si>
    <t>VSIC752WPe4</t>
  </si>
  <si>
    <t>https://youtu.be/HAhAP4MPT5I</t>
  </si>
  <si>
    <t>Thanksgiving 2015 on the International Space Station</t>
  </si>
  <si>
    <t>NASA astronauts Scott Kelly and Kjell Lindgren took time to share their plans for Thanksgiving this year aboard the International Space Station. The two NASA astronauts sent well wishes to those on the ground and showed off their Thanksgiving meal of smoked turkey, candied yams, corn and potatoes au gratin.</t>
  </si>
  <si>
    <t>HAhAP4MPT5I</t>
  </si>
  <si>
    <t>https://youtu.be/96G3qqBoALw</t>
  </si>
  <si>
    <t xml:space="preserve"> Is It Possible To Define Inspiration   - A CineSpace 2015 Film</t>
  </si>
  <si>
    <t>Finalist
"Is It Possible To Define Inspiration?"
Courtney Robinson
Grimsby, Lincolnshire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</si>
  <si>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96G3qqBoALw</t>
  </si>
  <si>
    <t>https://youtu.be/9CsEF9RB1Yw</t>
  </si>
  <si>
    <t xml:space="preserve"> Home  - A CineSpace 2015 Film</t>
  </si>
  <si>
    <t>Winner - “Film Best Depicting Spirit of Future Exploration of Space” 
"Home"
Benjamin Eck
Sherman Oaks, CA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</si>
  <si>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9CsEF9RB1Yw</t>
  </si>
  <si>
    <t>https://youtu.be/GBcHOfqEBKI</t>
  </si>
  <si>
    <t xml:space="preserve"> Le Voyage  - A CineSpace 2015 Film</t>
  </si>
  <si>
    <t>Winner - 3rd Place
Le Voyage
Alexandre B. Lampron
Laval, Quebec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</si>
  <si>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GBcHOfqEBKI</t>
  </si>
  <si>
    <t>https://youtu.be/2o8N4AdaW2A</t>
  </si>
  <si>
    <t xml:space="preserve"> A Little Journey  - A CineSpace 2015 Film</t>
  </si>
  <si>
    <t>Finalist
"A Little Journey"
Lisset Mendoza
Anaheim, CA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</si>
  <si>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2o8N4AdaW2A</t>
  </si>
  <si>
    <t>https://youtu.be/M8mntXMihNU</t>
  </si>
  <si>
    <t xml:space="preserve"> Mission Avante  - A CineSpace 2015 Film</t>
  </si>
  <si>
    <t>Winner - 2nd Place
Mission Avante
Fernando Dueñas Peña
Bogota Colombia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t>
  </si>
  <si>
    <t>M8mntXMihNU</t>
  </si>
  <si>
    <t>https://youtu.be/OxF9kOnPVB8</t>
  </si>
  <si>
    <t xml:space="preserve"> Red Pearl  - A CineSpace 2015 Film</t>
  </si>
  <si>
    <t>Winner - “Film Best Depicting Benefits to Humanity from the International Space Station” 
"Red Pearl"
Wayne Slaten
League City, TX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</si>
  <si>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OxF9kOnPVB8</t>
  </si>
  <si>
    <t>https://youtu.be/_tFvHUnfKcQ</t>
  </si>
  <si>
    <t xml:space="preserve"> Voyagers  - A CineSpace 2015 Film</t>
  </si>
  <si>
    <t>Finalist
"Voyagers"
Daniel Land and Paul Frieling
Detroit, Michigan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</si>
  <si>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_tFvHUnfKcQ</t>
  </si>
  <si>
    <t>https://youtu.be/hf5PUqp5spg</t>
  </si>
  <si>
    <t xml:space="preserve"> Supersymetry  - A CineSpace 2015 Film</t>
  </si>
  <si>
    <t>Finalist
"Supersymmetry"
Trent Jaklitsch
Brooklyn, NY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</si>
  <si>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hf5PUqp5spg</t>
  </si>
  <si>
    <t>https://youtu.be/vBe-onc4aic</t>
  </si>
  <si>
    <t xml:space="preserve"> Outer Space  - A CineSpace 2015 Film</t>
  </si>
  <si>
    <t>Finalist
"Outer Space"
Sander van den Berg
Pijnacker, Zuid-Holland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</si>
  <si>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vBe-onc4aic</t>
  </si>
  <si>
    <t>https://youtu.be/B0Y6jA6AqqI</t>
  </si>
  <si>
    <t xml:space="preserve"> End Of The Sky  - A CineSpace 2015 Film</t>
  </si>
  <si>
    <t>Finalist
"End of the Sky"
Elijah Alvarado
Iowa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</si>
  <si>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B0Y6jA6AqqI</t>
  </si>
  <si>
    <t>https://youtu.be/Kd8wC_TQtM0</t>
  </si>
  <si>
    <t xml:space="preserve"> As We Set Sail  - A CineSpace 2015 Film</t>
  </si>
  <si>
    <t>Finalist
"As We Set Sail"
Lee Arter
Los Angeles, CA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</si>
  <si>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Kd8wC_TQtM0</t>
  </si>
  <si>
    <t>https://youtu.be/LZ0ItjwivYE</t>
  </si>
  <si>
    <t xml:space="preserve"> General Astronomy  - A CineSpace 2015 Film</t>
  </si>
  <si>
    <t>Finalist
"General Astronomy"
Victoria Taylor-Gore
Amarillo, TX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</si>
  <si>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LZ0ItjwivYE</t>
  </si>
  <si>
    <t>https://youtu.be/mDQdc5YT0-0</t>
  </si>
  <si>
    <t xml:space="preserve"> Come Closer  - A CineSpace 2015 Film</t>
  </si>
  <si>
    <t>Finalist
"Come Closer"
Amia Yokoyama
Los Angeles, CA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</si>
  <si>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mDQdc5YT0-0</t>
  </si>
  <si>
    <t>https://youtu.be/3bxRpZ6uP2k</t>
  </si>
  <si>
    <t xml:space="preserve"> Higher Ground  - A CineSpace 2015 Film</t>
  </si>
  <si>
    <t>Winner - 1st Place
"Higher Ground"
Mary Magsamen and Stephen Hillerbrand
Houston, TX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</si>
  <si>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3bxRpZ6uP2k</t>
  </si>
  <si>
    <t>https://youtu.be/qODBzyB91so</t>
  </si>
  <si>
    <t xml:space="preserve"> Guiding Light  - A CineSpace 2015 Film</t>
  </si>
  <si>
    <t>Finalist
"Guiding Light"
Guy Shahaf
Yehud, Israel
NASA and the Houston Cinema Arts Society offered filmmakers around the world a chance to share their works inspired by, and using, real NASA imagery through “CineSpace,” a new short film competition. Entries used at least 10 percent publicly available NASA imagery and video collected throughout the agency's 50-year history. The inaugural competition drew 194 entries from 22 countries and 32 states. Prizes were awarded to the top three submissions and the two films that best demonstrated the themes "Benefits of Space to Humanity" and "Future Space Exploration."
To learn more, visit: www.cinespace15.org
http://www.nasa.gov/feature/cinespace-winners</t>
  </si>
  <si>
    <t>qODBzyB91so</t>
  </si>
  <si>
    <t>2015 11 20</t>
  </si>
  <si>
    <t>https://youtu.be/24Yk81lenCk</t>
  </si>
  <si>
    <t>Space Station Live  Boosting Science on ISS</t>
  </si>
  <si>
    <t>NASA Commentator Pat Ryan talks with Dr. Michael Roberts, the deputy chief scientist at the Center for the Advancement of Science in Space (CASIS), which manages the International Space Station National Laboratory and works with scientists and commercial entities to facilitate their research in space.  CASIS also spearheads educational outreach efforts to encourage students from kindergarten to graduate school to study science, technology, engineering and math.</t>
  </si>
  <si>
    <t>24Yk81lenCk</t>
  </si>
  <si>
    <t>https://youtu.be/T9aKSogrL-I</t>
  </si>
  <si>
    <t>Expedition 46 47 Crew Undergoes Final Training Outside Moscow</t>
  </si>
  <si>
    <t>Expedition 46/47 prime crewmembers Timothy Kopra of NASA, Yuri Malenchenko of the Russian Federal Space Agency (Roscosmos) and Timothy Peake of the European Space Agency  conducted final qualification training at the Gagarin Cosmonaut Training Center in Star City, Russia Nov. 19 and 20.  Kopra, Malenchenko and Peake are scheduled to launch on Dec. 15, Kazakh time, in the Soyuz TMA-19M spacecraft for a six-month mission on the International Space Station.</t>
  </si>
  <si>
    <t>T9aKSogrL-I</t>
  </si>
  <si>
    <t>https://youtu.be/6Otg83PPls8</t>
  </si>
  <si>
    <t>Space to Ground  Outer Space Orchestra  11 20 2015</t>
  </si>
  <si>
    <t>6Otg83PPls8</t>
  </si>
  <si>
    <t>2015 11 19</t>
  </si>
  <si>
    <t>https://youtu.be/pP4dK_12O48</t>
  </si>
  <si>
    <t>Space Station Live  It’s Story Time!</t>
  </si>
  <si>
    <t>NASA Commentator Pat Ryan talks with Patricia Tribe, a co-principal investigator of the Story Time from Space educational outreach program being conducted from the International Space Station.  Station crew members videotape themselves reading books for children and the material is made available to schools and is posted on a public website, to emphasize the importance of reading as well as to enhance science literacy for students.
For more information:
http://storytimefromspace.com/
Watch Space Station Live, weekdays at 11am eastern.
http://www.nasa.gov/multimedia/nasatv/index.html
________________________________________
FOLLOW THE SPACE STATION!
Twitter: https://twitter.com/Space_Station 
Facebook: https://www.facebook.com/ISS
Instagram: https://instagram.com/iss/</t>
  </si>
  <si>
    <t>pP4dK_12O48</t>
  </si>
  <si>
    <t>2015 11 18</t>
  </si>
  <si>
    <t>https://youtu.be/BybUJYl0aVk</t>
  </si>
  <si>
    <t>Space Station Live  Station Fosters New Drug Therapies</t>
  </si>
  <si>
    <t>NASA Commentator Lori Meggs at the Marshall Space Flight Center talks with Ken Savin of Eli Lilly and Company about the company’s drug research being done on the International Space Station.  In its work to develop new drugs and improve drug delivery for patients on Earth, Lilly is one of many commercial interests that are taking advantage of the world’s on-orbit science laboratory to do things that can’t be done in the one gravity environment of Earth.
Watch Space Station Live, weekdays at 11am eastern.
http://www.nasa.gov/multimedia/nasatv/index.html
________________________________________
FOLLOW THE SPACE STATION!
Twitter: https://twitter.com/Space_Station 
Facebook: https://www.facebook.com/ISS
Instagram: https://instagram.com/iss/</t>
  </si>
  <si>
    <t>BybUJYl0aVk</t>
  </si>
  <si>
    <t>https://youtu.be/NecjpG1NVac</t>
  </si>
  <si>
    <t>Benefits for Humanity  Space is Our Business</t>
  </si>
  <si>
    <t>For 15 years, the International Space Station has been human spaceflight’s preeminent destination, with crew members conducting science from around the globe and opening doors to new prospects. 
The 2005 NASA Authorization Act designated the U.S segment of the ISS as a national laboratory, giving an open invitation to researchers to utilize the unique environment for their work. Since that time, entirely novel businesses have been created and a new economy is growing 250 miles above the surface of our planet. With a new generation of U.S. commercial spacecraft and rockets supplying cargo, and soon astronauts, to the space station, and a wide range of industries already getting tangible benefits from space-based research, human kind’s ventures into outer space are full of opportunity. 
This is yet another way the orbiting laboratory is enabling research Off the Earth, For the Earth.
For more information: http://www.nasa.gov/mission_pages/station/research/news/casis 
HD download link: https://archive.org/details/ISSBenefitsforHumanity 
________________________________________
FOLLOW THE SPACE STATION!
Twitter: https://twitter.com/Space_Station 
Facebook: https://www.facebook.com/ISS 
Instagram: https://instagram.com/iss/
Web: https://www.nasa.gov/station</t>
  </si>
  <si>
    <t>NecjpG1NVac</t>
  </si>
  <si>
    <t>2015 11 13</t>
  </si>
  <si>
    <t>https://youtu.be/tQ_eK5q2q0w</t>
  </si>
  <si>
    <t>Space to Ground  Tanks Up  11 13 2015</t>
  </si>
  <si>
    <t>tQ_eK5q2q0w</t>
  </si>
  <si>
    <t>2015 11 12</t>
  </si>
  <si>
    <t>https://youtu.be/BpCgHsYaA8U</t>
  </si>
  <si>
    <t>Space Station Live  We’ll Get Back to You</t>
  </si>
  <si>
    <t>NASA Commentator Lori Meggs talks with Larry Palinkas of the University of Southern California about dealing with communications problems that will face future explorers on missions beyond low Earth orbit.  For the Communications Delay Assessment experiment now underway on the International Space Station, artificial delays in sending and receiving messages are put in place to simulate the delays that future explorers will experience as they go out into the solar system, where radio waves that travel at the speed of light will still take many minutes, each way, to reach their destinations.
Watch Space Station Live, weekdays at 11am eastern.
http://www.nasa.gov/multimedia/nasatv/index.html
________________________________________
FOLLOW THE SPACE STATION!
Twitter: https://twitter.com/Space_Station 
Facebook: https://www.facebook.com/ISS
Instagram: https://instagram.com/iss/</t>
  </si>
  <si>
    <t>BpCgHsYaA8U</t>
  </si>
  <si>
    <t>https://youtu.be/7DWzmq9e0Lw</t>
  </si>
  <si>
    <t>NASA astronaut Kjell Lindgren plays Amazing Grace on the bagpipes</t>
  </si>
  <si>
    <t>NASA astronaut Kjell Lindgren plays Amazing Grace on the bagpipes from the International Space Station.  Kjell is a member of the Expedition 44/45 crew.
Shot in UHD, 4k. 
HD download link: https://archive.org/details/Expedition45ResourceReel
_________________________________
Twitter:
https://twitter.com/astro_kjell
Instagram:
https://www.instagram.com/astro_kjell</t>
  </si>
  <si>
    <t>7DWzmq9e0Lw</t>
  </si>
  <si>
    <t>2015 11 10</t>
  </si>
  <si>
    <t>https://youtu.be/LrobW07DFk8</t>
  </si>
  <si>
    <t>Space Station Live  The Science of Slosh</t>
  </si>
  <si>
    <t>NASA Commentator Amiko Kauderer talks with Jacob Roth, a co-principal investigator of the SPHERES Slosh experiment, which is investigating how fluids behave in weightlessness.  Roth and his colleagues are making use of the SPHERES satellites, which were already on board the station for other science, to manipulate an instrumented container that records the movement of the fluid inside.  The research is focused on improving our understanding of how propellants within rockets behave in order to improve the safety and efficiency of future fuel tank designs.
Watch Space Station Live, weekdays at 11am eastern.
http://www.nasa.gov/multimedia/nasatv/index.html
________________________________________
FOLLOW THE SPACE STATION!
Twitter: https://twitter.com/Space_Station 
Facebook: https://www.facebook.com/ISS
Instagram: https://instagram.com/iss/</t>
  </si>
  <si>
    <t>LrobW07DFk8</t>
  </si>
  <si>
    <t>https://youtu.be/cm3sN-wpLpE</t>
  </si>
  <si>
    <t>Benefits for Humanity  A Snapshot of Earth</t>
  </si>
  <si>
    <t>Imagine bread loaf-sized satellites zipping around the Earth each day, imaging the globe and providing updates on the environment. Thanks to the International Space Station, this constellation of satellite image gathering has been made a reality.
With the mission of photographing the majority of the Earth every day, Planet Labs created small satellites, individually referred to as Doves, to capture ground imagery for use in humanitarian, environmental and commercial applications. With the 2005 NASA Authorization Act designating the U.S segment of the station as a national laboratory, the space station drives growth of a robust commercial marketplace in space through endeavors like Planet Labs. The Earth-imaging mission of Planet Labs Dove satellites takes another leap toward creating benefits on Earth resulting from innovation in space.
This is yet another way the orbiting laboratory is enabling research Off the Earth, For the Earth.
For more information: http://www.nasa.gov/mission_pages/station/research/news/planet_labs
HD download link: https://archive.org/details/ISSBenefitsforHumanity 
________________________________________
FOLLOW THE SPACE STATION!
Twitter: https://twitter.com/Space_Station 
Facebook: https://www.facebook.com/ISS 
Instagram: https://instagram.com/iss/
Web: www.nasa.gov/station</t>
  </si>
  <si>
    <t>cm3sN-wpLpE</t>
  </si>
  <si>
    <t>2015 11 09</t>
  </si>
  <si>
    <t>https://youtu.be/K1O4kqprsX8</t>
  </si>
  <si>
    <t>Orion Backstage Episode 4  Oliver Juckenhöfel</t>
  </si>
  <si>
    <t>Here's your backstage pass to go behind the scenes with NASA's Orion Program. Meet the people building the spacecraft that will take humans on the journey to Mars. In this episode, Oliver Juckenhöfel, head of the Orion Service Module program for Airbus Defence and Space, talks about the arrival of a structural representation of the European Service Module at NASA's Glenn Research Center in Ohio. Airbus is building the module, which will supply the spacecraft’s power, in-space propulsion and air and water for the crew, on behalf of ESA (European Space Agency) for Orion. 
HD download link: https://archive.org/details/Orion-Backstage</t>
  </si>
  <si>
    <t>K1O4kqprsX8</t>
  </si>
  <si>
    <t>2015 11 06</t>
  </si>
  <si>
    <t>https://youtu.be/69eIsLTZ3uQ</t>
  </si>
  <si>
    <t>Space to Ground  Happy Anniversary  11 06 2015</t>
  </si>
  <si>
    <t>69eIsLTZ3uQ</t>
  </si>
  <si>
    <t>2015 11 04</t>
  </si>
  <si>
    <t>https://youtu.be/Qe3DZQAQfcA</t>
  </si>
  <si>
    <t>Monthly ISS Research Video Update for November 2015</t>
  </si>
  <si>
    <t>See the highlights of recent research conducted on the International Space Station during October.
________________________________________
FOLLOW THE SPACE STATION!
Twitter: https://twitter.com/Space_Station 
Facebook: https://www.facebook.com/ISS
Instagram: https://instagram.com/iss/</t>
  </si>
  <si>
    <t>Qe3DZQAQfcA</t>
  </si>
  <si>
    <t>https://youtu.be/izSYMrnDESY</t>
  </si>
  <si>
    <t>Space Station Live  15 Years of Science Ops</t>
  </si>
  <si>
    <t>NASA Commentator Lori Meggs talks with Denise Morris, a payload operations director at the International Space Station’s Payload Operations Integration Center at the Marshall Space Flight Center, about the POIC’s role managing science experiment activity on the station in the fifteen years since the arrival of the first expedition crew on orbit.  Morris was a spacecraft communicator at the time, the voice of the science operations center to the first crews to inhabit the space station on a continuous basis.
Watch Space Station Live, weekdays at 11am eastern.
http://www.nasa.gov/multimedia/nasatv/index.html
________________________________________
FOLLOW THE SPACE STATION!
Twitter: https://twitter.com/Space_Station 
Facebook: https://www.facebook.com/ISS
Instagram: https://instagram.com/iss/</t>
  </si>
  <si>
    <t>izSYMrnDESY</t>
  </si>
  <si>
    <t>2015 11 02</t>
  </si>
  <si>
    <t>https://youtu.be/ObF0zVyQ_Xo</t>
  </si>
  <si>
    <t>Space Station Live  Top Benefits from the First 15 Years</t>
  </si>
  <si>
    <t>On the fifteenth anniversary of the start of continuous human presence on the International Space Station, NASA Commentator Dan Huot talks with associate program scientist Dr. Tara Ruttley about the range of research encompassed in the more than 1700 experiments from 83 countries that have operated on the station so far.  Ruttley discusses the top fifteen ways in which station science has been turning out results that benefit people on Earth.
Watch Space Station Live, weekdays at 11am eastern.
http://www.nasa.gov/multimedia/nasatv/index.html
________________________________________
FOLLOW THE SPACE STATION!
Twitter: https://twitter.com/Space_Station 
Facebook: https://www.facebook.com/ISS
Instagram: https://instagram.com/iss/</t>
  </si>
  <si>
    <t>ObF0zVyQ_Xo</t>
  </si>
  <si>
    <t>https://youtu.be/zK-Rw_6SX_M</t>
  </si>
  <si>
    <t>StationLIFE  International Partnerships and Commercialization – November</t>
  </si>
  <si>
    <t>Every month on StationLIFE, we’ll focus on a scientific area where the International Space Station is conducting groundbreaking research. 
Be sure to check back every month to see more of how we’re working "Off the Earth, For the Earth."
http://www.nasa.gov/station
HD download link: https://archive.org/details/StationLIFE
________________________________________
FOLLOW THE SPACE STATION!
Twitter: https://twitter.com/Space_Station
Facebook: https://www.facebook.com/ISS
Instagram: https://instagram.com/iss/</t>
  </si>
  <si>
    <t>zK-Rw_6SX_M</t>
  </si>
  <si>
    <t>https://youtu.be/4wRixEZWem8</t>
  </si>
  <si>
    <t>The International Space Station  A Musical</t>
  </si>
  <si>
    <t>Gather ‘round and listen to a little story about the International Space Station, humanity’s home in orbit for 15 consecutive years. 
From humble beginnings as a lone Russian module, the space station grew to the size of a football field and has hosted over 200 people from 17 different countries. With more than 1700 scientific experiments already conducted, the orbiting laboratory is ready to keep pushing the boundaries of scientific knowledge and serve as the launching point for humanity’s next steps into the solar system, including our journey to Mars. 
So sing along and learn about the biggest spaceship ever built as we celebrate 15 straight years of humans working off the Earth, for the Earth. 
www.nasa.gov/station15 
HD Download link: https://archive.org/details/ISSBenefitsforHumanity
________________________________________
FOLLOW THE SPACE STATION!
Twitter: https://twitter.com/Space_Station 
Facebook: https://www.facebook.com/ISS 
Instagram: https://instagram.com/iss/
Web: www.nasa.gov/station</t>
  </si>
  <si>
    <t>4wRixEZWem8</t>
  </si>
  <si>
    <t>2015 10 30</t>
  </si>
  <si>
    <t>https://youtu.be/Dp8M9r8m4_c</t>
  </si>
  <si>
    <t>Spacewalk Airlock Training</t>
  </si>
  <si>
    <t>NASA engineers and technicians train in the International Space Station Airlock at Johnson Space Center's Space Vehicle Mockup Facility.</t>
  </si>
  <si>
    <t>Dp8M9r8m4_c</t>
  </si>
  <si>
    <t>https://youtu.be/Qk2xoT_E8Uc</t>
  </si>
  <si>
    <t>Space to Ground  Home Improvements  10 30 2015</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</si>
  <si>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</si>
  <si>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Qk2xoT_E8Uc</t>
  </si>
  <si>
    <t>2015 10 29</t>
  </si>
  <si>
    <t>https://youtu.be/317euw7huSU</t>
  </si>
  <si>
    <t>Space Station Live  Another American Record</t>
  </si>
  <si>
    <t>NASA Commentator Rob Navias talks with former astronaut Michael Lopez-Alegria about Scott Kelly’s new record for the longest spaceflight by an American astronaut.  Today the International Space Station commander exceeded the mark of 215 days in space set by Lopez-Alegria when he was commander of Expedition 14 in 2006-2007.  Lopez-Alegria talks about what NASA is learning from these long flights, both about the effects on the human body and about new technology, that’s helping get us ready for future deep space exploration.
Watch Space Station Live, weekdays at 11am eastern.
http://www.nasa.gov/multimedia/nasatv/index.html
________________________________________
FOLLOW THE SPACE STATION!
Twitter: https://twitter.com/Space_Station 
Facebook: https://www.facebook.com/ISS
Instagram: https://instagram.com/iss/</t>
  </si>
  <si>
    <t>317euw7huSU</t>
  </si>
  <si>
    <t>2015 10 26</t>
  </si>
  <si>
    <t>https://youtu.be/G9Ojp4B-iys</t>
  </si>
  <si>
    <t>3D Animation of Nov. 6 Spacewalk Activities</t>
  </si>
  <si>
    <t>This 3D animation depicts the activities spacewalkers Scott Kelly and Kjell Lindgren will perform Nov. 6. The duo will return the port truss cooling system back to its original configuration after repair work completed back in 2012. More info... http://go.nasa.gov/1jEN4NL</t>
  </si>
  <si>
    <t>G9Ojp4B-iys</t>
  </si>
  <si>
    <t>https://youtu.be/uezBWff0wK8</t>
  </si>
  <si>
    <t>3D Animation of Oct. 28 Spacewalk Activities</t>
  </si>
  <si>
    <t>This 3D animation depicts the activities spacewalkers Scott Kelly and Kjell Lindgren will perform Oct. 28. The duo will service the Canadarm2 robotic arm, route cables for a future docking port and place a thermal cover over a dark matter detection experiment. More info... http://go.nasa.gov/1jEN4NL</t>
  </si>
  <si>
    <t>uezBWff0wK8</t>
  </si>
  <si>
    <t>2015 10 25</t>
  </si>
  <si>
    <t>https://youtu.be/dHgBYA4gEnQ</t>
  </si>
  <si>
    <t>Hurricane Patricia off the West Coast of Mexico</t>
  </si>
  <si>
    <t>This time-lapse video shows Hurricane Patricia and it's eye as the International Space Station​ flew over the Category 5 storm Friday.</t>
  </si>
  <si>
    <t>dHgBYA4gEnQ</t>
  </si>
  <si>
    <t>2015 10 23</t>
  </si>
  <si>
    <t>https://youtu.be/pd7A-k7ic5Q</t>
  </si>
  <si>
    <t>Space to Ground  Station Sleep  10 23 2015</t>
  </si>
  <si>
    <t>pd7A-k7ic5Q</t>
  </si>
  <si>
    <t>2015 10 21</t>
  </si>
  <si>
    <t>https://youtu.be/2FxNCh9dAKE</t>
  </si>
  <si>
    <t>Space Station Live  Just the Stats, Ma’am</t>
  </si>
  <si>
    <t>NASA Commentator Lori Meggs at the Marshall Space Flight Center speaks to Rob Ploutz-Snyder, a biostatistician at the Johnson Space Center whose job it is to help design experiments and then keep track of all of the data and statistics that the International Space Station crew members gather as participants in scientific research for NASA’s Human Research Program. 
Watch Space Station Live, weekdays at 11am eastern.
http://www.nasa.gov/multimedia/nasatv/index.html
________________________________________
FOLLOW THE SPACE STATION!
Twitter: https://twitter.com/Space_Station 
Facebook: https://www.facebook.com/ISS
Instagram: https://instagram.com/iss/</t>
  </si>
  <si>
    <t>2FxNCh9dAKE</t>
  </si>
  <si>
    <t>2015 10 20</t>
  </si>
  <si>
    <t>https://youtu.be/vsdOE7OJzJM</t>
  </si>
  <si>
    <t>Monthly ISS Research Video Update for October 2015</t>
  </si>
  <si>
    <t>vsdOE7OJzJM</t>
  </si>
  <si>
    <t>2015 10 19</t>
  </si>
  <si>
    <t>https://youtu.be/akq1bdn_dIY</t>
  </si>
  <si>
    <t>Space Station Live  Doing Science in Their Sleep</t>
  </si>
  <si>
    <t>NASA Commentator Amiko Kauderer talks with Dr. Laura Barger of Harvard Medical School, the principal investigator of the Sleep ISS-12 study now underway on the International Space Station.  Barger’s new study on the One Year Mission crew members is a follow-up to sleep research conducted on prior station and space shuttle flights, using information from sleep journals kept by the crew and data from a motion sensor worn on the wrist to learn about the quality and quantity of sleep for astronauts in space and how it impacts their health and performance.
Watch Space Station Live, weekdays at 11am eastern.
http://www.nasa.gov/multimedia/nasatv/index.html
________________________________________
FOLLOW THE SPACE STATION!
Twitter: https://twitter.com/Space_Station 
Facebook: https://www.facebook.com/ISS
Instagram: https://instagram.com/iss/</t>
  </si>
  <si>
    <t>akq1bdn_dIY</t>
  </si>
  <si>
    <t>2015 10 16</t>
  </si>
  <si>
    <t>https://youtu.be/npkhnDBufRw</t>
  </si>
  <si>
    <t>Space Station Live  Fighting Cancer in Space</t>
  </si>
  <si>
    <t>NASA Commentator Pat Ryan talks with Dr. Daniela Grimm and Dr. Markus Wehland about the Cellbox-Thyroid Cancer experiment recently conducted on the International Space Station.  By conducting the experiment in a weightless environment scientists are able to see cells behave in ways that help them learn more about the nature of the cells and identify new biomarkers and target proteins to develop new cancer-fighting drugs.
Watch Space Station Live, weekdays at 11am eastern.
http://www.nasa.gov/multimedia/nasatv/index.html
________________________________________
FOLLOW THE SPACE STATION!
Twitter: https://twitter.com/Space_Station 
Facebook: https://www.facebook.com/ISS
Instagram: https://instagram.com/iss/</t>
  </si>
  <si>
    <t>npkhnDBufRw</t>
  </si>
  <si>
    <t>https://youtu.be/Y4d2WfjGMqU</t>
  </si>
  <si>
    <t>Speed of Sound</t>
  </si>
  <si>
    <t>On October 16, 2015, NASA astronaut Scott Kelly became the new record holder for most time in space by an American astronaut. He broke fellow astronaut Mike Fincke’s mark of 382 days, and will extend that record well beyond 500 days by the end of his yearlong mission. 
Kelly and Russian cosmonaut Mikhail Kornienko are spending a year aboard the International Space Station, testing the limits of human research, space exploration and the human spirit.
Learn more about their historic mission at www.nasa.gov/oneyear 
Music Credit Info:
“SPEED OF SOUND”
Written by Guy Rupert Berryman, Jonathan Mark Buckland, William Champion, and Christopher Anthony John Martin
Courtesy of Universal Music - MGB Songs on behalf of Universal Music Publ. MGB Ltd.
HD download link: https://archive.org/details/Speed-of-Sound
________________________________________
FOLLOW THE SPACE STATION!
Twitter: https://twitter.com/Space_Station
Facebook: https://www.facebook.com/ISS
Instagram: https://instagram.com/iss/</t>
  </si>
  <si>
    <t>Y4d2WfjGMqU</t>
  </si>
  <si>
    <t>https://youtu.be/49wKRx05Rtg</t>
  </si>
  <si>
    <t>Space to Ground  Spacewalk Preps  10 16 2015</t>
  </si>
  <si>
    <t>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</si>
  <si>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49wKRx05Rtg</t>
  </si>
  <si>
    <t>2015 10 15</t>
  </si>
  <si>
    <t>https://youtu.be/tioUzyhs6a4</t>
  </si>
  <si>
    <t>The Human Challenges of Mars  Stress</t>
  </si>
  <si>
    <t>There’s no shortage of challenges on a mission to Mars, and all of them will push humanity’s physical and mental endurance to the limit. 
Watch and learn about the hurdles facing future explorers of the Red Planet, and what NASA’s Human Research Program is doing right now, on the ground and aboard the International Space Station, to clear them in time for humanity’s next giant leap into the solar system. 
Learn more at www.nasa.gov/hrp
Join the Journey to Mars at www.nasa.gov/journeytomars
HD Download link: https://archive.org/details/HumanChallengesOfMars
________________________________________
FOLLOW THE SPACE STATION!
Twitter: https://twitter.com/Space_Station
Facebook: https://www.facebook.com/ISS
Instagram: https://instagram.com/iss/</t>
  </si>
  <si>
    <t>tioUzyhs6a4</t>
  </si>
  <si>
    <t>2015 10 14</t>
  </si>
  <si>
    <t>https://youtu.be/BPvEAWWRfGs</t>
  </si>
  <si>
    <t>Space Station Live  The Space Inside the Station</t>
  </si>
  <si>
    <t>NASA Commentator Lori Meggs at the Marshall Space Flight Center speaks to Sherry Thaxton, a human factors engineer at Johnson Space Center, about the Habitability investigation, which is collecting observations about the relationship between space station crewmembers and their environment, and whether a mission’s duration impacts how much “space” crewmembers need.
NASA's Space to Ground is your weekly update on what's happening aboard the International Space Station. Got a question or comment? Use #spacetoground to talk to us.
________________________________________
FOLLOW THE SPACE STATION!
Twitter: https://twitter.com/Space_Station 
Facebook: https://www.facebook.com/ISS
Instagram: https://instagram.com/iss/</t>
  </si>
  <si>
    <t>BPvEAWWRfGs</t>
  </si>
  <si>
    <t>https://youtu.be/d7Ofjkexqmc</t>
  </si>
  <si>
    <t>Orion Backstage  Astronaut Mike Fincke</t>
  </si>
  <si>
    <t>When astronauts come home in Orion from deep-space missions, they’ll need a strategy for a safe and efficient exit. At NASA’s Neutral Buoyancy Laboratory  at the agency’s Johnson Space Center in Houston, teams performed a series of tests in October 2015 to evaluate the most efficient way for astronauts to get out of the spacecraft after weeks or months away from Earth. Astronaut Mike Fincke participated in the testing, along with several other astronauts and engineers.</t>
  </si>
  <si>
    <t>d7Ofjkexqmc</t>
  </si>
  <si>
    <t>2015 10 13</t>
  </si>
  <si>
    <t>https://youtu.be/g701qIxrMlU</t>
  </si>
  <si>
    <t>Space Station Live  A MinION to Space Station</t>
  </si>
  <si>
    <t>NASA Commentator Amiko Kauderer talks with Dr. Aaron Burton, principal investigator of the Biomolecule Sequencer technology demonstration on the International Space Station, which is providing proof-of-concept of the functionality and operability of a portable DNA sequencer in space.  The device developed by Oxford Nanopore Technologies, called a MinION, is commercially available, but is now being certified for flight where it could help scientists learn more about how the human body responds to long periods of time in weightlessness, which will be required for crew members on future missions to Mars and other destinations in deep space.</t>
  </si>
  <si>
    <t>g701qIxrMlU</t>
  </si>
  <si>
    <t>https://youtu.be/HdjVVsaIL50</t>
  </si>
  <si>
    <t xml:space="preserve">Why would astronauts need a rover on Mars </t>
  </si>
  <si>
    <t>Logan Farrell, Robotics Engineer at NASA Johnson Space Center, talks about Space Exploration Vehicle (SEV), a habitable rover featuring technologies that could one day be used on a human mission to Mars. Farrell addresses that having a rover on Mars allows astronauts to explore larger areas over longer periods of time.</t>
  </si>
  <si>
    <t>HdjVVsaIL50</t>
  </si>
  <si>
    <t>https://youtu.be/y_zvGnV-tn4</t>
  </si>
  <si>
    <t>Espacio a Tierra - 12 de Octobre, 2015</t>
  </si>
  <si>
    <t>‘Espacio a Tierra’ de la NASA te mantiene al tanto de lo que ocurre a bordo de la Estación Espacial Internacional.</t>
  </si>
  <si>
    <t>y_zvGnV-tn4</t>
  </si>
  <si>
    <t>2015 10 09</t>
  </si>
  <si>
    <t>https://youtu.be/bKk_7NIKY3Y</t>
  </si>
  <si>
    <t>4K Video of Colorful Liquid in Space</t>
  </si>
  <si>
    <t>Once again, astronauts on the International Space Station dissolved an effervescent tablet in a floating ball of water, and captured images using a camera capable of recording four times the resolution of normal high-definition cameras. The higher resolution images and higher frame rate videos can reveal more information when used on science investigations, giving researchers a valuable new tool aboard the space station. This footage is one of the first of its kind. The cameras are being evaluated for capturing science data and vehicle operations by engineers at NASA's Marshall Space Flight Center in Huntsville, Alabama.
Read more on 4K in space:
http://www.nasa.gov/mission_pages/station/research/news/red_epic_dragon_camera/ 
*To view in 4k, be sure to change resolution under "Settings" menu in YouTube viewer to "2160p 4k".
(Video: NASA)
HD download: https://archive.org/details/NASA-Ultra-High-Definition
________________________________________
FOLLOW THE SPACE STATION!
Twitter: https://twitter.com/Space_Station
Facebook: https://www.facebook.com/ISS
Instagram: https://instagram.com/iss/</t>
  </si>
  <si>
    <t>bKk_7NIKY3Y</t>
  </si>
  <si>
    <t>https://youtu.be/crQ_iGm318U</t>
  </si>
  <si>
    <t>Space to Ground  Small Satellites 10 9 2015</t>
  </si>
  <si>
    <t>crQ_iGm318U</t>
  </si>
  <si>
    <t>2015 10 08</t>
  </si>
  <si>
    <t>https://youtu.be/PC4_kkd1laU</t>
  </si>
  <si>
    <t>The Human Challenges of Mars  Radiation</t>
  </si>
  <si>
    <t>There’s no shortage of challenges on a mission to Mars where an invisible threat places humans in danger at all times. 
Watch and learn about the hurdles facing future explorers of the Red Planet, and what NASA’s Human Research Program is doing right now, on the ground and aboard the International Space Station, to clear them in time for humanity’s next giant leap into the solar system. 
Learn more at www.nasa.gov/hrp
Join the Journey to Mars at www.nasa.gov/journeytomars
HD Download link: https://archive.org/details/HumanChallengesOfMars
________________________________________
FOLLOW THE SPACE STATION!
Twitter: https://twitter.com/Space_Station
Facebook: https://www.facebook.com/ISS
Instagram: https://instagram.com/iss/</t>
  </si>
  <si>
    <t>PC4_kkd1laU</t>
  </si>
  <si>
    <t>https://youtu.be/9SXJq_RP3V4</t>
  </si>
  <si>
    <t>Space Station Live  The Brain in Space</t>
  </si>
  <si>
    <t>NASA Commentator Lori Meggs talks with Dr. Rachael Seidler of the University of Michigan, the principal investigator of the Neuromapping experiment on the International Space Station, talks about her research into how the human brain changes during a long mission in a weightless environment.  Previous research has shown that astronauts returning from the space station have experienced changes in the brain in areas related to balance, movement, and cognition, and the current experiment seeks more data to better understand why the changes take place so specialists can try to prevent them from occurring.</t>
  </si>
  <si>
    <t>9SXJq_RP3V4</t>
  </si>
  <si>
    <t>https://youtu.be/YCyVdWXtlUE</t>
  </si>
  <si>
    <t xml:space="preserve">John Charles talkMARS  What would happen if we landed on Mars today </t>
  </si>
  <si>
    <t>Dr. John Charles, Associate Manager for International Science at NASA Johnson Space Center, discusses what would happen to the human body if astronauts landed on Mars today. Dr. Charles presents an overview of some of the investigations of the One Year Mission and how they help us prepare for future deep-space exploration.</t>
  </si>
  <si>
    <t>YCyVdWXtlUE</t>
  </si>
  <si>
    <t>2015 10 07</t>
  </si>
  <si>
    <t>https://youtu.be/VGzsoB7Y06w</t>
  </si>
  <si>
    <t>NASA is Good (Based off of Andy Grammer’s “Honey, I’m Good.”)</t>
  </si>
  <si>
    <t>“NASA is Good” is an outreach video project created by interns at NASA's Johnson Space Center. It was based off of Andy Grammer’s “Honey, I’m Good.” to raise interest of the One-Year Mission aboard the International Space Station and the Pathways and Student Intern opportunities. The lyrics and scenes in the video have been re-imagined in order to inform the public about the amazing work going on at NASA and the Johnson Space Center. The video features many different people working at Johnson Space Center including current Pathways and Student Interns as well as former interns. “NASA is Good” shows what a great opportunity it can be to become a part of the Pathways or Student Intern programs by displaying how long each person has been working at NASA.  
NASA Astronaut Scott Kelly’s one-year mission aboard the International Space Station is working to providing NASA with the answers to important questions about long duration space flight. Kelly has participated in many different experiments aboard the station to help us on Earth and to support our #JourneyToMars.
Learn more about NASA: http://www.nasa.gov   
Learn more about the One-Year Mission: www.nasa.gov/oneyear   
Follow Scott Kelly on Twitter: https://twitter.com/stationcdrkelly  
Follow Scott Kelly on Instagram: https://instagram.com/stationcdrkelly/  
Follow Scott Kelly on Facebook: https://www.facebook.com/pages/NASA-Astronaut-Scott-Kelly/131376260352637?ref=br_rs  
For students interested in NASA Johnson Space Center: 
http://pathways.jsc.nasa.gov 
https://intern.nasa.gov/ 
http://www.facebook.com/nasa.jsc.stud...  
http://www.twitter.com/nasajscstudents  
http://instagram.com/nasajscstudents  
Special thanks to: Astronaut Doug Wheelock, Megan Sumner, Beth Weissinger, and Ben Burdick 
Point of Contact: Brianna Bolling 
Director: Brianna Bolling, Stephany Guerrero, Kirsi Kuutti 
Lyrics: Kirsi Kuutti 
Video Editing: Megan Mackool, Daniel Pütz 
Audio Recording/Editing: Beth Weissinger, Aaron Jevitt 
Storyboard and Choreography: Stephany Guerrero, Kirsi Kutti 
“NASA is Good” Lyrics: 
Hey hey NASA is good 
rocket science engineering and astronauts 
lots of experiments flown 
I have interned here, and co-oped there 
discoveries happen everywhere 
(at NASA) 
In college I did apply, 
To work among the brightest minds 
If you think we’re only dancing, 
You got us all wrong, cause we’re 
working on projects to help all mankind 
So hey hey NASA is good, 
rocket science engineering and astronauts 
built to explore the unknown 
and you should join us, can't do this alone 
Hey NASA is good 
rocket science engineering and astronauts, 
we've got a lot you can do 
just apply ‘cause NASA needs you 
We have more than meets the eye 
the ISS, it always flies 
(Looking up now) 
A year long trip with Scott Kelly 
will test long term capabilities 
(He’s working with). 
Optical imaging, psychology - all the time:  
Labs sent up from all around the world 
So hey hey NASA, is good, 
rocket science engineering astronauts, 
Show us #WhySpaceMatters 
Space research For the Benefit of All 
Hey NASA, is good 
rocket science engineering astronauts, 
We all started young too 
gonna change the world like you 
Oh, I’m sure ya, sure ya wonder how this helps you 
Cordless tools, MRIs, all the other spin-offs too.  
Hey hey NASA is good, 
rockets science engineering astronauts 
built to explore the unknown 
and you should join us can't do this alone 
Hey NASA is good 
rockets science engineering astronauts, 
we've got a lot you can do 
just apply ‘cause NASA needs you 
Hey hey NASA, is good, 
rocket science engineering astronauts, 
Show us #WhySpaceMatters 
Space research For the Benefit of All 
Hey NASA, is good 
rocket science engineering astronauts, 
We all started young too 
gonna change the world like you</t>
  </si>
  <si>
    <t>VGzsoB7Y06w</t>
  </si>
  <si>
    <t>2015 10 06</t>
  </si>
  <si>
    <t>https://youtu.be/Psy-AtTP3hw</t>
  </si>
  <si>
    <t>‘The Martian’ Actress Mackenzie Davis Discusses Space Exploration</t>
  </si>
  <si>
    <t>Mackenzie Davis talks about science and space exploration during a visit to NASA’s Johnson Space Center in Houston.</t>
  </si>
  <si>
    <t>Psy-AtTP3hw</t>
  </si>
  <si>
    <t>https://youtu.be/6rByLGwcYN4</t>
  </si>
  <si>
    <t>‘The Martian’ Actor Sebastian Stan Discusses Astronauts</t>
  </si>
  <si>
    <t>Sebastian Stan talks about astronauts during a visit to NASA’s Johnson Space Center in Houston.</t>
  </si>
  <si>
    <t>6rByLGwcYN4</t>
  </si>
  <si>
    <t>https://youtu.be/1TzGSmTyFiA</t>
  </si>
  <si>
    <t>ISS Benefits for Humanity  Serving the World</t>
  </si>
  <si>
    <t>A picture is worth a thousand words, but in the case of International Space Station imagery, a picture also may be worth a thousand lives.
An imaging system aboard the station, ISS SERVIR Environmental Research and Visualization System (ISERV), captured photographs of Earth from space for use in developing countries affected by natural disasters
This is yet another way the orbiting laboratory is serving humanity Off the Earth, For the Earth.
To read more, visit: 
HD download link: https://archive.org/details/ISSBenefitsforHumanity
________________________________________
FOLLOW THE SPACE STATION!
Twitter: https://twitter.com/Space_Station
Facebook: https://www.facebook.com/ISS
Instagram: https://instagram.com/iss/</t>
  </si>
  <si>
    <t>1TzGSmTyFiA</t>
  </si>
  <si>
    <t>2015 10 05</t>
  </si>
  <si>
    <t>https://youtu.be/YIT2Up1imWs</t>
  </si>
  <si>
    <t>NASA astronaut Peggy Whitson %23SuitUp Video</t>
  </si>
  <si>
    <t>NASA astronaut Peggy Whitson demonstrates how to put on a spacesuit. It may seem a bit involved, but you have to think of the spacesuit as a single person spaceship, complete with oxygen, temperature control, power, communications, and even an emergency propulsion system.  This sequence contains clips from video recorded on July 24, 2015 as Peggy prepared for an underwater training session at the Neutral Buoyancy Laboratory, a facility of Johnson Space Center, located in Houston TX.
HD download link: https://archive.org/details/AstronautPeggyWhitsonSuitUpVideo
_________________________________
FOLLOW PEGGY WHITSON!
Tumblr:
http://astropeggy.tumblr.com/
Twitter:
https://twitter.com/astropeggy
Facebook:
https://www.facebook.com/NASAastronautPeggyWhitson</t>
  </si>
  <si>
    <t>YIT2Up1imWs</t>
  </si>
  <si>
    <t>https://youtu.be/9yPjAkd9dHw</t>
  </si>
  <si>
    <t>Espacio a Tierra - 05 de octobre, 2015</t>
  </si>
  <si>
    <t>9yPjAkd9dHw</t>
  </si>
  <si>
    <t>2015 10 02</t>
  </si>
  <si>
    <t>https://youtu.be/PdFJViWm4jE</t>
  </si>
  <si>
    <t>Space to Ground   Cargo Traffic 10 2 2015</t>
  </si>
  <si>
    <t>PdFJViWm4jE</t>
  </si>
  <si>
    <t>2015 10 01</t>
  </si>
  <si>
    <t>https://youtu.be/tjK0toxT7z0</t>
  </si>
  <si>
    <t>StationLIFE  Brain in Space - October</t>
  </si>
  <si>
    <t>Every month on StationLIFE, we’ll focus on a scientific area where the International Space Station is conducting groundbreaking research. This month, astronaut Tracy Dyson talks about some of the studies taking a look at astronaut brains.
Right now on station, we are studying how the unique stresses of the spaceflight environment affect astronauts’ central nervous systems, with an eye toward reducing risks for future space exploration. This means looking at things like astronaut cognition, spaceflight effects on fatigue and reaction timing, motor control, quality of sleep, psychological health and more!
Be sure to check back every month to see more of how we’re working "Off the Earth, For the Earth."
http://www.nasa.gov/station
HD download link: https://archive.org/details/StationLIFE
________________________________________
FOLLOW THE SPACE STATION!
Twitter: https://twitter.com/Space_Station
Facebook: https://www.facebook.com/ISS
Instagram: https://instagram.com/iss/</t>
  </si>
  <si>
    <t>tjK0toxT7z0</t>
  </si>
  <si>
    <t>2015 09 30</t>
  </si>
  <si>
    <t>https://youtu.be/FudqalBElYo</t>
  </si>
  <si>
    <t>Space Station Live  Space Plants in a BRIC</t>
  </si>
  <si>
    <t>NASA Commentator Lori Meggs at the Marshall Space Flight Center talks with Sarah Swanson, a researcher at the University of Wisconsin-Madison, who has grown plants on the International Space Station inside a unique container called a BRIC – Biological Research in Canister.  The experimenters hope that what they learn from the BRIC experiment can be used to help plants cope with the physical realities of a microgravity environment, where the lack of buoyancy-driven convection can cause low-oxygen conditions around the plant which impede its growth.
Watch Space Station Live, weekdays at 11am eastern.
http://www.nasa.gov/multimedia/nasatv/index.html
________________________________________
FOLLOW THE SPACE STATION!
Twitter: https://twitter.com/Space_Station 
Facebook: https://www.facebook.com/ISS
Instagram: https://instagram.com/iss/</t>
  </si>
  <si>
    <t>FudqalBElYo</t>
  </si>
  <si>
    <t>2015 09 29</t>
  </si>
  <si>
    <t>https://youtu.be/04lrZeQOpNI</t>
  </si>
  <si>
    <t>The Human Challenges of Mars  Balance and Coordination</t>
  </si>
  <si>
    <t>There’s no shortage of challenges on a mission to Mars, and some of the most difficult affect a system we can’t redesign: the human body. 
Watch and learn about the hurdles facing future explorers of the Red Planet, and what NASA’s Human Research Program is doing right now, on the ground and aboard the International Space Station, to clear them in time for humanity’s next giant leap into the solar system. 
Learn more at www.nasa.gov/hrp
Join the Journey to Mars at www.nasa.gov/journeytomars 
________________________________________
FOLLOW THE SPACE STATION!
Twitter: https://twitter.com/Space_Station
Facebook: https://www.facebook.com/ISS
Instagram: https://instagram.com/iss/</t>
  </si>
  <si>
    <t>04lrZeQOpNI</t>
  </si>
  <si>
    <t>2015 09 28</t>
  </si>
  <si>
    <t>https://youtu.be/fxnEKi7ItW4</t>
  </si>
  <si>
    <t xml:space="preserve">What Makes Liquid Water on Mars Possible </t>
  </si>
  <si>
    <t>Doug Archer, Planetary Scientist at NASA Johnson Space Center, talks about perchlorate salts, a compound that absorbs water on Mars. Archer addresses how perchlorate can serve as a valuable resource for human exploration missions to Mars in the future.</t>
  </si>
  <si>
    <t>fxnEKi7ItW4</t>
  </si>
  <si>
    <t>https://youtu.be/_4ELvaib0kg</t>
  </si>
  <si>
    <t>Espacio a Tierra - 28 de septiembre, 2015</t>
  </si>
  <si>
    <t>‘Espacio a Tierra’ de la NASA te mantiene al tanto de lo que ocurre a bordo de la Estación Espacial Internacional.
_____________________________________
¡CONECTA CON LA ESTACIÓN ESPACIAL!
Twitter: http://www.twitter.com/nasa_es 
Twitter: https://twitter.com/Space_Station  
Facebook: https://www.facebook.com/ISS
Instagram: https://instagram.com/iss/</t>
  </si>
  <si>
    <t>_4ELvaib0kg</t>
  </si>
  <si>
    <t>2015 09 25</t>
  </si>
  <si>
    <t>https://youtu.be/fRW3GH1MeBs</t>
  </si>
  <si>
    <t>Space to Ground  Movie Night  9 25 2015</t>
  </si>
  <si>
    <t>fRW3GH1MeBs</t>
  </si>
  <si>
    <t>2015 09 24</t>
  </si>
  <si>
    <t>https://youtu.be/Xy_zm8y6nwI</t>
  </si>
  <si>
    <t>Expedition 46  47 scheduled for December launch</t>
  </si>
  <si>
    <t>The December 15th launch of Expedition 46 / 47 will feature two space veterans, and one first time flyer to the International Space Station. NASA astronaut Tim Kopra returns to the station for a second time. Tim will become the station commander for Expedition 47. Veteran Russian cosmonaut Yuri Malenchenko will serve as commander of Soyuz TMA-19M.  ESA astronaut Tim Peake will be the first British astronaut to visit the Space Station. This crew will spend six months on the station, with a schedule landing in May of 2016.
________________________________________
FOLLOW THE SPACE STATION!
Twitter: https://twitter.com/Space_Station 
Facebook: https://www.facebook.com/ISS
Instagram: https://instagram.com/iss/</t>
  </si>
  <si>
    <t>Xy_zm8y6nwI</t>
  </si>
  <si>
    <t>https://youtu.be/bc13InB3hmc</t>
  </si>
  <si>
    <t>Space Station Live  Astro-omics in Space</t>
  </si>
  <si>
    <t>NASA Commentator Amiko Kauderer talks with Dr. Graham Scott, the chief scientist at the National Space Biomedical Research Institute, about how genetics research and the Twins study now underway on the International Space Station could contribute to keeping future space explorers safer on trips to Mars or other destinations in deep space.  The investigation using Commander Scott Kelly and his twin brother as subjects is a first of its kind “astro-omics” study that may help develop precision medicine-based countermeasures to aid crew members on trips beyond low Earth orbit.</t>
  </si>
  <si>
    <t>bc13InB3hmc</t>
  </si>
  <si>
    <t>https://youtu.be/z43cNmfKUsc</t>
  </si>
  <si>
    <t>How the Human Body’s Immune System Responds in Microgravity</t>
  </si>
  <si>
    <t>Many factors alter the human body’s immune system during spaceflight. Learn what they are and how scientists are working to understand exactly what parts of the immune system are altered.</t>
  </si>
  <si>
    <t>z43cNmfKUsc</t>
  </si>
  <si>
    <t>2015 09 23</t>
  </si>
  <si>
    <t>https://youtu.be/9MfWARdoF-o</t>
  </si>
  <si>
    <t>Space Station Live  Cultivating Plant Growth in Space</t>
  </si>
  <si>
    <t>NASA Commentator Lori Meggs at the Marshall Space Flight Center speaks to researchers Robert Ferl and Anna-Lisa Paul of the University of Florida about their Advanced Plant experiments on the International Space Station, in which they have already learned a great deal—and gotten some interesting surprises—about how plants grow in space.  The ability to grow food in space will be very important to support future missions beyond low Earth orbit into deep space
Watch Space Station Live, weekdays at 11am eastern.
http://www.nasa.gov/multimedia/nasatv/index.html
________________________________________
FOLLOW THE SPACE STATION!
Twitter: https://twitter.com/Space_Station 
Facebook: https://www.facebook.com/ISS
Instagram: https://instagram.com/iss/</t>
  </si>
  <si>
    <t>9MfWARdoF-o</t>
  </si>
  <si>
    <t>2015 09 21</t>
  </si>
  <si>
    <t>https://youtu.be/pV0gxHsxw5Y</t>
  </si>
  <si>
    <t>Espacio a Tierra - 21 de Septiembre, 2015</t>
  </si>
  <si>
    <t>‘Espacio a Tierra’ de la NASA te mantiene al tanto de lo que ocurre a bordo de la Estación Espacial Internacional. 
_____________________________________
¡CONECTA CON LA ESTACIÓN ESPACIAL!
Twitter: http://www.twitter.com/nasa_es 
Twitter: https://twitter.com/Space_Station  
Facebook: https://www.facebook.com/ISS
Instagram: https://instagram.com/iss/
_____________________________________
English: https://www.youtube.com/watch?v=2NHYmVZAXC0</t>
  </si>
  <si>
    <t>pV0gxHsxw5Y</t>
  </si>
  <si>
    <t>2015 09 20</t>
  </si>
  <si>
    <t>https://youtu.be/hGdQnUUuwy0</t>
  </si>
  <si>
    <t>Fruits of our Labor</t>
  </si>
  <si>
    <t>The International Space Station is paving our way to Mars as the only microgravity laboratory in which long-duration investigations can take place.
See for yourself at: https://www.youtube.com/watch?v=XNEWihFe_CA</t>
  </si>
  <si>
    <t>hGdQnUUuwy0</t>
  </si>
  <si>
    <t>https://youtu.be/XNEWihFe_CA</t>
  </si>
  <si>
    <t>Space Station Stories  Fruits of our Labor</t>
  </si>
  <si>
    <t>In the next chapter of Space Station Stories, we explore the station’s role as a one-of-a-kind laboratory in Earth orbit. 
The International Space Station is paving our way to Mars as the only microgravity laboratory in which long-duration investigations can take place. From understanding how the human body reacts to long-term spaceflight to testing critical systems for Mars missions, the space station  is a crucial stepping stone to deep-space exploration. This unique scientific platform continues to enable researchers from all over the world to put their talents to work on innovative experiments that could not be done anywhere else. Although each space station partner has distinct agency goals for station research, each partner shares a unified goal to extend the resulting knowledge for the betterment of humanity.
Space Station Stories takes you inside the technological marvel that is the International Space Station. Humanity’s home in low Earth orbit since 1998, the station continues to be a platform for new discoveries, preparing us for the journeys of tomorrow while benefiting the world of today.
HD download link: https://archive.org/details/SpaceStationStories
________________________________________
FOLLOW THE SPACE STATION!
Twitter: https://twitter.com/Space_Station
Facebook: https://www.facebook.com/ISS
Instagram: https://instagram.com/iss/</t>
  </si>
  <si>
    <t>XNEWihFe_CA</t>
  </si>
  <si>
    <t>2015 09 18</t>
  </si>
  <si>
    <t>https://youtu.be/2NHYmVZAXC0</t>
  </si>
  <si>
    <t>Space to Ground  Halfway There  9 18 2015</t>
  </si>
  <si>
    <t>2NHYmVZAXC0</t>
  </si>
  <si>
    <t>2015 09 17</t>
  </si>
  <si>
    <t>https://youtu.be/qmYxHkFBGw8</t>
  </si>
  <si>
    <t>Space Station Live   Halfway Mark - Human Research</t>
  </si>
  <si>
    <t>Dr. John Charles, Associate Manager for Human Research Program, discusses ongoing research on the effects of space flight on the human body during the One-Year mission.</t>
  </si>
  <si>
    <t>qmYxHkFBGw8</t>
  </si>
  <si>
    <t>2015 09 16</t>
  </si>
  <si>
    <t>https://youtu.be/4DrztPY2Zws</t>
  </si>
  <si>
    <t>Space Station Live    Halfway Mark - One-Year Payloads</t>
  </si>
  <si>
    <t>Lori Meggs discusses the One-Year mission payloads with payload managers Becky Grimaldi and Stephanie Dudley at Marshall Space Flight Center's Payload Operations Integration Center.</t>
  </si>
  <si>
    <t>4DrztPY2Zws</t>
  </si>
  <si>
    <t>https://youtu.be/JCJj-1e3LM0</t>
  </si>
  <si>
    <t>Space Station Live Interview   ISS Program Manager Kirk Shireman</t>
  </si>
  <si>
    <t>NASA’s new International Space Program Manager Kirk Shireman spent seven years as deputy station program manager and the past couple of years in the management ranks here at Johnson Space Center.  He discusses what it is like to come back into the program at this point. Just last week we had nine crew members on board representing five countries; he comments on the international cooperation part of this program. Yesterday being the halfway point for Scott Kelly and Mikhail Kornienko’s One Year Mission; Mr. Shireman’s assessment of their progress to this point.  The station serving to promote the commercialization of space research and space-related industries; he discusses some of the exciting new things coming up.  Mr. Shireman discusses what he is most looking forward to in the years to come for station.</t>
  </si>
  <si>
    <t>JCJj-1e3LM0</t>
  </si>
  <si>
    <t>2015 09 15</t>
  </si>
  <si>
    <t>https://youtu.be/AzYxGcblPF4</t>
  </si>
  <si>
    <t>Monthly ISS Research Video Update for August 2015</t>
  </si>
  <si>
    <t>See the highlights of recent research conducted on the International Space Station during August.
________________________________________
FOLLOW THE SPACE STATION!
Twitter: https://twitter.com/Space_Station 
Facebook: https://www.facebook.com/ISS
Instagram: https://instagram.com/iss/</t>
  </si>
  <si>
    <t>AzYxGcblPF4</t>
  </si>
  <si>
    <t>2015 09 14</t>
  </si>
  <si>
    <t>https://youtu.be/FUxDpYTUk5g</t>
  </si>
  <si>
    <t>Orion Backstage with Astronaut Vic Glover</t>
  </si>
  <si>
    <t>Here's your backstage pass to go behind the scenes with the Orion Spacecraft Program. Meet the people building the spacecraft that will take humans to Mars.</t>
  </si>
  <si>
    <t>FUxDpYTUk5g</t>
  </si>
  <si>
    <t>https://youtu.be/BWbqTdj5hRg</t>
  </si>
  <si>
    <t>A Year in Space Featuring Billy Dee Williams</t>
  </si>
  <si>
    <t>Right now, two humans are pushing the limits of our knowledge on how to survive in space. Leaving their homes behind for a year, American Scott Kelly and Russian Mikhail Kornienko are working aboard the International Space Station to help scientists better understand how the human body reacts and adapts to the harsh environment of space for extreme lengths of time. 
Featuring the voice of acting great Billy Dee Williams, follow along with this real-life space odyssey, searching for answers that will one day put human footprints on Mars and beyond. 
Learn more at www.nasa.gov/oneyear 
HD download link: https://archive.org/details/One-Year-Crew_Resource-Reel 
Narrator - Billy Dee Williams
Writer/Producer/Editor - Jason Clemons
Sound Mixer - Greg Wiseman
Video footage provided by:
National Aeronautics and Space Administration
Pond 5
Videoblocks
Archive.org
Music by Joe Dickinson Music
________________________________________
FOLLOW THE SPACE STATION!
Twitter: https://twitter.com/Space_Station
Facebook: https://www.facebook.com/ISS
Instagram: https://instagram.com/iss/</t>
  </si>
  <si>
    <t>BWbqTdj5hRg</t>
  </si>
  <si>
    <t>2015 09 12</t>
  </si>
  <si>
    <t>https://youtu.be/amsVtQLBLNI</t>
  </si>
  <si>
    <t>Astronaut at a Glance  Scott Tingle</t>
  </si>
  <si>
    <t>A short autobiographical summary of Scott Tingle.
HD download link: https://archive.org/details/NASAAstronautBiographicalVideos</t>
  </si>
  <si>
    <t>amsVtQLBLNI</t>
  </si>
  <si>
    <t>https://youtu.be/tLt6UwK66O4</t>
  </si>
  <si>
    <t>Astronaut at a Glance  Jeanette Epps</t>
  </si>
  <si>
    <t>A short autobiographical summary of Jeanette Epps.
HD download link: https://archive.org/details/NASAAstronautBiographicalVideos</t>
  </si>
  <si>
    <t>tLt6UwK66O4</t>
  </si>
  <si>
    <t>https://youtu.be/xNTQs4znLWM</t>
  </si>
  <si>
    <t>Astronaut at a Glance  Serena Aunon</t>
  </si>
  <si>
    <t>A short autobiographical summary of Serena Aunon.
HD download link: https://archive.org/details/NASAAstronautBiographicalVideos</t>
  </si>
  <si>
    <t>xNTQs4znLWM</t>
  </si>
  <si>
    <t>2015 09 11</t>
  </si>
  <si>
    <t>https://youtu.be/-JuBDX8JRBQ</t>
  </si>
  <si>
    <t>Space to Ground  Full House   9 11 2015</t>
  </si>
  <si>
    <t>-JuBDX8JRBQ</t>
  </si>
  <si>
    <t>2015 09 10</t>
  </si>
  <si>
    <t>https://youtu.be/Gj_SzDHWBz8</t>
  </si>
  <si>
    <t>Space Station Live  On the Shoulders of Giants</t>
  </si>
  <si>
    <t>NASA Commentator Dan Huot talks with astronaut Peggy Whitson about her NASA Village campaign, highlighting the employees behind the scenes helping to train and prepare her for her upcoming mission, along with their own personal stories of inspiration and commitment to spaceflight goals.  The two-time International Space Station crew member (she was the first NASA ISS Science Officer and the first woman to be station commander) is inviting the public to share the adventure on Facebook, Twitter and Tumblr.</t>
  </si>
  <si>
    <t>Gj_SzDHWBz8</t>
  </si>
  <si>
    <t>2015 09 09</t>
  </si>
  <si>
    <t>https://youtu.be/5Gp1zBcIy88</t>
  </si>
  <si>
    <t>Space Station Live  Gauging How Well They Work</t>
  </si>
  <si>
    <t>NASA Commentator Lori Meggs at the Marshall Space Flight Center talks with Jacob Bloomberg, principal investigator of the Functional Task Test experiment, about how scientists are working to understand how well an astronaut can do simple tasks during and after a prolonged period in weightlessness.  The experiment aims to develop countermeasures that will permit an astronaut on a long space mission, such as a trip to Mars and back, to perform critical tasks despite the impact to their physiology that comes from spending a long period in the absence of gravity.</t>
  </si>
  <si>
    <t>5Gp1zBcIy88</t>
  </si>
  <si>
    <t>2015 09 04</t>
  </si>
  <si>
    <t>https://youtu.be/0zA2z4yI02I</t>
  </si>
  <si>
    <t>Orion Backstage with Ray Zibilich</t>
  </si>
  <si>
    <t>0zA2z4yI02I</t>
  </si>
  <si>
    <t>https://youtu.be/0TDZX8r9DRw</t>
  </si>
  <si>
    <t>Expedition 45 Visiting Crew Docks to the Space Station</t>
  </si>
  <si>
    <t>After launching in their Soyuz TMA-18M spacecraft from the Baikonur Cosmodrome in Kazakhstan on Sept. 2, Kazakh time, Expedition 45 Soyuz Commander Sergey Volkov of the Russian Federal Space Agency (Roscosmos) and visiting crew members Andreas Mogensen of the European Space Agency and Aidyn Aimbetov of the Kazakh Space Agency (Kazcosmos) arrived at the International Space Station on Sept. 4 following a 34-orbit, two-day rendezvous. They docked their craft to the Poisk module on the Russian segment of the complex. A few hours after docking, Volkov, Mogensen and Aimbetov opened hatches and were greeted by station Commander Gennady Padalka of Roscosmos, NASA Flight Engineers Scott Kelly and Kjell Lindgren, Flight Engineer Kimiya Yui of the Japan Aerospace Exploration Agency and Russian Flight Engineers Mikhail Kornienko and Oleg Kononenko. As the hatches were opened, the families of the newly arrived crew members and Russian, European and Kazakh officials viewed the activities from the Russian Mission Control Center in Korolev, outside Moscow.  
FOLLOW THE SPACE STATION!
Twitter: https://twitter.com/Space_Station 
Facebook: https://www.facebook.com/ISS
Instagram: https://instagram.com/iss/</t>
  </si>
  <si>
    <t>0TDZX8r9DRw</t>
  </si>
  <si>
    <t>https://youtu.be/VexO24Q0omM</t>
  </si>
  <si>
    <t>Space to Ground  Then There Were Nine   9 4 2015</t>
  </si>
  <si>
    <t>VexO24Q0omM</t>
  </si>
  <si>
    <t>2015 09 03</t>
  </si>
  <si>
    <t>https://youtu.be/MJ98dgf9Mwg</t>
  </si>
  <si>
    <t>Space Station Live  Orbiting Astronaut to Drive Earth Robot</t>
  </si>
  <si>
    <t>NASA Commentator Crawford Jones talks with Dr. Andre Schiele, the head of the ESA (European Space Agency) Telerobotics and Haptics Laboratory and the principal investigator of the Interact experiment, about the plans for a first of its kind operation from the International Space Station.  Danish astronaut Andreas Mogenson will use a special joystick in the Columbus module to perform the first force-feedback-based teleoperation of a rover-based robotic arm system on Earth, getting tactile force feedback from the ground through the joystick to perform a mechanical assembly task with extremely tight clearances.  Such a system could permit astronauts orbiting a planet to control robots on the surface, or people on Earth to drive robots in areas too dangerous for people to go themselves.
Watch Space Station Live, weekdays at 11am eastern.
http://www.nasa.gov/multimedia/nasatv/index.html
FOLLOW THE SPACE STATION!
Twitter: https://twitter.com/Space_Station 
Facebook: https://www.facebook.com/ISS
Instagram: https://instagram.com/iss/</t>
  </si>
  <si>
    <t>MJ98dgf9Mwg</t>
  </si>
  <si>
    <t>https://youtu.be/ALKhJ3T9H14</t>
  </si>
  <si>
    <t>It Takes a NASA Village to Make a Space Mission Successful</t>
  </si>
  <si>
    <t>NASA astronaut Peggy Whitson introduces her NASA Village campaign, which will highlight the talented and diverse NASA work force preparing her for a six month mission to the International Space Station.  By sharing the stories of the people making spaceflight possible, the public will gain insight on the variety of jobs and people that play critical roles in spaceflight, and hopefully inspire a younger generation to share their talents with the NASA team someday.
_________________________________
FOLLOW PEGGY WHITSON!
Tumblr:
http://astropeggy.tumblr.com/
Twitter:
https://twitter.com/astropeggy
Facebook:
https://www.facebook.com/NASAastronautPeggyWhitson
HD download link: https://archive.org/details/ItTakesANASAVillageToMakeASpaceMissionSuccessful.</t>
  </si>
  <si>
    <t>ALKhJ3T9H14</t>
  </si>
  <si>
    <t>https://youtu.be/-3fYlBadTJU</t>
  </si>
  <si>
    <t>ISS Benefits for Humanity  From NASA to Napa</t>
  </si>
  <si>
    <t>From the microgravity environment aboard the International Space Station to the microclimates of Napa Valley, station research impacts many different industries on Earth. The latest video in the Benefits for Humanity series illustrates how solutions for growing crops in space translates to solutions for mold prevention in the wine cellars and other confined spaces of Earth.
As NASA plans the Journey to Mars, astronauts will need the capability to grow their own food. Scientists studying crop growth aboard the space station noticed a buildup of a naturally-grown hormone called ethylene within the confined plant growth chambers that was destroying the plants. Through collaboration with the University of Wisconsin, researchers developed an ethylene removal system, called Advanced Astroculture (ADVASC), which was successfully tested on a number of space station missions. It helped to keep the plants alive while also removing viruses, bacteria and mold from the plant growth chamber.
This is yet another way the orbiting laboratory is enabling research Off the Earth, For the Earth.
To read more, visit: http://www.nasa.gov/mission_pages/station/research/news/ADVASC
HD download link: https://archive.org/details/ISSBenefitsforHumanity
________________________________________
FOLLOW THE SPACE STATION!
Twitter: https://twitter.com/Space_Station
Facebook: https://www.facebook.com/ISS
Instagram: https://instagram.com/iss/</t>
  </si>
  <si>
    <t>-3fYlBadTJU</t>
  </si>
  <si>
    <t>2015 09 02</t>
  </si>
  <si>
    <t>https://youtu.be/O3NrMbaEPi4</t>
  </si>
  <si>
    <t>Space Station Live  A Call to Arms for T-cells</t>
  </si>
  <si>
    <t>NASA Commentator Lori Meggs at the Marshall Space Flight Center speaks with Millie Hughes-Fulford about her research into fighting the suppression of the human immune system in space.  Hughes-Fulford has been studying T-cell activation ever since her flight into space as a payload specialist on space shuttle mission STS-40.</t>
  </si>
  <si>
    <t>O3NrMbaEPi4</t>
  </si>
  <si>
    <t>2015 09 01</t>
  </si>
  <si>
    <t>https://youtu.be/WiQK27MjqGo</t>
  </si>
  <si>
    <t>StationLIFE  Biology – September</t>
  </si>
  <si>
    <t>Every month on StationLIFE, we’ll focus on a scientific area where the International Space Station is conducting groundbreaking research. This month, astronaut Tracy Dyson talks the station’s role as a platform for biological research.
Biological research, encompassing cells, plants, animals, genetics, biochemistry, human physiology, etc., and biotechnology (technology based on biology), harnesses cellular and biomolecular processes to develop technologies and products that can translate to improving our lives and the health of our planet.  Examples of the benefits from this research include: combating diseases, reducing our environmental footprint, feeding the world’s population, and developing cleaner energy.
Be sure to check back every month to see more of how we’re working "Off the Earth, For the Earth."
http://www.nasa.gov/station
HD download link: https://archive.org/details/StationLIFE
________________________________________
FOLLOW THE SPACE STATION!
Twitter: https://twitter.com/Space_Station
Facebook: https://www.facebook.com/ISS
Instagram: https://instagram.com/iss/</t>
  </si>
  <si>
    <t>WiQK27MjqGo</t>
  </si>
  <si>
    <t>2015 08 31</t>
  </si>
  <si>
    <t>https://youtu.be/OoL0ZALSuPI</t>
  </si>
  <si>
    <t>Stronger Together</t>
  </si>
  <si>
    <t>It's amazing what is possible when 15 nations come together for an enterprise that is bigger than themselves.
An international partnership of space agencies from the United States, Russia, Europe, Japan, and Canada have worked together for 15 years on the most politically complex space exploration program ever undertaken, the International Space Station.</t>
  </si>
  <si>
    <t>OoL0ZALSuPI</t>
  </si>
  <si>
    <t>2015 08 28</t>
  </si>
  <si>
    <t>https://youtu.be/vQiY3DuGv5g</t>
  </si>
  <si>
    <t>Launch Preparations for Expedition 45 Continues</t>
  </si>
  <si>
    <t>At the Baikonur Cosmodrome in Kazakhstan, Expedition 45 Soyuz Commander Sergei Volkov of the Russian Federal Space Agency (Roscosmos) and visiting crew members Andreas Mogensen of the European Space Agency (ESA) and Aidyn Aimbetov of the Kazakh Space Agency (Kazcosmos) continued their preparations for launch to the International Space Station, with a final fit check in their Soyuz TMA-18M spacecraft. Volkov, Mogensen and Aimbetov are set to launch on Sept. 2, Kazakh time. Volkov will spend six months on the station, while Mogensen and Aimbetov will be on board the station for just eight days.
________________________________________
FOLLOW THE SPACE STATION!
Twitter: https://twitter.com/Space_Station 
Facebook: https://www.facebook.com/ISS
Instagram: https://instagram.com/iss/</t>
  </si>
  <si>
    <t>vQiY3DuGv5g</t>
  </si>
  <si>
    <t>https://youtu.be/pmnvj24pfz8</t>
  </si>
  <si>
    <t>Space to Ground  The Stork Arrives  8 28 2015</t>
  </si>
  <si>
    <t>pmnvj24pfz8</t>
  </si>
  <si>
    <t>2015 08 27</t>
  </si>
  <si>
    <t>https://youtu.be/Oy6bCbMMktg</t>
  </si>
  <si>
    <t>Space Station Live  What Happens When You Move a Soyuz</t>
  </si>
  <si>
    <t>On the eve of the next relocation of a Soyuz spacecraft at the International Space Station, NASA Commentator Crawford Jones talks with Luca Parmitano, a European Space Agency (ESA) astronaut who performed the last such maneuver, in November of 2013.  Parmitano discusses the preparations for a twenty minute flight to move the crew capsule from one docking port on the station to another, and the sight of the station from close range as seen during the short trip.  Three members of the Expedition 44 crew will suit up to move their Soyuz vehicle early tomorrow, August 28.
Watch Space Station Live, weekdays at 11am eastern.
http://www.nasa.gov/multimedia/nasatv/index.html
________________________________________
FOLLOW THE SPACE STATION!
Twitter: https://twitter.com/Space_Station 
Facebook: https://www.facebook.com/ISS
Instagram: https://instagram.com/iss/</t>
  </si>
  <si>
    <t>Oy6bCbMMktg</t>
  </si>
  <si>
    <t>2015 08 26</t>
  </si>
  <si>
    <t>https://youtu.be/6trQ6TROjg8</t>
  </si>
  <si>
    <t>Next Station Crew Arrives in Baikonur</t>
  </si>
  <si>
    <t>Expedition 45 Soyuz Commander Sergei Volkov of the Russian Federal Space Agency (Roscosmos) and visiting crew members Andreas Mogensen of the European Space Agency (ESA) and Aidyn Aimbetov of the Kazakh Space Agency (Kazcosmos) arrives at the Baikonur Cosmodrome in Kazakhstan on August 18, as they prepared for the launch to the International Space Station in the Soyuz TMA-18M spacecraft on Sept. 2, Kazakh time. The crew also conducted their initial Soyuz fit check in the Cosmodrome Integration Facility.
________________________________________
FOLLOW THE SPACE STATION!
Twitter: https://twitter.com/Space_Station 
Facebook: https://www.facebook.com/ISS
Instagram: https://instagram.com/iss/</t>
  </si>
  <si>
    <t>6trQ6TROjg8</t>
  </si>
  <si>
    <t>https://youtu.be/_gBBUWgn2iU</t>
  </si>
  <si>
    <t>Space Station Live  OPALS is a Real Gem</t>
  </si>
  <si>
    <t>NASA Commentator Lori Meggs at the Marshall Space Flight Center talks with Matt Abrahamson at NASA’s Jet Propulsion Laboratory about an International Space Station experiment that could change the way data is transmitted from space to Earth. The Optical Payload for Lasercomm Science, or OPALS, is a technology demonstration to improve and increase the amount of science data that can be transmitted to researchers using lasers instead of radio waves.
Watch Space Station Live, weekdays at 11am eastern.
http://www.nasa.gov/multimedia/nasatv/index.html
________________________________________
FOLLOW THE SPACE STATION!
Twitter: https://twitter.com/Space_Station 
Facebook: https://www.facebook.com/ISS
Instagram: https://instagram.com/iss/</t>
  </si>
  <si>
    <t>_gBBUWgn2iU</t>
  </si>
  <si>
    <t>https://youtu.be/ad9UW_oVq9Y</t>
  </si>
  <si>
    <t>Engineers Complete Dramatic Test of Orion's Parachute System</t>
  </si>
  <si>
    <t>NASA’s successfully completed Aug. 26 a dramatic test of the Orion spacecraft’s parachute system. A test version of Orion touched down in the Arizona desert after a planned failure of two of its parachutes used to stabilize and slow the spacecraft for landing. During the test, a C-17 aircraft dropped a representative Orion capsule from its cargo bay at an altitude of 35,000 feet, or more than 6.5 miles, in the skies above the U.S. Army Yuma Proving Ground in Yuma, Arizona. The engineering model, which has a similar mass and interfaces with the parachute system as the Orion being developed for deep space missions, then began its parachute deployment sequence. Engineers purposefully simulated the failure of one of its two drogue parachutes, used to slow stabilize Orion in the air, and one of its three main parachutes, used to slow the crew module to landing speed, did not deploy. The airdrop test was the penultimate evaluation as part of an engineering series before tests begin next year to qualify the parachute system for crewed flights.</t>
  </si>
  <si>
    <t>ad9UW_oVq9Y</t>
  </si>
  <si>
    <t>https://youtu.be/lU4yfD84R3o</t>
  </si>
  <si>
    <t>Micro-g NExT Opportunity</t>
  </si>
  <si>
    <t>NASA Astronaut Tracy Caldwell Dyson invites undergraduate students to take part in Microgravity Neutral Buoyancy Experiment Design Teams (Micro-g NExT). Micro-g NExT challenges student teams to design, build, and test a tool or device that addresses an authentic, current space exploration problem. More information can be found at https://microgravityuniversity.jsc.nasa.gov/ .</t>
  </si>
  <si>
    <t>lU4yfD84R3o</t>
  </si>
  <si>
    <t>2015 08 25</t>
  </si>
  <si>
    <t>https://youtu.be/7mGv9lfrg_c</t>
  </si>
  <si>
    <t>Space Station Live  Space-Proven Air Scrubber</t>
  </si>
  <si>
    <t>NASA Commentator Pat Ryan talks with Dr. Jeffrey Sweterlitsch of the Crew and Thermal Systems division at NASA’s Johnson Space Center about the Amine Swingbed, a carbon dioxide removal system designed for use on the new Orion spacecraft that has gotten its first checkout in space on the International Space Station.  Amine Swingbed now functions as back-up system to the station’s primary CO2 removal system, and is an example of how the station has been used as a testbed for new technologies that will support future space exploration efforts.
Watch Space Station Live, weekdays at 11am eastern.
http://www.nasa.gov/multimedia/nasatv/index.html
________________________________________
FOLLOW THE SPACE STATION!
Twitter: https://twitter.com/Space_Station 
Facebook: https://www.facebook.com/ISS
Instagram: https://instagram.com/iss/</t>
  </si>
  <si>
    <t>7mGv9lfrg_c</t>
  </si>
  <si>
    <t>2015 08 24</t>
  </si>
  <si>
    <t>https://youtu.be/V6i7-XTe4XU</t>
  </si>
  <si>
    <t>Monthly ISS Research Video Update for July 2015</t>
  </si>
  <si>
    <t>See the highlights of recent research conducted on the International Space Station during July.
________________________________________
FOLLOW THE SPACE STATION!
Twitter: https://twitter.com/Space_Station 
Facebook: https://www.facebook.com/ISS
Instagram: https://instagram.com/iss/</t>
  </si>
  <si>
    <t>V6i7-XTe4XU</t>
  </si>
  <si>
    <t>https://youtu.be/nJupdzLR9Fk</t>
  </si>
  <si>
    <t>A Moment with Sergey Volkov</t>
  </si>
  <si>
    <t>A moment with Sergey Volkov. 
HD download link: https://archive.org/details/Expedition45ResourceReel</t>
  </si>
  <si>
    <t>nJupdzLR9Fk</t>
  </si>
  <si>
    <t>2015 08 21</t>
  </si>
  <si>
    <t>https://youtu.be/PRMvRkqPbIE</t>
  </si>
  <si>
    <t>Space to Ground  HTV-5 Launch  8 21 2015</t>
  </si>
  <si>
    <t>PRMvRkqPbIE</t>
  </si>
  <si>
    <t>2015 08 20</t>
  </si>
  <si>
    <t>https://youtu.be/YLWK4dNEuBc</t>
  </si>
  <si>
    <t>Space Station Live  Orion Parachutes Ready for the Test</t>
  </si>
  <si>
    <t>NASA Commentator Pat Ryan talks with Chris Johnson, the Orion Capsule Parachute Assembly System project manager, about the parachute tests to be conducted August 26 at the U.S. Army’s Yuma Proving Grounds in Arizona.  An engineering model of NASA’s next human spacecraft will be dropped from a plane at 35,000 feet to evaluate how it fares when the parachute system does not work as planned—this test involves planned failures of one drogue parachute and one main parachute.
Watch Space Station Live, weekdays at 11am eastern.
http://www.nasa.gov/multimedia/nasatv/index.html
________________________________________
FOLLOW THE SPACE STATION!
Twitter: https://twitter.com/Space_Station 
Facebook: https://www.facebook.com/ISS
Instagram: https://instagram.com/iss/</t>
  </si>
  <si>
    <t>YLWK4dNEuBc</t>
  </si>
  <si>
    <t>2015 08 19</t>
  </si>
  <si>
    <t>https://youtu.be/HouJPqYG5E4</t>
  </si>
  <si>
    <t>Space Station Live  Update on 3-D Printing in Space</t>
  </si>
  <si>
    <t>NASA Commentator Lori Meggs at the Marshall Space Flight Center talks with Jason Dunn of Made in Space about the latest developments on the 3-D printer on the International Space Station.  Several of the items previously manufactured on board the station are being analyzed as plans are made for building tools that will assist astronauts on this space station, which could bring us closer to building the tools that future astronauts will need on a journey to Mars.
Watch Space Station Live, weekdays at 11am eastern.
http://www.nasa.gov/multimedia/nasatv/index.html
________________________________________
FOLLOW THE SPACE STATION!
Twitter: https://twitter.com/Space_Station 
Facebook: https://www.facebook.com/ISS
Instagram: https://instagram.com/iss/</t>
  </si>
  <si>
    <t>HouJPqYG5E4</t>
  </si>
  <si>
    <t>https://youtu.be/MCiRuTkIkhw</t>
  </si>
  <si>
    <t>Space Station Live  Cosmic Ray Detector for ISS</t>
  </si>
  <si>
    <t>NASA Commentator Pat Ryan talks with Dr. John Wefel of Louisiana State University about the Calorimetric Electron Telescope (CALET), an astrophysics mission that will search for signatures of dark matter and provide the highest energy direct measurements of the cosmic ray electron spectrum.  Wefel is a co-investigator on CALET, which is being carried to the International Space Station on the Japanese supply ship that launched from the Tanegashima Space Center in southern Japan Wednesday morning, U.S. time, and which will be installed on the Kibo module’s Exposed Facility to search for high energy cosmic rays.
Watch Space Station Live, weekdays at 11am eastern.
http://www.nasa.gov/multimedia/nasatv/index.html
________________________________________
FOLLOW THE SPACE STATION!
Twitter: https://twitter.com/Space_Station 
Facebook: https://www.facebook.com/ISS
Instagram: https://instagram.com/iss/</t>
  </si>
  <si>
    <t>MCiRuTkIkhw</t>
  </si>
  <si>
    <t>2015 08 18</t>
  </si>
  <si>
    <t>https://youtu.be/c95LS6Y2LTo</t>
  </si>
  <si>
    <t>Visiting Soyuz Crew Departs For Kazakhstan</t>
  </si>
  <si>
    <t>Expedition 45 Soyuz Commander Sergei Volkov of the Russian Federal Space Agency (Roscosmos) and visiting crew members Andreas Mogensen of the European Space Agency (ESA) and Aidyn Aimbetov of the Kazakh Space Agency (Kazcosmos), and their backups, Oleg Skripochka and Sergei Prokopyev of Roscosmos and Thomas Pesquet of ESA participated in traditional ceremonies at the Gagarin Cosmonaut Training Center in Star City, Russia, outside
Moscow on August 18. Afterward, they departed for the Baikonur Cosmodrome in Kazakhstan to complete their training for the launch of Volkov, Mogensen and Aimbetov on Sept. 2, Kazakh time, in the Soyuz TMA-18M spacecraft to the International Space Agency.
FOLLOW THE SPACE STATION!
Twitter: https://twitter.com/Space_Station 
Facebook: https://www.facebook.com/ISS
Instagram: https://instagram.com/iss/</t>
  </si>
  <si>
    <t>c95LS6Y2LTo</t>
  </si>
  <si>
    <t>2015 08 14</t>
  </si>
  <si>
    <t>https://youtu.be/AJqzuyOr8ec</t>
  </si>
  <si>
    <t>Space Station Live  Kid Engineers Program Space Satellites</t>
  </si>
  <si>
    <t>Space science joins education at NASA’s Johnson Space Center, where seven teams of middle school students gathered to watch their work put into practice on board the International Space Station.  NASA Commentator Dan Huot talks with some of the students who wrote program code to command the activities of free-floating satellites on board the station while the student teams watched the live television downlink of the execution of their plans on board the station.
FOLLOW THE SPACE STATION!
Twitter: https://twitter.com/Space_Station 
Facebook: https://www.facebook.com/ISS
Instagram: https://instagram.com/iss/</t>
  </si>
  <si>
    <t>AJqzuyOr8ec</t>
  </si>
  <si>
    <t>https://youtu.be/6IP-Tx6yZIs</t>
  </si>
  <si>
    <t>Space Station Live  White Stork Ready to Fly</t>
  </si>
  <si>
    <t>NASA Commentator Amiko Kauderer talks with NASA’s Royce Renfrew, the lead flight director for the next mission of a Japanese cargo vehicle, about next week’s flight of the Kounotori (White Stork) transfer vehicle to the International Space Station.  The fifth flight of an H-II Transfer Vehicle, the Japan Aerospace Exploration Agency’s vehicle to carry supplies and science hardware to the station, is targeted for launch from the Tanegashima Space Center in southern Japan no earlier than next Monday morning, U.S. time, and will deliver more than four and a half tons of water, spare parts and science hardware to orbit.
Watch Space Station Live, weekdays at 11am eastern.
http://www.nasa.gov/multimedia/nasatv/index.html
FOLLOW THE SPACE STATION!
Twitter: https://twitter.com/Space_Station 
Facebook: https://www.facebook.com/ISS
Instagram: https://instagram.com/iss/</t>
  </si>
  <si>
    <t>6IP-Tx6yZIs</t>
  </si>
  <si>
    <t>https://youtu.be/usXM4qnzhT8</t>
  </si>
  <si>
    <t>Space to Ground  Space Veggie  8 14 2015</t>
  </si>
  <si>
    <t>usXM4qnzhT8</t>
  </si>
  <si>
    <t>https://youtu.be/GeBqMANGtmI</t>
  </si>
  <si>
    <t>Space Station Live  Killing Bugs in Space</t>
  </si>
  <si>
    <t>NASA Commentator Lori Meggs talks with Luis Zea, a scientist at BioServe Space Technologies, about efforts to use the weightless environment of the International Space Station to better understand how and why certain bacteria are resistant to antibiotics.  The problem of drug-resistant bacteria on 
Earth gets worse every year, and scientists are taking advantage of the space station to advance their knowledge as they fight the so-called superbugs.
Watch Space Station Live, weekdays at 11am eastern.
http://www.nasa.gov/multimedia/nasatv/index.html
________________________________________
FOLLOW THE SPACE STATION!
Twitter: https://twitter.com/Space_Station 
Facebook: https://www.facebook.com/ISS
Instagram: https://instagram.com/iss/</t>
  </si>
  <si>
    <t>GeBqMANGtmI</t>
  </si>
  <si>
    <t>2015 08 13</t>
  </si>
  <si>
    <t>https://youtu.be/HDEwt24mxf0</t>
  </si>
  <si>
    <t>Preparing America for Deep Space Exploration Episode 10  Constructing the Future</t>
  </si>
  <si>
    <t>Between April and June 2015, NASA’s Explorations Systems Development programs continued to make progress developing and building the Space Launch System rocket, Orion spacecraft and the ground systems needed to launch them on deep space missions to new destinations in the solar system. 
HD download link: https://archive.org/details/Exploring-Deep-Space-Constructing-The-Future</t>
  </si>
  <si>
    <t>HDEwt24mxf0</t>
  </si>
  <si>
    <t>https://youtu.be/RqtAK-FBtXU</t>
  </si>
  <si>
    <t>Space in 4K - First Lettuce Grown and Eaten in Space</t>
  </si>
  <si>
    <t>For the first time ever, fresh food grown in the microgravity environment of space is on the menu for NASA astronauts aboard the International Space Station. Expedition 44 crew members Scott Kelly, Kjell Lindgren and Kimiya Yui sampled the red romaine lettuce which was grown as part of the Veggie experiment after it had spent 33 days growing aboard the station. 
NASA is maturing Veggie technology aboard the space station to provide future pioneers with a sustainable food supplement – a critical part of NASA’s Journey to Mars. As NASA moves toward long-duration exploration missions farther into the solar system, Veggie will be a resource for crew food growth and consumption. It also could be used by astronauts for recreational gardening activities during deep space missions.
The higher resolution images and higher frame rate 4K videos can reveal more information when used on science investigations, giving researchers a valuable new tool aboard the space station. 
For more on Veggie, visit: http://www.nasa.gov/mission_pages/station/research/news/meals_ready_to_eat 
Full Resolution Download: https://archive.org/details/NASA-Ultra-High-Definition
Music: Dexter Britain - Slow Motion Strut Version Two
http://dexterbritain.co.uk/
________________________________________
FOLLOW THE SPACE STATION!
Twitter: https://twitter.com/Space_Station 
Facebook: https://www.facebook.com/ISS
Instagram: https://instagram.com/iss/</t>
  </si>
  <si>
    <t>RqtAK-FBtXU</t>
  </si>
  <si>
    <t>2015 08 12</t>
  </si>
  <si>
    <t>https://youtu.be/BHyNkm3g5ls</t>
  </si>
  <si>
    <t>Space Station Live  A First for Space Lettuce</t>
  </si>
  <si>
    <t>Dr. Gioia Massa, the principal investigator of the Veggie experiment, discusses the past, present and future of an exciting technology demonstration project on the International Space Station.  This week station crew members harvested the second crop of space-grown lettuce, and for the first time they ate some of the harvest.  The Veggie portable greenhouse is a proof of concept effort to advance the ability for future deep space explorers to grow some of their own food on missions well beyond low Earth orbit.
Watch Space Station Live, weekdays at 11am eastern.
http://www.nasa.gov/multimedia/nasatv/index.html
________________________________________
FOLLOW THE SPACE STATION!
Twitter: https://twitter.com/Space_Station 
Facebook: https://www.facebook.com/ISS
Instagram: https://instagram.com/iss/</t>
  </si>
  <si>
    <t>BHyNkm3g5ls</t>
  </si>
  <si>
    <t>2015 08 11</t>
  </si>
  <si>
    <t>https://youtu.be/Yp6zLISoT0k</t>
  </si>
  <si>
    <t>Astronauts Take First Bites of Space-Grown Lettuce</t>
  </si>
  <si>
    <t>That's one small bite for a man, one giant leaf for mankind. Fresh food grown in the microgravity environment of space officially is on the menu for the first time for NASA astronauts on the International Space Station. Astronauts Scott Kelly, Kjell Lindgren and Kimiya Yui of Japan sample the fruits of their labor after harvesting a crop of "Outredgeous" red romaine lettuce from the Veggie plant growth system on the International Space Station.
Details: http://www.nasa.gov/mission_pages/station/research/news/meals_ready_to_eat
________________________________________
FOLLOW THE SPACE STATION!
Twitter: https://twitter.com/Space_Station 
Facebook: https://www.facebook.com/ISS
Instagram: https://instagram.com/iss/</t>
  </si>
  <si>
    <t>Yp6zLISoT0k</t>
  </si>
  <si>
    <t>2015 08 07</t>
  </si>
  <si>
    <t>https://youtu.be/K_YepwuXBls</t>
  </si>
  <si>
    <t>Space Station Live  Expedition 44 Midterm Report</t>
  </si>
  <si>
    <t>NASA Commentator Dan Huot talks with Jorge Sotomayor, the Expedition 44 lead increment scientist, about some of the highlights of recent science research on the International Space Station, including the upcoming first-ever crew consumption of lettuce grown on orbit in the Veggie compact greenhouse, mobility testing of the Robonaut robotic crew member, and the deployment of a flock of Earth-observing satellites.
Watch Space Station Live, weekdays at 11am eastern.
http://www.nasa.gov/multimedia/nasatv/index.html
________________________________________
FOLLOW THE SPACE STATION!
Twitter: https://twitter.com/Space_Station 
Facebook: https://www.facebook.com/ISS
Instagram: https://instagram.com/iss/</t>
  </si>
  <si>
    <t>K_YepwuXBls</t>
  </si>
  <si>
    <t>https://youtu.be/KobWN_xPs64</t>
  </si>
  <si>
    <t>Space to Ground  The Eye of Soudelor  8 07 2015</t>
  </si>
  <si>
    <t>KobWN_xPs64</t>
  </si>
  <si>
    <t>2015 08 06</t>
  </si>
  <si>
    <t>https://youtu.be/c1Gxn_nfgWA</t>
  </si>
  <si>
    <t>Space Station Live  Lettuce Look at Veggie</t>
  </si>
  <si>
    <t>As the International Space Station crew gets ready for the first on-orbit tasting of space-grown lettuce, NASA Commentator Lori Meggs talks with Paul Zamprelli of Orbitec, the company that developed the Veggie greenhouse.  This compact hardware was developed with an eye toward supporting future deep space missions beyond Earth orbit, to provide those crew members with a way to grow some of their own food.
Watch Space Station Live, weekdays at 11am eastern.
http://www.nasa.gov/multimedia/nasatv/index.html
________________________________________
FOLLOW THE SPACE STATION!
Twitter: https://twitter.com/Space_Station 
Facebook: https://www.facebook.com/ISS
Instagram: https://instagram.com/iss/</t>
  </si>
  <si>
    <t>c1Gxn_nfgWA</t>
  </si>
  <si>
    <t>https://youtu.be/KdgVdbQC-5Y</t>
  </si>
  <si>
    <t>Space Station Live  Spacewalk Preview</t>
  </si>
  <si>
    <t>NASA Commentator Dan Huot talks with spacewalk specialist Devan Bolch about the work planned for a spacewalk on Monday, Aug. 10, by International Space Station Commander Gennady Padalka and Flight Engineer Mikhail Kornienko.  The cosmonauts are scheduled for a six-hour spacewalk around the Zvezda module of the station to advance Russian science objectives and perform needed maintenance tasks.  The last Russian spacewalk on the ISS was performed in October, 2014.
Watch Space Station Live, weekdays at 11am eastern.
http://www.nasa.gov/multimedia/nasatv/index.html
________________________________________
FOLLOW THE SPACE STATION!
Twitter: https://twitter.com/Space_Station 
Facebook: https://www.facebook.com/ISS
Instagram: https://instagram.com/iss/</t>
  </si>
  <si>
    <t>KdgVdbQC-5Y</t>
  </si>
  <si>
    <t>2015 08 04</t>
  </si>
  <si>
    <t>https://youtu.be/YwUBPe5yeHE</t>
  </si>
  <si>
    <t>Space Station Live  Prepping a Personal Spacecraft</t>
  </si>
  <si>
    <t>NASA Commentator Dan Huot talks with Spacewalk Officer Alex Kanelakos about the recent repairs done to get an American spacewalking suit that was not designed to be repaired in weightlessness back in service.  Extravehicular Mobility Unit 3011 had been scheduled to be brought back to Earth for servicing of the fan pump separator, but the Dragon cargo ship slated to retrieve it didn’t reach the station so on orbit repairs were necessary to get the suit ready for use.
Watch Space Station Live, weekdays at 11am eastern.
http://www.nasa.gov/multimedia/nasatv/index.html
________________________________________
FOLLOW THE SPACE STATION!
Twitter: https://twitter.com/Space_Station 
Facebook: https://www.facebook.com/ISS
Instagram: https://instagram.com/iss/</t>
  </si>
  <si>
    <t>YwUBPe5yeHE</t>
  </si>
  <si>
    <t>https://youtu.be/5kRzPaCqK1g</t>
  </si>
  <si>
    <t>Space Station Live  Putting Tools to the Test</t>
  </si>
  <si>
    <t>NASA Commentator Nicole Cloutier-Lemasters talks with Trinesha Dixon, one of the program coordinators for the educational program Micro-g NExT (Micro-g Neutral Buoyancy Experiment Design Teams), which is hosting its second test week of the summer at NASA’s Neutral Buoyancy Laboratory in Houston.  Eleven teams of college students that designed spacewalking tools are getting a chance to try them out in tests conducted with NASA engineers, and to learn about the real life world of research and development in the space program.
Watch Space Station Live, weekdays at 11am eastern.
http://www.nasa.gov/multimedia/nasatv/index.html
________________________________________
FOLLOW THE SPACE STATION!
Twitter: https://twitter.com/Space_Station 
Facebook: https://www.facebook.com/ISS
Instagram: https://instagram.com/iss/</t>
  </si>
  <si>
    <t>5kRzPaCqK1g</t>
  </si>
  <si>
    <t>2015 08 03</t>
  </si>
  <si>
    <t>https://youtu.be/RXz6ib97QAI</t>
  </si>
  <si>
    <t>StationLIFE  Exploration Technologies – August</t>
  </si>
  <si>
    <t>Every month on StationLIFE, we’ll focus on a scientific area where the International Space Station is conducting groundbreaking research. This month, astronaut Tracy Dyson talks the station’s role as a platform for testing the technologies that will allow humans to travel to deep space destinations like Mars.
The mission of the International Space Station Program is to advance science research, expand human knowledge, inspire and educate the next generation, foster the commercial development of space and demonstrate technology capabilities to enable future exploration missions beyond low Earth orbit. ISS serves as a critical test bed for verifying a variety of technologies, systems, and materials that will be needed for future long-duration exploration missions, including our journey to Mars. 
Be sure to check back every month to see more of how we’re working "Off the Earth, For the Earth."
http://www.nasa.gov/station
HD download link: https://archive.org/details/StationLIFE
________________________________________
FOLLOW THE SPACE STATION!
Twitter: https://twitter.com/Space_Station 
Facebook: https://www.facebook.com/ISS
Instagram: https://instagram.com/iss/</t>
  </si>
  <si>
    <t>RXz6ib97QAI</t>
  </si>
  <si>
    <t>2015 07 31</t>
  </si>
  <si>
    <t>https://youtu.be/UcTb7Z9zu1o</t>
  </si>
  <si>
    <t>Space to Ground  Space Gardening  7 31 2015</t>
  </si>
  <si>
    <t>UcTb7Z9zu1o</t>
  </si>
  <si>
    <t>2015 07 30</t>
  </si>
  <si>
    <t>https://youtu.be/vlQXr64dsmU</t>
  </si>
  <si>
    <t>Space Station Live  From Underwater, The NEEMO Commander</t>
  </si>
  <si>
    <t>In the midst of a 20-day mission on the Aquarius underwater laboratory, ESA (European Space Agency) astronaut Luca Parmitano talks with NASA Commentator Pat Ryan about the NEEMO (NASA Extreme Environment Mission Operations) mission he is commanding.  Parmitano and five crewmates are using the underwater laboratory to simulate being in space away from Earth, testing spacewalking tools and techniques, protocols for communications during periods of long transmission delays, and assessing other new hardware being developed for use on future missions into deep space.
Watch Space Station Live, weekdays at 11am eastern.
http://www.nasa.gov/multimedia/nasatv/index.html</t>
  </si>
  <si>
    <t>vlQXr64dsmU</t>
  </si>
  <si>
    <t>2015 07 29</t>
  </si>
  <si>
    <t>https://youtu.be/9k-yeH1Nj6c</t>
  </si>
  <si>
    <t>Space Station Live  Astronaut T.J. Creamer Leaves the POD</t>
  </si>
  <si>
    <t>NASA Commentator Lori Meggs at the Marshall Space Flight Center speaks with NASA astronaut T.J. Creamer about his work on the International Space Station during Expeditions 22/23, his job for the last three years as a Payload Operations Director, and his newest endeavor as he moves to the Orion Program.
Watch Space Station Live, weekdays at 11am eastern.
http://www.nasa.gov/multimedia/nasatv/index.html</t>
  </si>
  <si>
    <t>9k-yeH1Nj6c</t>
  </si>
  <si>
    <t>2015 07 27</t>
  </si>
  <si>
    <t>https://youtu.be/Vx0kvxqgC1c</t>
  </si>
  <si>
    <t>4K Camera Captures Riveting Footage of Unique Fluid Behavior in Space Laboratory</t>
  </si>
  <si>
    <t>Astronauts on the International Space Station dissolved an effervescent tablet in a floating ball of water, and captured images using a camera capable of recording four times the resolution of normal high-definition cameras. The higher resolution images and higher frame rate videos can reveal more information when used on science investigations, giving researchers a valuable new tool aboard the space station. This footage is one of the first of its kind. The cameras are being evaluated for capturing science data and vehicle operations by engineers at NASA's Marshall Space Flight Center in Huntsville, Alabama. 
Read more:
http://www.nasa.gov/mission_pages/station/research/news/red_epic_dragon_camera
*To view in 4k, be sure to change resolution under "Settings" menu in YouTube viewer to "2160p 4k".
(Video: NASA)
HD download: https://archive.org/details/NASA-Ultra-High-Definition
________________________________________
FOLLOW THE SPACE STATION!
Twitter: https://twitter.com/Space_Station 
Facebook: https://www.facebook.com/ISS
Instagram: https://instagram.com/iss/</t>
  </si>
  <si>
    <t>Vx0kvxqgC1c</t>
  </si>
  <si>
    <t>2015 07 24</t>
  </si>
  <si>
    <t>https://youtu.be/3n6ywp858FY</t>
  </si>
  <si>
    <t>Space to Ground  New Crew Arrives  7 24 2015</t>
  </si>
  <si>
    <t>3n6ywp858FY</t>
  </si>
  <si>
    <t>2015 07 23</t>
  </si>
  <si>
    <t>https://youtu.be/nnLf-g2GP1I</t>
  </si>
  <si>
    <t>New Crew Joins Expedition 44</t>
  </si>
  <si>
    <t>NASA astronaut Kjell Lindgren, Oleg Kononenko of the Russian Federal Space Agency (Roscosmos) and Kimiya Yui of the Japan Aerospace Exploration Agency (JAXA) joined their Expedition 44 crewmates when the hatches between the Soyuz TMA-17M spacecraft and the International Space Station officially opened at 12:56 a.m. EDT. Expedition 44 Commander Gennady Padalka of Roscosmos, as well as Flight Engineers Scott Kelly of NASA and Mikhail Kornienko of Roscosmos welcomed the new crew members aboard their orbital home.
________________________________________
FOLLOW THE SPACE STATION!
Twitter: https://twitter.com/Space_Station 
Facebook: https://www.facebook.com/ISS
Instagram: https://instagram.com/iss/</t>
  </si>
  <si>
    <t>nnLf-g2GP1I</t>
  </si>
  <si>
    <t>https://youtu.be/Hrwuaj2kiZc</t>
  </si>
  <si>
    <t>Expedition 44 Docks to the Space Station</t>
  </si>
  <si>
    <t>After launching earlier in the day from the Baikonur Cosmodrome in Kazakhstan, Expedition 44 Soyuz Commander Oleg Kononenko along with flight engineers Kjell Lindgren and Kimiya Yui  arrived at the International Space Station on July 23 following a four-orbit, six-hour rendezvous. They docked their craft to the Rassvet module on the Russian segment of the complex.
________________________________________
FOLLOW THE SPACE STATION!
Twitter: https://twitter.com/Space_Station 
Facebook: https://www.facebook.com/ISS
Instagram: https://instagram.com/iss/</t>
  </si>
  <si>
    <t>Hrwuaj2kiZc</t>
  </si>
  <si>
    <t>https://youtu.be/6R5rx7ZS-tA</t>
  </si>
  <si>
    <t>Space Station Live  Next Man Up</t>
  </si>
  <si>
    <t>Just days before his launch from the Baikonur Cosmodrome, NASA Astronaut Kjell Lindgren talks with NASA commentator Pat Ryan about the training for his flight, launch day activities, and what he’s looking forward to during his six-month mission to the International Space Station. The interview was conducted Jul. 7, 2015, from Star City, Russia.
Watch Space Station Live, weekdays at 11am eastern.
http://www.nasa.gov/multimedia/nasatv/index.html
________________________________________
FOLLOW THE SPACE STATION!
Twitter: https://twitter.com/Space_Station 
Facebook: https://www.facebook.com/ISS
Instagram: https://instagram.com/iss/</t>
  </si>
  <si>
    <t>6R5rx7ZS-tA</t>
  </si>
  <si>
    <t>https://youtu.be/M_4YrfOFNmc</t>
  </si>
  <si>
    <t>Space Station Live  Not Immune to Microbes</t>
  </si>
  <si>
    <t>NASA Commentator Lori Meggs at the Marshall Space Flight Center speaks with Alexander Voorhies, a genetics researcher at the J. Craig Venter Institute, about a study gathering data on the types of organisms that are on the skin and in the gastrointestinal tracts of the crew members on the International Space Station, and how those microbes affect the immune systems. What researchers are learning in this experiment could have an impact on long duration missions and on people on Earth. 
Watch Space Station Live, weekdays at 11am eastern.
http://www.nasa.gov/multimedia/nasatv/index.html
________________________________________
FOLLOW THE SPACE STATION!
Twitter: https://twitter.com/Space_Station 
Facebook: https://www.facebook.com/ISS
Instagram: https://instagram.com/iss/</t>
  </si>
  <si>
    <t>M_4YrfOFNmc</t>
  </si>
  <si>
    <t>2015 07 22</t>
  </si>
  <si>
    <t>https://youtu.be/WbQbt2PfOvA</t>
  </si>
  <si>
    <t>Expedition 44 Launches to the Space Station</t>
  </si>
  <si>
    <t>Expedition 44 Soyuz Commander Oleg Kononenko of Roscosmos, NASA Flight Engineer Kjell Lindgren and Flight Engineer Kimiya Yui of JAXA launched on the Russian Soyuz TMA-17M spacecraft on July 23, Kazakh time from the Baikonur Cosmodrome in Kazakhstan to begin a six-hour journey to the International Space Station and the start of a five-month mission.
________________________________________
FOLLOW THE SPACE STATION!
Twitter: https://twitter.com/Space_Station 
Facebook: https://www.facebook.com/ISS
Instagram: https://instagram.com/iss/</t>
  </si>
  <si>
    <t>WbQbt2PfOvA</t>
  </si>
  <si>
    <t>2015 07 20</t>
  </si>
  <si>
    <t>https://youtu.be/DrQQgc9z6Bs</t>
  </si>
  <si>
    <t>A Moment with Oleg Kononenko</t>
  </si>
  <si>
    <t>A moment with Oleg Kononenko. 
HD download link: https://archive.org/details/Expedition44ResourceReel</t>
  </si>
  <si>
    <t>DrQQgc9z6Bs</t>
  </si>
  <si>
    <t>https://youtu.be/KzXnLcNmhjI</t>
  </si>
  <si>
    <t>Final Preparations Underway for Expedition 44 Launch</t>
  </si>
  <si>
    <t>Final preparations are underway at the Baikonur Cosmodrome in Kazakhstan for the launch of Soyuz TMA-17M Commander Oleg Kononenko of the Russian Federal Space Agency (Roscosmos), NASA Flight Engineer Kjell Lindgren and Flight Engineer Kimiya Yui of the Japan Aerospace Exploration Agency to the International Space Station on July 23, Kazakh time. The crew conducted a final inspection of the Soyuz spacecraft on July 17th, with the mating of the booster’s stages occurring on July 19th. The spacecraft and its booster were moved to the launch pad on a railcar on July 20th.</t>
  </si>
  <si>
    <t>KzXnLcNmhjI</t>
  </si>
  <si>
    <t>2015 07 17</t>
  </si>
  <si>
    <t>https://youtu.be/I4mm4ENBGuA</t>
  </si>
  <si>
    <t>Space to Ground  New Horizons  7 17 2015</t>
  </si>
  <si>
    <t>I4mm4ENBGuA</t>
  </si>
  <si>
    <t>2015 07 15</t>
  </si>
  <si>
    <t>https://youtu.be/9SeE8It9r18</t>
  </si>
  <si>
    <t>Expedition 44 Crew Prepares for Launch in Kazakhstan</t>
  </si>
  <si>
    <t>Expedition 44 Soyuz Commander Oleg Kononenko of the Russian Federal Space Agency, NASA Flight Engineer Kjell Lindgren and Flight Engineer Kimiya Yui of the Japan Aerospace Exploration Agency participated in a variety of activities at the Baikonur Cosmodrome in Kazakhstan as they prepared for the launch on July 23 to the International Space Station.</t>
  </si>
  <si>
    <t>9SeE8It9r18</t>
  </si>
  <si>
    <t>https://youtu.be/bx_c13k3TsY</t>
  </si>
  <si>
    <t>Space Station Live  Keeping Their Cool</t>
  </si>
  <si>
    <t>NASA Commentator Lori Meggs talks with engineers Josh Dunn and Aaron Reese at the Marshall Space Flight Center about testing being done on the POLAR freezers that are used to preserve experiment samples on the International Space Station until they are returned to Earth for analysis.
Watch Space Station Live, weekdays at 11am eastern.
http://www.nasa.gov/multimedia/nasatv/index.html</t>
  </si>
  <si>
    <t>bx_c13k3TsY</t>
  </si>
  <si>
    <t>https://youtu.be/Knx4e-DXwyw</t>
  </si>
  <si>
    <t>Monthly ISS Research Video Update for June 2015</t>
  </si>
  <si>
    <t>Knx4e-DXwyw</t>
  </si>
  <si>
    <t>https://youtu.be/PaOgnwGUTQE</t>
  </si>
  <si>
    <t>Space Station Stories  Stronger Together</t>
  </si>
  <si>
    <t>In the next chapter of Space Station Stories, we explore one of the space station’s greatest accomplishments: international cooperation. An international partnership of space agencies from the United States, Russia, Europe, Japan, and Canada have worked together for 15 years on the most politically complex space exploration program ever undertaken. 
The International Space Station Program brings together international flight crews, multiple launch vehicles, globally distributed launch, operations, training, engineering, and development facilities; communications networks, and the international scientific research community. The lessons learned today will apply to the exploration missions of tomorrow, as multiple nations will be needed to overcome the challenges of deep space human exploration as humanity readies itself for the journey to Mars.   
Space Station Stories takes you inside the technological marvel that is the International Space Station. Humanity’s home in low Earth orbit since 1998, the station continues to be a platform for new discoveries, preparing us for the journeys of tomorrow while benefiting the world of today. 
HD download link: https://archive.org/details/SpaceStationStories</t>
  </si>
  <si>
    <t>PaOgnwGUTQE</t>
  </si>
  <si>
    <t>2015 07 14</t>
  </si>
  <si>
    <t>https://youtu.be/sUhSuZpo7g8</t>
  </si>
  <si>
    <t>Scott Kelly Recognizes Pluto Flyby from the Space Station</t>
  </si>
  <si>
    <t>NASA astronaut Scott Kelly sends his heartfelt best wishes and congratulations from the International Space Station to NASA’s New Horizons team for their flyby of Pluto today after a 9 year, 3 billion mile journey. Kelly is on a one-year journey around the Earth, performing important research that will help enable human visits to other worlds in the future.
New Horizons made its closest approach to Pluto Tuesday, July 14, about 7,750 miles above the surface -- roughly the same distance from New York to Mumbai, India – making it the first-ever space mission to explore a world so far from Earth.
Details: http://www.nasa.gov/press-release/nasas-three-billion-mile-journey-to-pluto-reaches-historic-encounter
HD download link: https://archive.org/details/ScottKellyRecognizesPlutoFlybyFromTheSpaceStation</t>
  </si>
  <si>
    <t>sUhSuZpo7g8</t>
  </si>
  <si>
    <t>2015 07 10</t>
  </si>
  <si>
    <t>https://youtu.be/orTULuvmjY0</t>
  </si>
  <si>
    <t>Expedition 44 Crew Departs for Kazakh Launch Site</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</si>
  <si>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participated in traditional ceremonies at the Gagarin Cosmonaut Training Center in Star City, Russia, outside Moscow on July 10. Afterward, they departed for the Baikonur Cosmodrome in Kazakhstan to complete their training for the launch of Kononenko, Lindgren and Yui to the International Space Station in the Soyuz TMA-17M spacecraft on July 23, Kazakh time for a five-month mission.</t>
  </si>
  <si>
    <t>orTULuvmjY0</t>
  </si>
  <si>
    <t>https://youtu.be/F35yzjNRBxs</t>
  </si>
  <si>
    <t>Space to Ground  Progress Docks  7 10 2015</t>
  </si>
  <si>
    <t>NASA's Space to Ground is your weekly update on what's happening aboard the International Space Station. Got a question or comment? Use #spacetoground to talk to us.
Also available on Archive.org:
https://archive.org/details/SpaceToGround
________________________________________
FOLLOW THE SPACE STATION!
Twitter: https://twitter.com/Space_Station 
Facebook: https://www.facebook.com/ISS
Instagram: https://instagram.com/iss/</t>
  </si>
  <si>
    <t>F35yzjNRBxs</t>
  </si>
  <si>
    <t>2015 07 09</t>
  </si>
  <si>
    <t>https://youtu.be/kPSk23XOGuk</t>
  </si>
  <si>
    <t>Launching for America</t>
  </si>
  <si>
    <t>Veteran NASA astronauts and experienced test pilots Robert Behnken, Eric Boe, Douglas Hurley and Sunita Williams have been selected to begin working closely with commercial spaceflight companies SpaceX and Boeing to prepare for future human flights on those companies’ vehicles. The first NASA astronauts for commercial crew test flights will be selected from this group.
HD download link: https://archive.org/details/NASACCPResourceReel</t>
  </si>
  <si>
    <t>kPSk23XOGuk</t>
  </si>
  <si>
    <t>https://youtu.be/pm0TAuip5vA</t>
  </si>
  <si>
    <t>A Moment with Kimiya Yui</t>
  </si>
  <si>
    <t>A moment with Kimiya Yui. 
HD download link: https://archive.org/details/Expedition44ResourceReel</t>
  </si>
  <si>
    <t>pm0TAuip5vA</t>
  </si>
  <si>
    <t>2015 07 08</t>
  </si>
  <si>
    <t>https://youtu.be/jo6xEi5Wr3Y</t>
  </si>
  <si>
    <t>Expedition 44 Crew Conducts Traditional Ceremonies in Star City, Russia</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</si>
  <si>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visited the Gagarin Museum where they viewed historic space artifacts at the Gagarin Cosmonaut Training Center in Star City, Russia July 8, then laid flowers at the statue of Yuri Gagarin, the first human to fly in
space.  Kononenko, Lindgren and Yui are scheduled to launch on July 23, Kazakh time, in the Soyuz TMA-17M spacecraft to the International Space Station for a five- month mission.</t>
  </si>
  <si>
    <t>jo6xEi5Wr3Y</t>
  </si>
  <si>
    <t>https://youtu.be/GQsD4qmwhzk</t>
  </si>
  <si>
    <t>NASA Commentator Lori Meggs at the Marshall Space Flight Center talks with Stuart Lee about the Cardio Ox experiment now underway on the International Space Station.  Researchers are studying whether station crew members are at an increased risk for cardiovascular disease due to their exposure to stresses that are part of the space environment, some of the same stresses that are considered risk factors for cardiovascular disease for people on Earth.  The procedures used in this experiment are some of the same ones used to track atherosclerosis among patients on Earth.
________________________________________
FOLLOW THE SPACE STATION!
Twitter: https://twitter.com/Space_Station 
Facebook: https://www.facebook.com/ISS
Instagram: https://instagram.com/iss/</t>
  </si>
  <si>
    <t>GQsD4qmwhzk</t>
  </si>
  <si>
    <t>https://youtu.be/56rN2LrIERA</t>
  </si>
  <si>
    <t>A Moment with Astronaut Kjell Lindgren</t>
  </si>
  <si>
    <t>A moment with Kjell Lindgren. 
HD download link: https://archive.org/details/Expedition44ResourceReel</t>
  </si>
  <si>
    <t>56rN2LrIERA</t>
  </si>
  <si>
    <t>2015 07 06</t>
  </si>
  <si>
    <t>https://youtu.be/4L2EQxJYg7I</t>
  </si>
  <si>
    <t>StationLIFE  Space Laboratory – July</t>
  </si>
  <si>
    <t>Every month on StationLIFE, we’ll focus on a scientific area where the International Space Station is conducting groundbreaking research. This month, astronaut Tracy Dyson talks the station’s role as a one-of-a-kind microgravity laboratory.
The space station has a variety of multidisciplinary laboratory facilities and equipment available to support science that can’t be done anywhere else!. These capabilities have been built by NASA and its International Partners and can be made available on a time-shared basis to other US government agencies and private entities to pursue their own mission driven research and applications on the space station. If a scientist needs special equipment, NASA or CASIS will help develop that equipment. Disciplines include: Biology and Biotechnology, Human Research, Earth and Space Science, Physical Science, Technology and Educational Activities.
Be sure to check back every month to see more of how we’re working "Off the Earth, For the Earth."
http://www.nasa.gov/station
HD download link: https://archive.org/details/StationLIFE</t>
  </si>
  <si>
    <t>4L2EQxJYg7I</t>
  </si>
  <si>
    <t>2015 07 03</t>
  </si>
  <si>
    <t>https://youtu.be/kia8_cZzxU4</t>
  </si>
  <si>
    <t>Space to Ground  Record Breaking  7 3 2015</t>
  </si>
  <si>
    <t>kia8_cZzxU4</t>
  </si>
  <si>
    <t>2015 07 02</t>
  </si>
  <si>
    <t>https://youtu.be/5JYfnpGDgwk</t>
  </si>
  <si>
    <t>Space Station Live  First 100 Days of the One Year Mission</t>
  </si>
  <si>
    <t>In a live interview from on board the International Space Station, NASA Commentator Dan Huot talks with Expedition 44 Flight Engineer Scott Kelly as he nears 100 days in orbit on his One Year Mission.  Kelly talks about managing supplies on board in the wake of the loss of two recent supply ships and the anticipation about arrival of a new Russian cargo vehicle scheduled to launch later today, the busy science agenda facing him and his crewmates, and his feelings about the progress of his One Year Mission.
Watch Space Station Live, weekdays at 11am eastern.
http://www.nasa.gov/multimedia/nasatv/index.html</t>
  </si>
  <si>
    <t>5JYfnpGDgwk</t>
  </si>
  <si>
    <t>2015 07 01</t>
  </si>
  <si>
    <t>https://youtu.be/4Vx6CNTs-aE</t>
  </si>
  <si>
    <t>Space Station Live  Open Access to Space Station Science Data</t>
  </si>
  <si>
    <t>NASA Commentator Lori Meggs at the Marshall Space Flight Center speaks with the manager of the MaterialsLab at Marshall, John Vickers, about a new approach to materials science research that will provide unprecedented worldwide collaboration. MaterialsLab is enhancing the way researchers in government, industry and academia develop investigations, share information from space station experiments, and build on each other’s work.
Watch Space Station Live, weekdays at 11am eastern.
http://www.nasa.gov/multimedia/nasatv/index.html
________________________________________
FOLLOW THE SPACE STATION!
Twitter: https://twitter.com/Space_Station 
Facebook: https://www.facebook.com/ISS
Instagram: https://instagram.com/iss/</t>
  </si>
  <si>
    <t>4Vx6CNTs-aE</t>
  </si>
  <si>
    <t>https://youtu.be/1jEx4Q_nBW8</t>
  </si>
  <si>
    <t>Benefits for Humanity  Hope Crystallizes</t>
  </si>
  <si>
    <t>In one of many direct Earth applications of International Space Station research, the newest 
Benefits for Humanity video in the Benefits series highlights how high quality crystals grown in microgravity lead to new therapeutics for disease. Learn how the investigation of protein crystals in space is helping treat Duchenne Muscular Dystrophy (DMD), an incurable genetic disorder affecting the muscles with onset usually in early childhood and primarily in young males.
Since 2003, scientists with the Japan Aerospace Exploration Agency have conducted protein crystal growth investigations on the space station, including proteins associated with DMD. Crystals grown on Earth are impacted by gravity, which may affect the way the molecules align on the surface of the crystal. Researchers have discovered that growing crystals aboard the space station allows for slower growth and higher quality crystals. Having a better understanding of the protein’s shape enabled researchers to design a drug that fits specifically into a location on the protein associated with DMD. The research team estimates that the drug may be able to slow the progression of DMD by half.
With many other protein crystal growth studies occurring or planned aboard the space station, many thousands of other proteins’ structures could be determined. This is yet another way the orbiting laboratory is enabling research Off the Earth, For the Earth.
HD download link: https://archive.org/details/ISSBenefitsforHumanity</t>
  </si>
  <si>
    <t>1jEx4Q_nBW8</t>
  </si>
  <si>
    <t>2015 06 29</t>
  </si>
  <si>
    <t>https://youtu.be/UKfZ8n8EcwU</t>
  </si>
  <si>
    <t>Space Station Live  Padalka New Space Ironman</t>
  </si>
  <si>
    <t>NASA Commentator Dan Huot talks with NASA astronaut Mike Fincke about the new space endurance record set by International Space Station Expedition 44 commander Gennady Padalka, Fincke’s one-time ISS crewmate.  On Sunday June 28, during his fifth trip to space and fourth visit to this space station, Padalka passed Sergei Krikalev’s mark of 803 total days in space.  Padalka and Fincke were crewmates on ISS for Expedition 9 in 2004, and back-to-back commanders of ISS on Expeditions 18 and 19.  Fincke discussed learning from Padalka on his early flights, and about Padalka’s contribution to the legacy of ISS.
Watch Space Station Live, weekdays at 11am eastern.
http://www.nasa.gov/multimedia/nasatv/index.html
(Note: Fincke refers to Challenger, but his reference was intended to say Columbia.)</t>
  </si>
  <si>
    <t>UKfZ8n8EcwU</t>
  </si>
  <si>
    <t>2015 06 26</t>
  </si>
  <si>
    <t>https://youtu.be/XRYUKTa6BLA</t>
  </si>
  <si>
    <t>Space to Ground  Preparing for Dragon   6 26 2015</t>
  </si>
  <si>
    <t>XRYUKTa6BLA</t>
  </si>
  <si>
    <t>2015 06 25</t>
  </si>
  <si>
    <t>https://youtu.be/S1IS8Kbzxos</t>
  </si>
  <si>
    <t>NASA Testing Project Sidekick</t>
  </si>
  <si>
    <t>NASA and Microsoft have teamed up to develop Sidekick, a new project using commercial technology to empower astronauts aboard the International Space Station.
Sidekick uses Microsoft HoloLens to provide virtual aid to astronauts working off the Earth, for the Earth. A pair of the devices is scheduled to launch on SpaceX’s seventh commercial resupply mission to the station on June 28. The goal of Sidekick is to enable station crews with assistance when and where they need it. This new capability could reduce crew training requirements and increase the efficiency at which astronauts can work in space.
NASA and Microsoft engineers tested Project Sidekick and the Microsoft HoloLens aboard NASA’s Weightless Wonder C9 jet to ensure they function as expected in free-fall in advance of their delivery to the microgravity environment of the space station.
Read more... http://go.nasa.gov/1GKRAld</t>
  </si>
  <si>
    <t>S1IS8Kbzxos</t>
  </si>
  <si>
    <t>2015 06 24</t>
  </si>
  <si>
    <t>https://youtu.be/NdL44q6mAuE</t>
  </si>
  <si>
    <t>Space Station Live  What the Well-Dressed Astronaut is Wearing</t>
  </si>
  <si>
    <t>NASA Commentator Lori Meggs talks with Evelyne Orndoff and Darwin Poritz about Intravehicular Activity Clothing, a three-year study of clothing worn by astronauts on the International Space Station.  The research is part of a logistics reduction program aimed at finding the right lightweight materials, which would reduce storage and launch requirements, for clothes for crew members on future deep space missions.
Watch Space Station Live, weekdays at 11am eastern.
http://www.nasa.gov/multimedia/nasatv/index.html</t>
  </si>
  <si>
    <t>NdL44q6mAuE</t>
  </si>
  <si>
    <t>2015 06 19</t>
  </si>
  <si>
    <t>https://youtu.be/1sMPwJJuBMU</t>
  </si>
  <si>
    <t>Space Station Live  The News on Commercial Crew</t>
  </si>
  <si>
    <t>NASA Commentator Kyle Herring talks with Kathy Lueders, the manager of NASA’s Commercial Crew Program, about the status of efforts to develop commercial space vehicles to deliver human crew members to the International Space Station.  NASA is working with Boeing and SpaceX as those companies work through milestones to get their vehicles, Boeing’s CST-100 and SpaceX’s Crew Dragon, ready for their first crewed flights to the station, while the space station program is reconfiguring the station and preparing for spacewalks to install the new International Docking Adapters to which the new commercial spacecraft will dock.
Watch Space Station Live, weekdays at 11am eastern.
http://www.nasa.gov/multimedia/nasatv/index.html
________________________________________
FOLLOW THE SPACE STATION!
Twitter: https://twitter.com/Space_Station 
Facebook: https://www.facebook.com/ISS
Instagram: https://instagram.com/iss/</t>
  </si>
  <si>
    <t>1sMPwJJuBMU</t>
  </si>
  <si>
    <t>https://youtu.be/YUyYTD5L8Gw</t>
  </si>
  <si>
    <t>Space to Ground  Eye On The Tropics  6 19 2015</t>
  </si>
  <si>
    <t>YUyYTD5L8Gw</t>
  </si>
  <si>
    <t>2015 06 17</t>
  </si>
  <si>
    <t>https://youtu.be/q-yDVQqUg2k</t>
  </si>
  <si>
    <t>Space Station Live  Russians Do Plasma Science in Europe’s Columbus Module</t>
  </si>
  <si>
    <t>NASA Commentator Lori Meggs at the Marshall Space Flight Center talks with Lucie Campagnolo, an operator at the CADMOS Control Center in France, about the latest experiment studying plasma crystals which has just begun in a facility on board the International Space Station.  Campagnolo discusses the science objectives and the role played by herself and her colleagues at the French control center.
Watch Space Station Live, weekdays at 11am eastern.
http://www.nasa.gov/multimedia/nasatv/index.html</t>
  </si>
  <si>
    <t>q-yDVQqUg2k</t>
  </si>
  <si>
    <t>2015 06 16</t>
  </si>
  <si>
    <t>https://youtu.be/Gy7Qu1gSnI8</t>
  </si>
  <si>
    <t>NASA  Past, Present and Future</t>
  </si>
  <si>
    <t>Since inception in 1958, NASA has accomplished many great scientific and technological feats in air and space. NASA technology also has been adapted for many nonaerospace uses by the private sector. NASA remains a leading force in scientific research and in stimulating public interest in aerospace exploration, as well as science and technology in general. Perhaps more importantly, our exploration of space has taught us to view Earth, ourselves, and the universe in a new way. 
The Space Shuttle Program left its 30 years of achievements written in the sky above and in the hearts of the astronauts, American and international, who flew in them. Humans have continuously habitated the International Space Station for nearly 15 years doing research to benefit us on Earth and support our journey to Mars. The best is yet to come as NASA develops the capabilities needed to send humans to an asteroid by 2025 and Mars in the 2030s.
HD download link: https://archive.org/details/NASAPastPresentAndFuture</t>
  </si>
  <si>
    <t>Gy7Qu1gSnI8</t>
  </si>
  <si>
    <t>2015 06 15</t>
  </si>
  <si>
    <t>https://youtu.be/ouv1Un1F36A</t>
  </si>
  <si>
    <t>Ultra High Definition Video from the International Space Station  (Reel 1)</t>
  </si>
  <si>
    <t>The view of life in space is getting a major boost with the introduction of 4K Ultra High-Definition (UHD) video, providing an unprecedented look at what it's like to live and work aboard the International Space Station. This important new capability will allow researchers to acquire high resolution - high frame rate video to provide new insight into the vast array of experiments taking place every day. It will also bestow the most breathtaking views of planet Earth and space station activities ever acquired for consumption by those still dreaming of making the trip to outer space. 
Additional 4K–UHD videos will be coming to ReelNASA soon, so stay tuned!
HD download link: https://www.archive.org/details/NASA-Ultra-High-Definition</t>
  </si>
  <si>
    <t>ouv1Un1F36A</t>
  </si>
  <si>
    <t>2015 06 12</t>
  </si>
  <si>
    <t>https://youtu.be/wKGnJtxPBk8</t>
  </si>
  <si>
    <t>Expedition 42 43 Crew Returns To Houston</t>
  </si>
  <si>
    <t>NASA astronaut Terry Virts and European Space Agency astronaut Samantha Cristoforetti returned to Houston, Texas, June 12. They and their crewmember, Russian cosmonaut Anton Shkaplerov, landed in Kazakhstan June 11 at 8:44 a.m. CDT after spending 199 days in space.</t>
  </si>
  <si>
    <t>wKGnJtxPBk8</t>
  </si>
  <si>
    <t>https://youtu.be/UJf8xsvjPL4</t>
  </si>
  <si>
    <t>Space Station Live  Introducing ISS Expedition 44</t>
  </si>
  <si>
    <t>NASA Commentator Kyle Herring talks with Scott Stover, the lead flight director for the International Space Station’s Expedition 44, which began with the departure of the Expedition 43 crew members for Earth on June 11.  Stover discusses the need to operate for about six weeks with only three crew members instead of six, the planned spacewalks this summer to install a new docking adapter to accommodate future commercial crew vehicles, the roster of visiting cargo vehicles due to arrive in the next three months, and the science agenda for the station crew.</t>
  </si>
  <si>
    <t>UJf8xsvjPL4</t>
  </si>
  <si>
    <t>https://youtu.be/84Jkt5RwRUc</t>
  </si>
  <si>
    <t>Ultra High Definition Video from the International Space Station</t>
  </si>
  <si>
    <t>The view of life in space is getting a major boost with the introduction of 4K Ultra High-Definition (UHD) video, providing an unprecedented look at what it's like to live and work aboard the International Space Station. This important new capability will allow researchers to acquire high resolution - high frame rate video to provide new insight into the vast array of experiments taking place every day. It will also bestow the most breathtaking views of planet Earth and space station activities ever acquired for consumption by those still dreaming of making the trip to outer space. 
Additional 4K–UHD videos will be coming to ReelNASA soon, so stay tuned!
HD download link: https://archive.org/details/NASA-Ultra-High-Definition</t>
  </si>
  <si>
    <t>84Jkt5RwRUc</t>
  </si>
  <si>
    <t>https://youtu.be/CvFyM21x-eE</t>
  </si>
  <si>
    <t>Expedition 43 Crew Receives a Warm Welcome in Kazakhstan and Russia</t>
  </si>
  <si>
    <t>Expedition 43 Commander Terry Virts of NASA, Soyuz Commander Anton Shkaplerov of the Russian Federal Space Agency (Roscosmos) and Flight Engineer Samantha Cristoforetti of ESA (European Space Agency) were greeted in a traditional ceremony at the airport in Karaganda, Kazakhstan on June 11, a few hours after landing in their Soyuz TMA-15M spacecraft in Kazakhstan near the town of Dzhezkazgan. After the ceremony, the crew split up, with Shkaplerov returning to his training base in Star City, Russia, while Virts and Cristoforetti boarded a NASA plane to return to the Johnson Space Center in Houston. The trio completed 199 days in space and on the International Space Station following their launch in late November. The footage includes interviews conducted with Virts and Cristoforetti before they began their trip back to Houston.
Full Video File available on Archive.org:
https://archive.org/details/NASAVideoFileE43KazakhstanWelcomeCeremony150612720p</t>
  </si>
  <si>
    <t>CvFyM21x-eE</t>
  </si>
  <si>
    <t>https://youtu.be/WQLGQRshqSo</t>
  </si>
  <si>
    <t>Space to Ground  Back Home  6 12 15</t>
  </si>
  <si>
    <t>WQLGQRshqSo</t>
  </si>
  <si>
    <t>2015 06 11</t>
  </si>
  <si>
    <t>https://youtu.be/b1btgFAR0IE</t>
  </si>
  <si>
    <t>Monthly ISS Research Video Update for May 2015</t>
  </si>
  <si>
    <t>b1btgFAR0IE</t>
  </si>
  <si>
    <t>2015 06 10</t>
  </si>
  <si>
    <t>https://youtu.be/TJoBCwgb8cQ</t>
  </si>
  <si>
    <t>Space Station Live  Change of Command</t>
  </si>
  <si>
    <t>NASA astronaut Terry Virts, the commander of the International Space Station’s Expedition 43, thanks his ground support team, crewmates and family back on Earth as he hands over command of the vehicle to the next commander and nears the end of a mission of nearly 200 days in space, which will come with his return to Earth in a Soyuz spacecraft on Thursday, June 11, 2015.  Expedition 44 begins with the departure from the station of Virts and his crewmates; cosmonaut Gennady Padalka of Roscosmos takes over as commander of Expedition 44, his fourth time to command the station.</t>
  </si>
  <si>
    <t>TJoBCwgb8cQ</t>
  </si>
  <si>
    <t>https://youtu.be/9x_oubOXFgM</t>
  </si>
  <si>
    <t>Space Station Live  Riding Home in a Fireball</t>
  </si>
  <si>
    <t>NASA Commentator Brandi Dean talks with astronaut Barry Wilmore, the commander of the International Space Station’s Expedition 42, about his memories of the last few days of his mission this past March.  Wilmore discusses how station crews prepare to wrap up their mission on orbit, and talks about what it’s like to ride home to Earth inside the Russian Soyuz spacecraft.</t>
  </si>
  <si>
    <t>9x_oubOXFgM</t>
  </si>
  <si>
    <t>2015 06 09</t>
  </si>
  <si>
    <t>https://youtu.be/qhJUEI_MPaY</t>
  </si>
  <si>
    <t>Space Station Live  Studying Nutrition Impacts on Astronaut Health</t>
  </si>
  <si>
    <t>NASA Commentator Lori Meggs talks with Dr. Scott M. Smith, the manager of the Nutritional Biochemistry Laboratory at NASA’s Johnson Space Center, about how researchers are studying blood and urine samples from the International Space Station crew members to learn more about how prolonged exposure to weightlessness impacts the body, especially the bones, muscles and vision.  Smith describes how the samples are gathered on orbit and then returned to Earth on a commercial cargo ship.</t>
  </si>
  <si>
    <t>qhJUEI_MPaY</t>
  </si>
  <si>
    <t>https://youtu.be/U4uZvB-avL0</t>
  </si>
  <si>
    <t>Station Module Move in 4K Video Resolution</t>
  </si>
  <si>
    <t>On Wednesday, May 27, the International Space Station took the next step to prepare the orbiting laboratory for the future arrival of U.S. commercial crew and cargo vehicles. 
Robotics flight controllers in Mission Control Houston and Canada detached the large Permanent Multipurpose Module (PMM), used as a supply depot on the orbital laboratory, from the Earth-facing port of the Unity module and robotically relocated it to the forward port of the Tranquility module. This move cleared the Unity port for its conversion into the spare berthing location for U.S. cargo spacecraft; the Earth-facing port on Harmony is the primary docking location. Harmony’s space-facing port currently is the spare berthing location for cargo vehicles, so this move frees that location to be used in conjunction with Harmony’s forward port as the arrival locations for commercial crew spacecraft.
HD download link: https://archive.org/details/SpaceStationPMMRelocation-4K</t>
  </si>
  <si>
    <t>U4uZvB-avL0</t>
  </si>
  <si>
    <t>2015 06 05</t>
  </si>
  <si>
    <t>https://youtu.be/YbXBYZDcJvI</t>
  </si>
  <si>
    <t>Space to Ground  Fifty Years  6 5 15</t>
  </si>
  <si>
    <t>YbXBYZDcJvI</t>
  </si>
  <si>
    <t>2015 06 04</t>
  </si>
  <si>
    <t>https://youtu.be/UMCYt2bKCbI</t>
  </si>
  <si>
    <t>Space Station Live  Measuring the Fluid Shift in Space</t>
  </si>
  <si>
    <t>NASA Commentator Lori Meggs at the Marshall Space Flight Center talks with Mike Stenger, one of the co-principal investigators of the Fluid Shifts experiment, which is measuring how much fluid shifts to an astronaut’s upper body during the time he or she is in weightlessness on board the International Space Station.  
Researchers have hypothesized that the fluid shift leads to increased pressure within the skull and to the back of the eye, and may be responsible for vision changes that many astronauts experience after a long-duration mission.  Stenger uses Lori as a guinea pig to demonstrate how he’s gathering data from the station crew members for this investigation.</t>
  </si>
  <si>
    <t>UMCYt2bKCbI</t>
  </si>
  <si>
    <t>2015 06 03</t>
  </si>
  <si>
    <t>https://youtu.be/LYYdOozMtEI</t>
  </si>
  <si>
    <t>Astronaut Terry Virts Commemorates Gemini IV Showing How He “Suits Up”</t>
  </si>
  <si>
    <t>To mark the 50th anniversary of the first U.S. spacewalk, astronaut Terry Virts shows us how NASA gets ready for a spacewalk, and pays tribute to the past accomplishment of Gemini IV.  This video shows the “suit up” process Terry completed prior to one of his three spacewalks in February and March of this year.  Near the end of the video, Terry commemorates the accomplishments of Gemini IV.  The video ends with crew member Jim McDivitt describing the Gemini spacewalk from inside the spacecraft, and Ed White beginning his spacewalk.</t>
  </si>
  <si>
    <t>LYYdOozMtEI</t>
  </si>
  <si>
    <t>https://youtu.be/wJAiKZmunPQ</t>
  </si>
  <si>
    <t>NASA’s Mission Control, Houston, Celebrates 50th Anniversary</t>
  </si>
  <si>
    <t>Mission Control recognizes a half century of human spaceflight leadership from Houston on June 3, as it continues to support 24/7/365 operations in support of the International Space Station and prepares for the future of human exploration through the cosmos. The first spaceflight operated from Mission Control, Houston, was the Gemini IV mission launched on June 3, 1965, a flight that included the United States’ first spacewalk. Firsts in space became the norm for the institution, highlighted by the landing of men on the moon during the Apollo Program; the first international mission between the U.S. and the U.S.S.R. during the Apollo-Soyuz Test Project; the first U.S. space station flights during Skylab; the flights of the first reusable spacecraft during the space shuttle era, and the assembly and operation of the International Space Station. The video is dedicated to the men and women of Mission Control past, present and future.
For more about the Christopher C. Kraft Jr. Mission Control Center, visit: http://www.nasa.gov/centers/johnson/home
Follow the anniversary activities on social media with the hashtag #MCC50th
High resolution download: https://archive.org/details/Mission-Control-Houston_50-Years</t>
  </si>
  <si>
    <t>wJAiKZmunPQ</t>
  </si>
  <si>
    <t>2015 06 02</t>
  </si>
  <si>
    <t>https://youtu.be/8jvIV8gEvuU</t>
  </si>
  <si>
    <t>Space Station Live  50 Years of Mission Control Houston</t>
  </si>
  <si>
    <t>On the eve of the 50th anniversary of the Mission Control Center at NASA’s Johnson Space Center in Houston, NASA Commentator Pat Ryan talks with Norm Knight, the chief of the Flight Director Office at JSC, about the establishment the mission control center concept and the development of the center through the history of America’s human spaceflight program.
Watch Space Station Live, weekdays at 11am eastern.
http://www.nasa.gov/multimedia/nasatv/index.html</t>
  </si>
  <si>
    <t>8jvIV8gEvuU</t>
  </si>
  <si>
    <t>https://youtu.be/zCDe_7uiWMM</t>
  </si>
  <si>
    <t>Spacewalking  The Last 50 Years, The Next 50 Years</t>
  </si>
  <si>
    <t>On June 3, 1965, NASA astronaut Ed White exited the Gemini 4 space capsule using a hand-held oxygen jet gun to push himself from the hatch for a 23-minute tethered spacewalk that set the stage for future moonwalks, satellite retrievals and repairs, and space station assembly and maintenance.
Spacewalks and spacesuits are a critical component of all human space exploration endeavors. To date, NASA has completed 264 spacewalks, including 184 dedicated to space station assembly and 23 focused on the repair of the Hubble Space Telescope. Human exploration of Mars will require innovative design solutions for EVA systems to protect crew from the Red Planet's environment. For the first time since 1982, NASA is in the process of evaluating and testing new suit prototype designs to support our journey to Mars.</t>
  </si>
  <si>
    <t>zCDe_7uiWMM</t>
  </si>
  <si>
    <t>https://youtu.be/2hT-CRevst4</t>
  </si>
  <si>
    <t>StationLife  Eye-Opening Science</t>
  </si>
  <si>
    <t>Every month on StationLIFE, we’ll focus on a scientific area where the International Space Station is conducting groundbreaking research. This month, astronaut Tracy Dyson talks about a unique challenge to humans flying in space: vision impairment. 
Even after 50 years of human spaceflight, we are still exploring the effects microgravity can have on human health.  In recent years, a new trend was identified: some International Space Station astronauts reported vision degradation during spaceflight.  Research has identified a possible link between vision impairment and the increased intracranial pressure caused by shifts in bodily fluids from the lower extremities to the upper part of the body in microgravity.  This is an area of intense interest aboard ISS, with implications for future exploration missions.  There is also an Earth benefit to the vision research aboard the space station; these studies provide insight into structural changes that can occur in the eyes and nervous system, which could be relevant for patients suffering from a wide range of ocular diseases such as glaucoma.  It also provides data that could be used to help patients suffering from brain diseases, such as hydrocephalus and high blood pressure in the brain.
Be sure to check back every month to see more of how we’re working "Off the Earth, For the Earth."
http://www.nasa.gov/station
HD download link: https://archive.org/details/StationLIFE</t>
  </si>
  <si>
    <t>2hT-CRevst4</t>
  </si>
  <si>
    <t>2015 06 01</t>
  </si>
  <si>
    <t>https://youtu.be/Yiv9W4K92XE</t>
  </si>
  <si>
    <t>Show NASA How You %23SuitUp</t>
  </si>
  <si>
    <t>On June 3, 2015, NASA is celebrating the 50th anniversary of the first U.S. spacewalk. Join the celebration and share with us how you "suit up" for your career or hobby - or send us your favorite NASA spacewalking moments - on social media using #SuitUp.</t>
  </si>
  <si>
    <t>Yiv9W4K92XE</t>
  </si>
  <si>
    <t>https://youtu.be/JAlnM06MnRA</t>
  </si>
  <si>
    <t>Space Station Live  The Science Beat Goes On</t>
  </si>
  <si>
    <t>NASA Commentator Pat Ryan talks with Jorge Sotomayor, the lead increment scientist for Expeditions 43 and 44 on board the International Space Station.  The crew has been working on learning more about the dynamics of fire in weightlessness, the specifics of how fluids shift from a crew member’s lower body to upper body and how that shift can adversely impact vision, and testing out a new espresso machine and drinking cups designed to use capillary flows to let them actually sip liquids instead of sucking them out of a bag through a straw.</t>
  </si>
  <si>
    <t>JAlnM06MnRA</t>
  </si>
  <si>
    <t>2015 05 29</t>
  </si>
  <si>
    <t>https://youtu.be/V81_3biNHcA</t>
  </si>
  <si>
    <t>Space to Ground   Module Move</t>
  </si>
  <si>
    <t>NASA's Space to Ground is your weekly update on what's happening aboard the International Space Station. Got a question or comment? Use #spacetoground to talk to us. 
Also available on Archive.org
https://archive.org/details/SpaceToGround</t>
  </si>
  <si>
    <t>V81_3biNHcA</t>
  </si>
  <si>
    <t>2015 05 27</t>
  </si>
  <si>
    <t>https://youtu.be/PtJAumajur8</t>
  </si>
  <si>
    <t xml:space="preserve">Space Station Live  Astronaut or IndyCar Driver </t>
  </si>
  <si>
    <t>NASA Commentator Lori Meggs at the Marshall Space Flight Center speaks with IndyCar Series driver James Hinchcliffe about the similarities between driving a race car and flying in space: from the physical requirements of the driver and the astronaut, to the support received from pit crews and ground teams. Hinchcliffe talks about what inspired him, and his interest in the International Space Station program.
Watch Space Station Live, weekdays at 11am eastern.
http://www.nasa.gov/multimedia/nasatv/index.html</t>
  </si>
  <si>
    <t>PtJAumajur8</t>
  </si>
  <si>
    <t>https://youtu.be/pRaZgSVnsNs</t>
  </si>
  <si>
    <t>One-Year Crew Docking to the International Space Station</t>
  </si>
  <si>
    <t>: This video was taken by the crewmembers aboard the Soyuz TMA-16M spacecraft which docked to the International Space Station at 9:33 p.m. EDT March 27, 2015. NASA astronaut Scott Kelly and Russian cosmonauts Mikhail Kornienko and Gennady Padalka arrived just six hours after launching from Baikonur, Kazakhstan, completing four orbits around the Earth before catching up with the orbiting laboratory. 
The vehicle docked to the Poisk module (also known as the Mini-Research Module 2) on the space-facing side of the Russian Service Module. The spinning object in view is an antenna that is part of the automatic rendezvous and docking system known as KURS.
Kelly and Kornienko will spend about a year living and working aboard the space station to help scientists better understand how the human body reacts and adapts to the harsh environment of space. Most expeditions to the space station last four to six months. By doubling the length of this mission, researchers hope to better understand how the human body reacts and adapts to long-duration spaceflight. This knowledge is critical as NASA looks toward human journeys deeper into the solar system, including to and from Mars, which could last 500 days or longer. It also carries potential benefits for humans here on Earth, from helping patients recover from long periods of bed rest to improving monitoring for people whose bodies are unable to fight infections.
For more about the One-Year Mission, visit: www.nasa.gov/oneyear 
High resolution download: https://archive.org/details/One-Year-Crew_Resource-Reel (file name: Expedtion 43_1-Year_Crew_ Approach_and_Docking)</t>
  </si>
  <si>
    <t>pRaZgSVnsNs</t>
  </si>
  <si>
    <t>2015 05 26</t>
  </si>
  <si>
    <t>https://youtu.be/lu-tdAnBdmM</t>
  </si>
  <si>
    <t>Space Station Live  Next Stop for PMM--Tranquility</t>
  </si>
  <si>
    <t>NASA Commentator Pat Ryan talks with International Space Station Operations Integration Manager Kenny Todd about the planned relocation Wednesday of the Permanent Multipurpose Module, a storage facility that has been attached to the station’s Unity node since February 2011.  The PMM is being moved to the Tranquility module as part of a plan to create available docking ports for commercial crew vehicles and commercial cargo vehicles in the coming years.</t>
  </si>
  <si>
    <t>lu-tdAnBdmM</t>
  </si>
  <si>
    <t>2015 05 22</t>
  </si>
  <si>
    <t>https://youtu.be/Gf9wxJf1tCA</t>
  </si>
  <si>
    <t>Space to Ground   Cargo Returns</t>
  </si>
  <si>
    <t>Gf9wxJf1tCA</t>
  </si>
  <si>
    <t>2015 05 21</t>
  </si>
  <si>
    <t>https://youtu.be/vHqzMpCIoOo</t>
  </si>
  <si>
    <t>PMM Relocation Animation</t>
  </si>
  <si>
    <t>The next step in growing a robust commercial market in low-Earth orbit and preparing the International Space Station for the future arrival of U.S. commercial crew and cargo vehicles will be undertaken on Wednesday, May 27.
The large Permanent Multipurpose Module (PMM) that is used as a supply depot on the orbital laboratory will be detached from the Earth-facing port of the Unity module and robotically relocated to the forward port of the Tranquility module using the space station's robotic arm, Canadarm2. This will clear the Unity port for its conversion into a spare berthing location for U.S. visiting vehicles.
For more information, visit: www.nasa.gov/station
HD download link: https://archive.org/details/PMMRelocationAnimation-May2015</t>
  </si>
  <si>
    <t>vHqzMpCIoOo</t>
  </si>
  <si>
    <t>2015 05 20</t>
  </si>
  <si>
    <t>https://youtu.be/MtUz5WfA2dw</t>
  </si>
  <si>
    <t>Space Station Live  Water Works for Spaceflight Future</t>
  </si>
  <si>
    <t>NASA Commentator Lori Meggs at the Marshall Space Flight Center speaks with Jeremy Frank of the Ames Research Center about how researchers are building on a routine maintenance task on the International Space Station—monitoring the quality of the crew’s drinking water—to learn more about how future crews on missions to deep space can take better control of spaceflight operations without having to rely on distant ground control teams.
Watch Space Station Live, weekdays at 11am eastern.
http://www.nasa.gov/multimedia/nasatv/index.html</t>
  </si>
  <si>
    <t>MtUz5WfA2dw</t>
  </si>
  <si>
    <t>2015 05 15</t>
  </si>
  <si>
    <t>https://youtu.be/AmGiRg9q-fU</t>
  </si>
  <si>
    <t>Space to Ground  Schedule Shift  5 15 15</t>
  </si>
  <si>
    <t>AmGiRg9q-fU</t>
  </si>
  <si>
    <t>2015 05 14</t>
  </si>
  <si>
    <t>https://youtu.be/uBMRYmP7Ves</t>
  </si>
  <si>
    <t>Preparing America for Deep Space Exploration Episode 9  Ready to Rumble</t>
  </si>
  <si>
    <t>NASA is developing the Space Launch System rocket, Orion spacecraft and the grounds systems needed to launch astronauts to destinations far into the solar system. Between January and March 2015, the agency made strides to build these capabilities. Recents progress includes a test of the RS-25 engine, evaluation of the Orion heat shield that flew into space in 2014, upgrades to the Mobile Launcher and Crawler Transporter at Kennedy Space Center in Florida, and to the Pegasus barge that will transport the SLS core stage to Florida prior to launch, as well as a full-scale firing of the SLS booster in a major qualification test. For more info:
RS-25 test: http://go.nasa.gov/1IymO22
Orion heat shield work: http://go.nasa.gov/1J6H0ag
Crawler Transporter: http://go.nasa.gov/1Iyn1lH
Pegasus barge: http://go.nasa.gov/1QTYeuC
SLS booster test: http://go.nasa.gov/1IymAbh
HD download link: https://archive.org/details/PreparingAmericaForDeepSpaceExplorationEpisode9ReadytoRumble</t>
  </si>
  <si>
    <t>uBMRYmP7Ves</t>
  </si>
  <si>
    <t>https://youtu.be/RULgOizRL0I</t>
  </si>
  <si>
    <t>Space Station Live  Millions of microbes under study</t>
  </si>
  <si>
    <t>NASA commentator Amiko Kauderer talks with Dr. Kasthuri Venkateswaran, principal investigator for the Microbial Observatory experiment aboard the International Space Station that focuses on the millions of other living things on the station other than the crew: the microbes which share the environment with the human crew. Dr. Venkateswaran is with the California Institute of Technology and the Jet Propulsion Laboratory in Pasadena.
Watch Space Station Live, weekdays at 11am eastern.
http://www.nasa.gov/multimedia/nasatv/index.html</t>
  </si>
  <si>
    <t>RULgOizRL0I</t>
  </si>
  <si>
    <t>https://youtu.be/V1eHWpOtWQw</t>
  </si>
  <si>
    <t>Space Station Live  Schedule Changes</t>
  </si>
  <si>
    <t>NASA commentator Amiko Kauderer talks with Kenny Todd, the International Space Station Mission Operations Integration Manager, about the vehicle schedule changes to and from the International Space Station in the wake of the loss of Russian Progress 59. The return to Earth for NASA's Terry Virts, ESA (European Space Agency) astronaut Samantha Cristoforetti and Russian cosmonaut Anton Shkaplerov now is targeted for early June. The next Russian cargo craft, Progress 60, will launch in early July to deliver several tons of food, fuel and supplies. The space station has sufficient supplies to support crews until the fall of 2015. The Soyuz spacecraft carrying Expedition 44’s Kjell Lindgren of NASA, Oleg Kononenko of Roscosmos, and Kimiya Yui of the Japan Aerospace Exploration Agency, will launch in late July from the Baikonur Cosmodrome in Kazakhstan.
Watch Space Station Live, weekdays at 11am eastern.
http://www.nasa.gov/multimedia/nasatv/index.html</t>
  </si>
  <si>
    <t>V1eHWpOtWQw</t>
  </si>
  <si>
    <t>https://youtu.be/0Lmsvr8VVwM</t>
  </si>
  <si>
    <t>Space Station Live  ISS  Space Cup Full of Science</t>
  </si>
  <si>
    <t>NASA Commentator Lori Meggs at the Marshall Space Flight Center speaks with Portland State University’s Mark Weislogel about the space cup, a zero-gravity cup designed and fabricated for the Capillary Beverage experiment on the International Space Station, and how he hopes this will revolutionize the way crew members “drink up” in space.
Watch Space Station Live, weekdays at 11am eastern.
http://www.nasa.gov/multimedia/nasatv/index.html</t>
  </si>
  <si>
    <t>0Lmsvr8VVwM</t>
  </si>
  <si>
    <t>https://youtu.be/_5Af-tw8Nls</t>
  </si>
  <si>
    <t>Monthly ISS Research Video Update for April 2015</t>
  </si>
  <si>
    <t>_5Af-tw8Nls</t>
  </si>
  <si>
    <t>https://youtu.be/I1Fm7tG_sEg</t>
  </si>
  <si>
    <t>Ron Sostaric talkMARS  “Human Mars Landing  Better Bring a Really Big Parachute!”</t>
  </si>
  <si>
    <t>Ron Sostaric talks about the difficulties with the entry, descent, and landing of the massive vehicles that would land humans on Mars.
Sostaric is an entry, descent, and landing systems expert for the Aeroscience and Flight Mechanics Division at NASA Johnson Space Center. He has contributed to a number of projects, including the X-38 Crew Return Vehicle, the Autonomous Landing and Hazard Avoidance Technology (ALHAT), Morpheus, the Mars Science Laboratory (MSL), and the Terrestrial Return Vehicle (TRV).
Johnson Space Center’s talkMARS presentations do not follow the model of a typical technical briefing. These talks focus more on the “why” of a human mission to Mars and translate complicated technologies and ideas in an easy-to-understand format.</t>
  </si>
  <si>
    <t>I1Fm7tG_sEg</t>
  </si>
  <si>
    <t>https://youtu.be/ID9Yergj2TU</t>
  </si>
  <si>
    <t>Doug Ming talkMARS  “Curiosity on Mars  Trailblazing a Path for Humans”</t>
  </si>
  <si>
    <t>Dr. Doug Ming describes how the scientific results from the Mars Curiosity rover are trailblazing the path for human missions to the Red Planet in this talkMARS lecture.  
Ming is the Chief Scientist for the Astromaterials Research and Exploration Science Division at NASA Johnson Space Center where he specializes in Mars surface geochemistry and mineralogy.  He has published over 180 peer-reviewed articles and is on the science and operation teams for the Mars Curiosity and Opportunity rover missions.
Johnson Space Center’s talkMARS presentations do not follow the model of a typical technical briefing. These talks focus more on the “why” of a human mission to Mars and translate complicated technologies and ideas in an easy-to-understand format.</t>
  </si>
  <si>
    <t>ID9Yergj2TU</t>
  </si>
  <si>
    <t>https://youtu.be/uncJcyNTzHU</t>
  </si>
  <si>
    <t>Doug Litteken talkMARS  “Inflate Your Space”</t>
  </si>
  <si>
    <t>Doug Litteken discusses the importance of using inflatable structures for a human mission to Mars and tackles some of the myths associated with these space vehicles.
Litteken is an engineer at NASA Johnson Space Center focusing on composite and inflatable lightweight structures for human rated space vehicles. He is a member of the JSC Speakers Bureau and enjoys sharing his excitement for space exploration with audiences of young and old.
Johnson Space Center’s talkMARS presentations do not follow the model of a typical technical briefing. These talks focus more on the “why” of a human mission to Mars and translate complicated technologies and ideas in an easy-to-understand format.</t>
  </si>
  <si>
    <t>uncJcyNTzHU</t>
  </si>
  <si>
    <t>2015 05 08</t>
  </si>
  <si>
    <t>https://youtu.be/KIpbafNpfQ0</t>
  </si>
  <si>
    <t>StationLIFE  Let’s Get Physical</t>
  </si>
  <si>
    <t>Every month on StationLIFE, we’ll focus on a scientific area where the International Space Station is conducting groundbreaking research. This month, astronaut Tracy Dyson hosts a focus on how the station is a unique environment for physical sciences. 
The International Space Station is a laboratory unlike any on Earth. Onboard, we can control gravity as a variable and even remove it entirely from the equation.  Removing gravity from the equation reveals fundamental aspects of physics hidden by force-dependent phenomena such as buoyancy-driven convection and sedimentation.  Science on space station also reveals how other forces, which are small compared to gravity, can dominate system behavior if provided the opportunity.  Gravity often masks or distorts subtle forces such as surface tension and diffusion; on space station, these forces have been harnessed for a wide variety of physical science applications (combustion, fluids, colloids, surface wetting, boiling, convection, materials processing, etc.).  By understanding the fundamentals of combustion and surface tension and colloids, we may make more efficient combustion engines; better portable medical diagnostics; stronger, lighter alloys; medicines with longer shelf-life, and buildings that are more resistant to earthquakes.
Be sure to check back every month to see more of how we’re working "Off the Earth, For the Earth."
http://www.nasa.gov/station</t>
  </si>
  <si>
    <t>KIpbafNpfQ0</t>
  </si>
  <si>
    <t>https://youtu.be/R6Hm8tfWAfI</t>
  </si>
  <si>
    <t>Space to Ground   Safe For Breathing</t>
  </si>
  <si>
    <t>R6Hm8tfWAfI</t>
  </si>
  <si>
    <t>2015 05 07</t>
  </si>
  <si>
    <t>https://youtu.be/Uje647diAeQ</t>
  </si>
  <si>
    <t>NASA Video File   Expedition 44 Crew Undergoes Final Training Outside Moscow</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</si>
  <si>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conducted final qualification training at the Gagarin Cosmonaut Training Center in Star City, Russia May 6 and 7.  Kononenko, Lindgren and Yui are scheduled to launch on May 27, Kazakh time, in the Soyuz TMA-17M spacecraft to the International Space Station for a 5 ½ month mission.
Full Version available on Archive.org:
https://archive.org/details/Expedition44CrewFinalExams150507720p</t>
  </si>
  <si>
    <t>Uje647diAeQ</t>
  </si>
  <si>
    <t>2015 05 06</t>
  </si>
  <si>
    <t>https://youtu.be/G6HSJZhizmY</t>
  </si>
  <si>
    <t>Daniel Kraft talkMARS  “The Future of Health and Medicine  Where Can Technology Take Us ”</t>
  </si>
  <si>
    <t>Dr. Daniel Kraft visited NASA Johnson Space Center to talk about his vision of the future of medical technologies. Kraft is a physician-scientist who specializes in bone marrow transplantation, stem-cell biology and regenerative medicine. He has given several TED talks, some of which have been viewed more than 1 million times.
Johnson Space Center’s talkMARS presentations do not follow the model of a typical technical briefing. These talks focus more on the “why” of a human mission to Mars and translate complicated technologies and ideas in an easy-to-understand format.</t>
  </si>
  <si>
    <t>G6HSJZhizmY</t>
  </si>
  <si>
    <t>https://youtu.be/Hfp_pMW8ygc</t>
  </si>
  <si>
    <t>Space Station Live  Double the Data</t>
  </si>
  <si>
    <t>NASA Commentator Lori Meggs at the Marshall Space Flight Center speaks with Michael Snyder, chair of the genetics department at Stanford University, about the Twins study on the International Space Station.  In this unique experiment researchers are studying how being in a weightless environment impacts station crew member Scott Kelly during his One Year Mission, and compare that to his identical twin brother, former astronaut Mark Kelly, on Earth during the same period of time.</t>
  </si>
  <si>
    <t>Hfp_pMW8ygc</t>
  </si>
  <si>
    <t>https://youtu.be/bh9kwPOoGw4</t>
  </si>
  <si>
    <t>YouTube Vloggers Ask Astronaut Scott Kelly Questions in Space</t>
  </si>
  <si>
    <t>Aboard the International Space Station, NASA astronaut Scott Kelly fielded questions from YouTube creators who sent in video questions asking about aspects of his Year In Space. By doubling the usual length of Kelly's mission to space, researchers hope to better understand how the human body reacts and adapts to long-duration spaceflight. This knowledge is critical as NASA looks toward human journeys deeper into the solar system, including to and from Mars. Participating YouTube creators included Hank Green from Vlogbrothers, Louis from FunForLouis, Emily Graslie at the Brain Scoop, Kyle Hill from the Nerdist, Henry Reich from MinutePhysics, Destin from Smarter Every Day, and Michael from VSauce.</t>
  </si>
  <si>
    <t>bh9kwPOoGw4</t>
  </si>
  <si>
    <t>2015 05 04</t>
  </si>
  <si>
    <t>https://youtu.be/Wl3KxYwnW6I</t>
  </si>
  <si>
    <t>Space Station Live  Measuring Fluid Shifts on Orbit</t>
  </si>
  <si>
    <t>NASA Commentator Pat Ryan talks with Dr. Michael Stenger, one of the co-principal investigators of the Fluid Shifts experiment now underway on the International Space Station.  Researchers are trying to quantify the amount of fluids that shift to an astronaut’s head and upper body and into and out of cells and blood vessels during an extended period in weightlessness, determine if that increased fluid pressure inside the head and on the back of the eye are responsible for the diminished vision reported by some station crew members after they return to Earth, and investigate potential preventative measures.</t>
  </si>
  <si>
    <t>Wl3KxYwnW6I</t>
  </si>
  <si>
    <t>https://youtu.be/BkP27YgDhN0</t>
  </si>
  <si>
    <t>Astronaut at a Glance  Drew Morgan</t>
  </si>
  <si>
    <t>A short autobiographical summary of Drew Morgan.
HD download link: https://archive.org/details/NASAAstronautBiographicalVideos</t>
  </si>
  <si>
    <t>BkP27YgDhN0</t>
  </si>
  <si>
    <t>2015 05 01</t>
  </si>
  <si>
    <t>https://youtu.be/QdCs0aam-3g</t>
  </si>
  <si>
    <t>Space to Ground  Progress 59  5 1 15</t>
  </si>
  <si>
    <t>QdCs0aam-3g</t>
  </si>
  <si>
    <t>2015 04 29</t>
  </si>
  <si>
    <t>https://youtu.be/0eORruDkl5I</t>
  </si>
  <si>
    <t>Space Station Live  Measuring the Space Station as it Flexes</t>
  </si>
  <si>
    <t>NASA Commentator Lori Meggs at the Marshall Space Flight Center talks with Dean Schrage, the principal engineer of LynxCAT software, about the system that measures the flexure of elements of the International Space Station as it orbits the Earth.  Those measurements supply important data for designers and users of experiments on the station, to be able to take into account those small movements so their science experiments are not adversely effected.
Watch Space Station Live, weekdays at 11am eastern.
http://www.nasa.gov/multimedia/nasatv/index.html</t>
  </si>
  <si>
    <t>0eORruDkl5I</t>
  </si>
  <si>
    <t>2015 04 27</t>
  </si>
  <si>
    <t>https://youtu.be/YEjH4K6F5Co</t>
  </si>
  <si>
    <t>NASA’s Orion  First Flight Test</t>
  </si>
  <si>
    <t>NASA’s Orion spacecraft successfully completed its first trip to space in December 2014. The flight tested many of Orion’s systems critical to safety before it begins carrying astronauts to deep space destinations, including to an asteroid and on toward Mars.</t>
  </si>
  <si>
    <t>YEjH4K6F5Co</t>
  </si>
  <si>
    <t>2015 04 24</t>
  </si>
  <si>
    <t>https://youtu.be/aiq2NY_qvpc</t>
  </si>
  <si>
    <t>Space to Ground  Where Over the World   4 23 15</t>
  </si>
  <si>
    <t>aiq2NY_qvpc</t>
  </si>
  <si>
    <t>2015 04 23</t>
  </si>
  <si>
    <t>https://youtu.be/Fttaf_rhpm4</t>
  </si>
  <si>
    <t>Space Station Live  A Cup of Coffee Beats a Bagful</t>
  </si>
  <si>
    <t>NASA Commentator Brandi Dean talks with Dr. Mark Weislogel of Portland State University about a new experiment on the International Space Station  to test a drinking cup that will work in weightlessness.  The Capillary Beverage experiment applies recent findings about capillary flows and surface tension and their impact on fluids in microgravity to design containers that mimic the role of gravity and should provide station crew members with the ability to actually drink water or coffee or other beverages rather than sucking them out of beverage bags with straws, as they do now.
Watch Space Station Live, weekdays at 11am eastern.
http://www.nasa.gov/multimedia/nasatv/index.html</t>
  </si>
  <si>
    <t>Fttaf_rhpm4</t>
  </si>
  <si>
    <t>2015 04 22</t>
  </si>
  <si>
    <t>https://youtu.be/KTAIRdBa83M</t>
  </si>
  <si>
    <t>Space Station Live  Studying Earth’s Sunscreen</t>
  </si>
  <si>
    <t>NASA Commentator Lori Meggs at the Marshall Space Flight Center speaks with Brooke Thornton, mission operations manager for SAGE III, a facility heading for the International Space Station next year to study Earth’s ozone, a layer of the atmosphere that protects us from harmful rays from the sun.  SAGE III will measure ozone, aerosols and other trace gases to enhance our understanding of the middle and lower atmosphere.</t>
  </si>
  <si>
    <t>KTAIRdBa83M</t>
  </si>
  <si>
    <t>https://youtu.be/w6XumQvbKag</t>
  </si>
  <si>
    <t>ISS Benefits for Humanity  Eye on the Tide</t>
  </si>
  <si>
    <t>The vantage point of space not only contributes to a better understanding of our home planet, it helps improve lives around the world. Onboard the International Space Station, the Hyperspectral Imager for the Coastal Ocean (HICO) instrument gave scientists an exceptional new view of the coastal ocean and the Great Lakes. Using a special camera that separates light into hundreds of wavelength channels, HICO was used to identify potentially harmful algae blooms in Lake Erie and other lakes and reservoirs that provide critical drinking water for millions of users. 
The EPA is developing an early warning indicator system using historical and current satellite data to detect algal blooms. For more information, visit: http://www.epa.gov 
The International Space Station is a blueprint for global cooperation and scientific advancements, a destination for a growing commercial marketplace in low-Earth orbit and a test bed for demonstrating new technologies. The space station is the springboard to NASA’s next great leap in exploration, including future missions to an asteroid and Mars.
HD download link: https://archive.org/details/ISSBenefitsforHumanity
Produced/Directed: Jason Clemons
Cinematography: Charles Clendaniel
Sound Design: Greg Wiseman
Editing/Animation/Graphics: Jason Clemons</t>
  </si>
  <si>
    <t>w6XumQvbKag</t>
  </si>
  <si>
    <t>2015 04 21</t>
  </si>
  <si>
    <t>https://youtu.be/6hoEm9YdHUk</t>
  </si>
  <si>
    <t>Space Station Live  High Def Earth</t>
  </si>
  <si>
    <t>NASA Commentator Dan Huot talks with David Hornyak, the project manager of the High Definition Earth Viewing experiment, about the first year of the project’s operation and screens some of its memorable scenes.  From a perch on the nadir side of the International Space Station’s Columbus module, HDEV’s four high definition off-the-shelf video cameras have been transmitting clear, sharp views of Earth from an altitude of 250 miles, providing impressive views while testing how the hardware holds up in the harsh environment of Earth orbit.</t>
  </si>
  <si>
    <t>6hoEm9YdHUk</t>
  </si>
  <si>
    <t>2015 04 17</t>
  </si>
  <si>
    <t>https://youtu.be/b4tGENRQcWU</t>
  </si>
  <si>
    <t>Space to Ground  Dragon Delivery  4 17 2015</t>
  </si>
  <si>
    <t>b4tGENRQcWU</t>
  </si>
  <si>
    <t>https://youtu.be/SoeQeBX7iz8</t>
  </si>
  <si>
    <t>Suiting Up  Behind the Scenes - Michael Lopez-Alegria</t>
  </si>
  <si>
    <t>NASA Astronaut and spacewalk record holder Michael Lopez-Alegria talks about the intricacies of a spacewalk and the features of the spacesuit in first edition of Suiting Up: Behind the Scenes. 
HD download link: https://archive.org/details/SuitUpWithNASAForTheJourneyToMars</t>
  </si>
  <si>
    <t>SoeQeBX7iz8</t>
  </si>
  <si>
    <t>2015 04 16</t>
  </si>
  <si>
    <t>https://youtu.be/CPc8UNODwLg</t>
  </si>
  <si>
    <t>Space Station Live  The Secrets of Bones</t>
  </si>
  <si>
    <t>NASA Commentator Dan Huot talks with Dr. Paola Divieti Pajevic, the principal investigator of the Osteo-4 experiment which is arriving at the International Space Station on the new Dragon cargo ship, about her research into the function of osteocytes, the cells in the bones which sense mechanical forces.  The experiment will study the function and behavior of those cells in space to try to determine why astronauts who spend long periods in space lose bone density; the findings may have also applications for people on Earth who suffer bone disorders.</t>
  </si>
  <si>
    <t>CPc8UNODwLg</t>
  </si>
  <si>
    <t>https://youtu.be/fOWLD2BEzJw</t>
  </si>
  <si>
    <t>Action Cam Footage From U.S. Spacewalk %2331</t>
  </si>
  <si>
    <t>This footage was taken by U.S. astronaut Terry Virts during a spacewalk on the International Space Station on March 1, 2015. Virts and fellow astronaut Barry “Butch” Wilmore routed 400 feet of cable and installed several antennas associated with the Common Communications for Visiting Vehicles system known as C2V2. Boeing’s Crew Transportation System (CST)-100 and the SpaceX Crew Dragon will use the system in the coming years to rendezvous with the orbital laboratory and deliver crews to the space station.
To learn about what these spacewalks accomplished and the big changes coming for the International Space Station, vist: http://go.nasa.gov/1awFd04
We’re celebrating 50 years of spacewalking, learn more at: www.nasa.gov/suitup 
For more information about the International Space Station, visit: www.nasa.gov/station  
HD download link: https://archive.org/details/EVAGoPro</t>
  </si>
  <si>
    <t>fOWLD2BEzJw</t>
  </si>
  <si>
    <t>2015 04 15</t>
  </si>
  <si>
    <t>https://youtu.be/26QWMMT1c8Y</t>
  </si>
  <si>
    <t>Action Cam Footage From U.S. Spacewalk %2330</t>
  </si>
  <si>
    <t>This footage was taken by U.S. astronaut Terry Virts during a spacewalk on the International Space Station on February 25, 2015. Virts and fellow astronaut Barry “Butch” Wilmore routed a series of cables in preparation for the arrival of two International Docking Adapters later in 2015. Virts also lubricated elements at the latching end of the space station’s Canadarm2 robotic arm while Wilmore prepares the Tranquility module for the relocation of the Permanent Multipurpose Module and the arrival of the Bigelow Expandable Activity Module (BEAM) later this year. 
To learn about what these spacewalks accomplished and the big changes coming for the International Space Station, vist: http://go.nasa.gov/1awFd04
We’re celebrating 50 years of spacewalking, learn more at: www.nasa.gov/suitup 
For more information about the International Space Station, visit: www.nasa.gov/station 
High resolution download: https://go.nasa.gov/2rf1s5U</t>
  </si>
  <si>
    <t>26QWMMT1c8Y</t>
  </si>
  <si>
    <t>https://youtu.be/SgpU08WJm0c</t>
  </si>
  <si>
    <t xml:space="preserve">Space Station Live  How Does Your Garden Grow in Space </t>
  </si>
  <si>
    <t>NASA Commentator Lori Meggs at the Marshall Space Flight Center speaks with Gioia Massa, project scientist for Veggie, a facility astronauts are using on the International Space Station to learn about how to grow lettuce and other vegetables in space, an ability which will be important in providing food for astronauts on future deep space exploration missions which cannot be resupplied from Earth.
Watch Space Station Live, weekdays at 11am eastern.
http://www.nasa.gov/multimedia/nasatv/index.html</t>
  </si>
  <si>
    <t>SgpU08WJm0c</t>
  </si>
  <si>
    <t>2015 04 10</t>
  </si>
  <si>
    <t>https://youtu.be/80QOEveMssw</t>
  </si>
  <si>
    <t>Space Station Live  Reaction Self Test</t>
  </si>
  <si>
    <t>NASA Commentator Dan Huot talks with Dr. David Dinges of the University of Pennsylvania Perelman School of Medicine, the principal investigator of the Reaction Self Test experiment now underway on the International Space Station.  Through evaluating a crew member’s responses to short tests and questions on a portable computer, the research enables the crew and scientists on the ground to gauge whether fatigue due to sleep restrictions or medications degrades an astronaut’s performance of tasks on orbit.</t>
  </si>
  <si>
    <t>80QOEveMssw</t>
  </si>
  <si>
    <t>https://youtu.be/7o80sAi0lcs</t>
  </si>
  <si>
    <t>Space to Ground  Eye on the Earth  4 10 15</t>
  </si>
  <si>
    <t>7o80sAi0lcs</t>
  </si>
  <si>
    <t>2015 04 09</t>
  </si>
  <si>
    <t>https://youtu.be/jkg2-4RFXeM</t>
  </si>
  <si>
    <t>Space Station Live  Fine Motor Skills</t>
  </si>
  <si>
    <t>NASA Commentator Dan Huot talks with Dr. Tina Holden, the principal investigator of the Fine Motor Skills experiment, which is looking to quantify how extended exposure to weightlessness impacts an astronaut’s ability to complete tasks.  The experiment uses a small computer to test the crew member’s performance on a series of simple tasks to gauge whether or not their fine motor skills have been adversely impacted by their prolonged time on orbit.
Watch Space Station Live, weekdays at 11am eastern.
http://www.nasa.gov/multimedia/nasatv/index.html</t>
  </si>
  <si>
    <t>jkg2-4RFXeM</t>
  </si>
  <si>
    <t>2015 04 08</t>
  </si>
  <si>
    <t>https://youtu.be/jWoA9kpyNwM</t>
  </si>
  <si>
    <t>Space Station Live  Space-Made Presents Unboxed</t>
  </si>
  <si>
    <t>The products from the first-ever operation of a 3-D Printer in space were recently returned to Earth from the International Space Station, and NASA’s In-Space Manufacturing Project opened the box this week.  Quincy Bean, the principal investigator of the 3-D Printing in Zero-G technology demonstration, talks you through the unboxing at the Marshall Space Flight Center in Huntsville, AL on April 6, 2015.
Watch Space Station Live, weekdays at 11am eastern.
http://www.nasa.gov/multimedia/nasatv/index.html</t>
  </si>
  <si>
    <t>jWoA9kpyNwM</t>
  </si>
  <si>
    <t>https://youtu.be/WVIflt75KkY</t>
  </si>
  <si>
    <t>Yuri’s Night Greeting from Expedition 43 Commander Terry Virts</t>
  </si>
  <si>
    <t>Expedition 43 commander Terry Virts of NASA took time to send a special message to celebrators around the globe recognizing the anniversary of the first human space flight. On April 12, 1961, Russian cosmonaut Yuri Gagarin became the first human in space, making a 108-minute orbital flight in his Vostok 1 spacecraft. 
Space cooperation has been a hallmark of U.S.-Russia relations, including during the height of the Cold War, and most notably, in the past 14 consecutive years of continuous human presence on board the International Space Station.
To learn more, visit: www.nasa.gov/station
HD download: https://archive.org/details/YurisNightGreetingFromExpedition43CommanderTerryVirts</t>
  </si>
  <si>
    <t>WVIflt75KkY</t>
  </si>
  <si>
    <t>2015 04 07</t>
  </si>
  <si>
    <t>https://youtu.be/alxWTxuW3jk</t>
  </si>
  <si>
    <t>Science</t>
  </si>
  <si>
    <t>B-roll of the science and research taking place aboard the International Space Station. Image credit: Courtesy NASA</t>
  </si>
  <si>
    <t>alxWTxuW3jk</t>
  </si>
  <si>
    <t>https://youtu.be/xC2wB93Wm7k</t>
  </si>
  <si>
    <t>Russian Soyuz Spacecraft</t>
  </si>
  <si>
    <t>B-roll the Russian Soyuz Spacecraft, the crew vehicle for the International Space Station. Image credit: Courtesy NASA</t>
  </si>
  <si>
    <t>xC2wB93Wm7k</t>
  </si>
  <si>
    <t>https://youtu.be/X9vOoXU56KI</t>
  </si>
  <si>
    <t>Life on Station</t>
  </si>
  <si>
    <t>B-roll of life aboard the International Space Station. Image credit: Courtesy NASA
HD download link: https://archive.org/details/LifeOnStationB-Roll</t>
  </si>
  <si>
    <t>X9vOoXU56KI</t>
  </si>
  <si>
    <t>https://youtu.be/j_RTo2Ti5VA</t>
  </si>
  <si>
    <t>Exterior Views</t>
  </si>
  <si>
    <t>B-roll of the exterior of the International Space Station. Image credit: Courtesy NASA</t>
  </si>
  <si>
    <t>j_RTo2Ti5VA</t>
  </si>
  <si>
    <t>https://youtu.be/ANjy2RcEeGs</t>
  </si>
  <si>
    <t>Earth Views</t>
  </si>
  <si>
    <t>B-roll of views of Earth from the International Space Station</t>
  </si>
  <si>
    <t>ANjy2RcEeGs</t>
  </si>
  <si>
    <t>https://youtu.be/T2ua3zp3_1o</t>
  </si>
  <si>
    <t>Cargo Vehicle Ground Processing</t>
  </si>
  <si>
    <t>B-roll of cargo vehicle processing for the International Space Station. Image credit: Courtesy NASA</t>
  </si>
  <si>
    <t>T2ua3zp3_1o</t>
  </si>
  <si>
    <t>https://youtu.be/Iv1SxotNUH0</t>
  </si>
  <si>
    <t>Space Station Live  A View from Aloft</t>
  </si>
  <si>
    <t>NASA Commentator Dan Huot talks with Dr. Lisa Vanderbloemen, the manager of the Earth Science and Remote Sensing Unit at the Johnson Space Center in Houston, about the Crew Earth Observation experiment underway on the International Space Station.  From the vantage point of 250 miles up, station crew members can quickly photograph natural phenomenon and man-made targets on Earth to document dynamic changes on the planet.
Watch Space Station Live, weekdays at 11am eastern.
http://www.nasa.gov/multimedia/nasatv/index.html</t>
  </si>
  <si>
    <t>Iv1SxotNUH0</t>
  </si>
  <si>
    <t>2015 04 06</t>
  </si>
  <si>
    <t>https://youtu.be/k3rx6zNL8G0</t>
  </si>
  <si>
    <t>StationLIFE  Earth</t>
  </si>
  <si>
    <t>Every month on StationLIFE, we’ll focus on a scientific area where the International Space Station is conducting groundbreaking research. This month, astronaut Tracy Dyson hosts a focus on how the station operates as a unique platform for various Earth sensing technologies. 
The International Space Station is part of a fleet of Earth remote-sensing platforms to develop a scientific understanding of Earth’s systems and its response to natural or human-induced changes and to improve prediction of climate, weather, and natural hazards. It’s considered unique for several reasons as—unlike automated remote-sensing platforms—it has a human crew, a low-orbit altitude, and orbital parameters that provide variable views and lighting. The station has an inclined, sun-asynchronous orbit that carries it over 90 percent of the inhabited surface of the Earth and allows for the ISS to pass over ground locations at different times of the day and night. This is different and complimentary to other orbiting satellites.
Be sure to check back every month to see more of how we’re working "Off the Earth, For the Earth."
http://www.nasa.gov/station
To download in HD: https://archive.org/details/StationLIFE</t>
  </si>
  <si>
    <t>k3rx6zNL8G0</t>
  </si>
  <si>
    <t>https://youtu.be/w4iOl61bgPk</t>
  </si>
  <si>
    <t>NASA Employees Take First Lady’s Dance Challenge</t>
  </si>
  <si>
    <t>While our coworkers living on the International Space Station must exercise two hours every day to combat bone loss and muscle atrophy in orbit, we decided to do a little dance from Earth to cheer them on. Employees from NASA’s Johnson Space Center accepted a challenge from the First Lady and Ellen DeGeneres to learn and perform the #GimmeFive dance. This is in celebration of the fifth anniversary of the First Lady’s “Let’s Move” campaign, of which NASA is an official partner.</t>
  </si>
  <si>
    <t>w4iOl61bgPk</t>
  </si>
  <si>
    <t>2015 04 03</t>
  </si>
  <si>
    <t>https://youtu.be/R3_tQvmdeVI</t>
  </si>
  <si>
    <t>Space to Ground  Welcome Aboard  4 3 15</t>
  </si>
  <si>
    <t>R3_tQvmdeVI</t>
  </si>
  <si>
    <t>2015 04 01</t>
  </si>
  <si>
    <t>https://youtu.be/dBaIu1f7_JQ</t>
  </si>
  <si>
    <t>Space Station Live  Balancing Act</t>
  </si>
  <si>
    <t>NASA Commentator Lori Meggs at the Marshall Space Flight Center speaks with Mill Reschke, co-principal investigator of an experiment – 20 years in the making – that will test astronauts’ ability to perform tasks immediately after returning to a gravity environment from a long-duration mission to the International Space Station.  The Field Test Study is designed by American and Russian scientists to quantify changes to balance and coordination after spaceflight with an eye toward improving recovery times to help future astronauts be ready to explore whatever asteroid or planet they land on right away.
Watch Space Station Live, weekdays at 11am eastern.
http://www.nasa.gov/multimedia/nasatv/index.html</t>
  </si>
  <si>
    <t>dBaIu1f7_JQ</t>
  </si>
  <si>
    <t>https://youtu.be/53TcxyN-gig</t>
  </si>
  <si>
    <t>One-Year Crew Talks About Start of %23YearInSpace</t>
  </si>
  <si>
    <t>NASA astronaut Scott Kelly and Russian cosmonaut Mikhail Kornienko answer questions about their arrival aboard the International Space Station and the beginning of their one-year mission in space on Monday, March 30, 2015. The two veteran spacefarers’ mission will collect scientific daw important to future human exploration of our solar system, and conduct experiments in biology and biotechnology, Earth and space science, physical sciences, technology advancement and human physiology that will provide benefits for humans on Earth.  Kelly and his twin brother, former astronaut Mark Kelly, also will participate in a set of experiments that use their unique identical genetic sequencing to help understand the effect of long-duration spaceflight on the human body. The interview was conducted by NASA spokesman Rob Navias.
High resolution version available on Archive.org
https://archive.org/details/E431YearCrewInterview150330720p</t>
  </si>
  <si>
    <t>53TcxyN-gig</t>
  </si>
  <si>
    <t>2015 03 31</t>
  </si>
  <si>
    <t>https://youtu.be/kbvKwmqqh58</t>
  </si>
  <si>
    <t>Space Station Live  Counting Down to the Start of a Year in Space</t>
  </si>
  <si>
    <t>NASA Commentator Pat Ryan talks with astronaut Scott Kelly about his upcoming One Year Mission to the International Space Station.  Veterans of previous six-month trips to the station, Kelly and crewmate Mikhail Kornienko of Roscosmos plan to spend nearly a year on orbit in a mission that will advance the scientific understanding of how prolonged exposure to weightlessness effects the human body, and inform methods of countering the negative effects, in support of future deep space missions beyond low earth orbit.</t>
  </si>
  <si>
    <t>kbvKwmqqh58</t>
  </si>
  <si>
    <t>https://youtu.be/KclZrn7oJkU</t>
  </si>
  <si>
    <t>Space Station Live  Best Use of Space</t>
  </si>
  <si>
    <t>NASA Commentator Pat Ryan talks with Dr. Sherry Thaxton, the principal investigator of the Habitability experiment now underway on the International Space Station, about how the One Year Mission will assist designers of future spacecraft.  Researchers will use information from the station crew members and observations of their interaction with the man-made environment on orbit to help in the design of new space vehicles to maximize the comfort and efficiency of those vehicles for future deep space explorers.</t>
  </si>
  <si>
    <t>KclZrn7oJkU</t>
  </si>
  <si>
    <t>2015 03 28</t>
  </si>
  <si>
    <t>https://youtu.be/LO82R73Ocac</t>
  </si>
  <si>
    <t>Expedition 43 Crew Docks to the Space Station</t>
  </si>
  <si>
    <t>After launching earlier in the day in their Soyuz TMA-16M spacecraft from the Baikonur Cosmodrome in Kazakhstan, Expedition 43 Soyuz Commander Gennady Padalka and Flight Engineer Mikhail Kornienko of the Russian Federal Space Agency (Roscosmos) and NASA Flight Engineer Scott Kelly arrived at the International Space Station on March 27 U.S. time (March 28 Kazakh time) following a four-orbit, six-hour rendezvous. A few hours after docking, Padalka, Kelly and Kornienko opened hatches and were greeted by station Commander Terry Virts of NASA and Flight Engineers Anton Shkaplerov of Roscosmos and Samantha Cristoforetti of the ESA. For Kelly and Kornienko, their entrance into the station began a year on the orbital laboratory where they will conduct extensive research on the effect of long duration space travel on the human body.</t>
  </si>
  <si>
    <t>LO82R73Ocac</t>
  </si>
  <si>
    <t>2015 03 27</t>
  </si>
  <si>
    <t>https://youtu.be/uPwyE3NdiNg</t>
  </si>
  <si>
    <t>Expedition 43 Launches to ISS for a Yearlong Mission</t>
  </si>
  <si>
    <t>Expedition 43 Soyuz Commander Gennady Padalka and Flight Engineer Mikhail Kornienko of the Russian Federal Space Agency (Roscosmos) and NASA Flight Engineer Scott Kelly launched on the Russian Soyuz TMA-16M spacecraft on March 28, Kazakh time from the Baikonur Cosmodrome in Kazakhstan to begin a six-hour journey to the International Space Station. For Kelly and Kornienko, the launch began a one-year mission on the station to conduct extensive research on the effect of long duration space travel on the human body</t>
  </si>
  <si>
    <t>uPwyE3NdiNg</t>
  </si>
  <si>
    <t>https://youtu.be/ERwU1lsOrj4</t>
  </si>
  <si>
    <t>Space to Ground   The Year Ahead</t>
  </si>
  <si>
    <t>ERwU1lsOrj4</t>
  </si>
  <si>
    <t>2015 03 26</t>
  </si>
  <si>
    <t>https://youtu.be/bjUFRXmRGgk</t>
  </si>
  <si>
    <t>Last Human to Spend a Year in Space Discusses Upcoming ISS One Year Mission</t>
  </si>
  <si>
    <t>Former Russian cosmonaut Sergei Avdeyev, the last human to spend a year or more in space on a single spaceflight, discussed the challenges facing NASA astronaut Scott Kelly and Russian cosmonaut Mikhail Kornienko during their upcoming year aboard the International Space Station. NASA Public Affairs Officer Rob Navias conducted the interview with Avdeyev in Moscow in November 2014. Avdeyev, who ranks third on the all-time list for most time in space with 748 days in orbit on three spaceflights, spent 380 days on the Russian Mir space station from August 1998 to August 1999.</t>
  </si>
  <si>
    <t>bjUFRXmRGgk</t>
  </si>
  <si>
    <t>2015 03 25</t>
  </si>
  <si>
    <t>https://youtu.be/VnNUMlfSItU</t>
  </si>
  <si>
    <t>Space Station Live  Aging in Space</t>
  </si>
  <si>
    <t>NASA Commentator Lori Meggs at the Marshall Space Flight Center speaks with Dr. Susan Bailey of Colorado State University, the principal investigator of the new Telomeres study on the ISS.  This investigation is looking into a part of the chromosomes of astronauts to find out more about stress-related aging, and how spaceflight affects it. 
Watch Space Station Live, weekdays at 11am eastern.
http://www.nasa.gov/multimedia/nasatv/index.html</t>
  </si>
  <si>
    <t>VnNUMlfSItU</t>
  </si>
  <si>
    <t>https://youtu.be/V7VT2K8Tsvw</t>
  </si>
  <si>
    <t>Expedition 43 Soyuz Rocket Moves to Its Launch Pad</t>
  </si>
  <si>
    <t>The Soyuz TMA-16M spacecraft and its booster were moved to the launch pad at the Baikonur Cosmodrome in Kazakhstan March 25 for final preparations before launch to the International Space Station on March 27 U.S. time (March 28, Kazakh time). The Soyuz TMA-16M will carry Soyuz Commander Gennady Padalka and Flight Engineer Mikhail Kornienko of the Russian Federal Space Agency (Roscosmos) and NASA Flight Engineer Scott Kelly to the orbital complex, where Kelly and Kornienko will spend a year conducting research on the long duration effects of space travel on the human body. The footage also includes scenes of Kelly meeting with his family and other invited guests at the Cosmonaut Hotel crew quarters.</t>
  </si>
  <si>
    <t>V7VT2K8Tsvw</t>
  </si>
  <si>
    <t>2015 03 24</t>
  </si>
  <si>
    <t>https://youtu.be/AetWW898AKk</t>
  </si>
  <si>
    <t>The Expedition 43 Soyuz Spacecraft Is Prepared for Launch</t>
  </si>
  <si>
    <t>At the Baikonur Cosmodrome in Kazakhstan, the Soyuz TMA-16M spacecraft was mated to its Soyuz booster rocket March 24 as preparations continued for the launch of Expedition 43 Soyuz Commander Gennady Padalka and Flight Engineer Mikhail Kornienko of the Russian Federal Space Agency (Roscosmos) and NASA Flight Engineer Scott Kelly on March 27 U.S. time (March 28, Kazakh time) to the International Space Station. Kelly and Kornienko will spend a year aboard the station conducting research on the long duration effect of space travel on the human body.</t>
  </si>
  <si>
    <t>AetWW898AKk</t>
  </si>
  <si>
    <t>https://youtu.be/TYUiSldeuIA</t>
  </si>
  <si>
    <t>Astronaut at a Glance  Shannon Walker</t>
  </si>
  <si>
    <t>A short autobiographical summary of Shannon Walker.
HD download link: https://archive.org/details/NASAAstronautBiographicalVideos</t>
  </si>
  <si>
    <t>TYUiSldeuIA</t>
  </si>
  <si>
    <t>2015 03 23</t>
  </si>
  <si>
    <t>https://youtu.be/AGhXKh3HsyA</t>
  </si>
  <si>
    <t>Expedition 43  Final Inspection</t>
  </si>
  <si>
    <t>Expedition 43 Soyuz Commander Gennady Padalka with Flight Engineers Mikhail Kornienko of the Russian Federal Space Agency (Roscosmos) and Scott Kelly from NASA, participated in a variety of activities at the Baikonur Cosmodrome in Kazakhstan on March 21 and 23 as they prepared for launch to the International Space Station on March 27 U.S. time (March 28, Kazakh time). The footage includes the crew’s traditional media day activities at the Cosmonaut Hotel in Baikonur and their final inspection of the Soyuz TMA-16M spacecraft. Kelly and Kornienko will spend a year aboard the orbital outpost.
For a high-resolution version:
https://archive.org/details/Exp43Activities150323720p</t>
  </si>
  <si>
    <t>AGhXKh3HsyA</t>
  </si>
  <si>
    <t>2015 03 20</t>
  </si>
  <si>
    <t>https://youtu.be/NLGWvEZ8mYU</t>
  </si>
  <si>
    <t>Expedition 43 Crew Prepares for Launch</t>
  </si>
  <si>
    <t>At the Baikonur Cosmodrome in Kazakhstan, Expedition 43 Soyuz Commander Gennady Padalka with Flight Engineers Mikhail Kornienko and Scott Kelly participated in a variety of activities March 14-20 as they prepared for their launch to the International Space Station on March 27 U.S. time (March 28, Kazakh time). Kelly and Kornienko will spend a year aboard the orbital outpost.
For a high-resolution version:
https://archive.org/details/Exp43Activities150320720p</t>
  </si>
  <si>
    <t>NLGWvEZ8mYU</t>
  </si>
  <si>
    <t>https://youtu.be/QGnrYvrFCyA</t>
  </si>
  <si>
    <t>Space Station Live  Opening up Science on a New Expedition</t>
  </si>
  <si>
    <t>NASA Public Affairs Officer Brandi Dean talks with Expedition 43/44 Lead Increment Scientist Jorge Sotomayor about the research plan for the coming six months on board the International Space Station.  The ambitious agenda includes the beginning of experiments for the One Year Crew members, NASA’s Scott Kelly and Roscosmos’ Mikhail Kornienko, who plan to stay on the station for a year to help scientists learn about how people respond to longer periods in weightlessness to help prepare for future deep space exploration missions.
Watch Space Station Live, weekdays at 11am eastern.
http://www.nasa.gov/multimedia/nasatv/index.html</t>
  </si>
  <si>
    <t>QGnrYvrFCyA</t>
  </si>
  <si>
    <t>https://youtu.be/354nLC3r6WA</t>
  </si>
  <si>
    <t>Space Station Stories  The One Year Mission</t>
  </si>
  <si>
    <t>In the opening chapter of Space Station Stories, we take a look at the first one year crew to ever fly onboard the orbiting laboratory. NASA astronaut Scott Kelly and Russian cosmonaut Mikhail Kornienko will spend nearly twelve months conducting important human research studies that will provide new insights into how the human body adjusts to weightlessness, isolation, radiation and stress of long-duration spaceflight. This is just the next step in preparing humanity for the ultimate goal: the journey to Mars.  
Space Station Stories takes you inside the technological marvel that is the International Space Station. Humanity’s home in low Earth orbit since 1998, the station continues to be a platform for new discoveries, preparing us for the journeys of tomorrow while benefiting the world of today. 
HD download link: https://archive.org/details/One-Year-Crew_Resource-Reel</t>
  </si>
  <si>
    <t>354nLC3r6WA</t>
  </si>
  <si>
    <t>https://youtu.be/HnkKXgjZHKA</t>
  </si>
  <si>
    <t>Space to Ground   Preparing for Launch   3 20 15</t>
  </si>
  <si>
    <t>HnkKXgjZHKA</t>
  </si>
  <si>
    <t>2015 03 19</t>
  </si>
  <si>
    <t>https://youtu.be/vDqQhkeTwJc</t>
  </si>
  <si>
    <t>Russian Space Pioneer Discusses Golden Anniversary of First Spacewalk</t>
  </si>
  <si>
    <t>Leonov, who is now 80 years old, stepped out of his Voskhod 2 spacecraft on March 18, 1965 for a 12-minute spacewalk to test his spacesuit and maneuverability. He was followed two months later by American astronaut Edward White, who performed the first U.S. spacewalk in history during the Gemini 4 mission on June 3, 1965. Leonov went on to command the Soyuz 19 spacecraft that conducted the first docking with an American space vehicle --- the Apollo spacecraft commanded by Thomas Stafford --- during the historic Apollo-Soyuz Test Project 40 years ago in July 1975.</t>
  </si>
  <si>
    <t>vDqQhkeTwJc</t>
  </si>
  <si>
    <t>https://youtu.be/gW0fcAukk7Q</t>
  </si>
  <si>
    <t>Russian Space Pioneer Conducts First Spacewalk - March 18, 1965</t>
  </si>
  <si>
    <t>gW0fcAukk7Q</t>
  </si>
  <si>
    <t>https://youtu.be/u2LxBtjNWW4</t>
  </si>
  <si>
    <t>Former Russian cosmonaut Alexey Leonov relives the highlights of the spacewalk he conducted 50 years ago – the first spacewalk in history --- during an interview with NASA Public Affairs Officer Rob Navias in Moscow in May 2014. Leonov, who is now 80 years old, stepped out of his Voskhod 2 spacecraft on March 18, 1965 for a 12-minute spacewalk to test his spacesuit and maneuverability. He was followed two months later by American astronaut Edward White, who performed the first U.S. spacewalk in history during the Gemini 4 mission on June 3, 1965. Leonov went on to command the Soyuz 19 spacecraft that conducted the first docking with an American space vehicle --- the Apollo spacecraft commanded by Thomas Stafford --- during the historic Apollo-Soyuz Test Project 40 years ago in July 1975.
HD download link: https://archive.org/details/ApolloSoyuzTestProjectVideoFile</t>
  </si>
  <si>
    <t>u2LxBtjNWW4</t>
  </si>
  <si>
    <t>https://youtu.be/bOdw2xYBj3g</t>
  </si>
  <si>
    <t>Space Station Live  Doctor, Flight Surgeon, Astronaut</t>
  </si>
  <si>
    <t>NASA Commentator Lori Meggs at the Marshall Space Flight Center speaks with NASA Astronaut Tom Marshburn about his time on the International Space Station during Expedition 34/35, the challenges of keeping up with processes, payloads, and procedures, and why it’s all so important.</t>
  </si>
  <si>
    <t>bOdw2xYBj3g</t>
  </si>
  <si>
    <t>2015 03 18</t>
  </si>
  <si>
    <t>https://youtu.be/czBwx2sbNqo</t>
  </si>
  <si>
    <t>Astronaut at a Glance  Janet L. Kavandi</t>
  </si>
  <si>
    <t>A short autobiographical summary of Janet L. Kavandi.
HD download link: https://archive.org/details/NASAAstronautBiographicalVideos</t>
  </si>
  <si>
    <t>czBwx2sbNqo</t>
  </si>
  <si>
    <t>https://youtu.be/nW6oJqsnjY8</t>
  </si>
  <si>
    <t>Expedition 44 45 crew targets May launch to ISS</t>
  </si>
  <si>
    <t>NASA astronaut Kjell Lindgren, Russian cosmonaut Oleg Kononenko and Japan Aerospace Exploration Agency astronaut Kimiya Yui will launch to the International Space Station from the Baikonur Cosmodrome in Kazakhstan on May 26. They will join NASA astronaut Scott Kelly, Russian cosmonaut and station commander Gennady Padalka and Russian cosmonaut Mikhail Kornienko as members of Expedition 44. They are scheduled to remain aboard the space station as part of Expedition 45 until returning to Earth in November.</t>
  </si>
  <si>
    <t>nW6oJqsnjY8</t>
  </si>
  <si>
    <t>2015 03 17</t>
  </si>
  <si>
    <t>https://youtu.be/8s5pBS9WrMo</t>
  </si>
  <si>
    <t>Space Station Live  Taking the First Step</t>
  </si>
  <si>
    <t>NASA Public Affairs Officer Brandi Dean talks with Dr. Millard Reschke, the co-principal investigator of the Field Test experiment, which will gauge the returning One Year Crew’s re-adaptation to Earth’s gravity at the end of their mission by conducting a series of physical tests on them immediately after they return from space.  The experiment seeks to quantify an astronaut’s physical changes after an extended time in weightlessness.
Watch Space Station Live, weekdays at 11am eastern.
http://www.nasa.gov/multimedia/nasatv/index.html</t>
  </si>
  <si>
    <t>8s5pBS9WrMo</t>
  </si>
  <si>
    <t>https://youtu.be/girHYV5KnZs</t>
  </si>
  <si>
    <t>A Moment with Gennady Padalka</t>
  </si>
  <si>
    <t>A Moment with Gennady Padalka
HD download link: https://archive.org/details/One-Year-Crew_Resource-Reel</t>
  </si>
  <si>
    <t>girHYV5KnZs</t>
  </si>
  <si>
    <t>2015 03 16</t>
  </si>
  <si>
    <t>https://youtu.be/HTUuwmscQz0</t>
  </si>
  <si>
    <t>Space Station Live  The One Year Experiment</t>
  </si>
  <si>
    <t>NASA Commentator Pat Ryan talks with Dr. John Charles of NASA’s Human Research Program about the science plan for astronaut Scott Kelly and cosmonaut Mikhail Kornienko during the One Year Mission to the International Space Station, which starts with their launch from the Baikonur Cosmodrome March 27.</t>
  </si>
  <si>
    <t>HTUuwmscQz0</t>
  </si>
  <si>
    <t>https://youtu.be/CoscDrc0lLw</t>
  </si>
  <si>
    <t>Expedition 43 Crew Departs for Kazakh Launch Site</t>
  </si>
  <si>
    <t>Expedition 43 Soyuz Commander Gennady Padalka and Flight Engineer Mikhail Kornienko of the Russian Federal Space Agency (Roscosmos), NASA Flight Engineer Scott Kelly and their backups, Alexei Ovchinin and Sergei Volkov of Roscosmos and Jeff Williams of NASA participated in traditional ceremonies at the Gagarin Cosmonaut Training Center in Star City, Russia on March 14, which included a visit by Expedition 42 cosmonauts Alexander Samokutyaev and Elena Serova, who returned to Earth March 12 in their Soyuz TMA-14M spacecraft along with Barry Wilmore of NASA (not pictured).  Afterward, they departed for the Baikonur Cosmodrome in Kazakhstan to complete their training for the launch of Padalka, Kelly and Kornienko to the International Space Station in the Soyuz TMA-16M spacecraft on March 27 U.S. time (March 28, Kazakh time). Kelly and Kornienko will spend a year aboard the orbital outpost.</t>
  </si>
  <si>
    <t>CoscDrc0lLw</t>
  </si>
  <si>
    <t>2015 03 13</t>
  </si>
  <si>
    <t>https://youtu.be/0sVdOAvUS4M</t>
  </si>
  <si>
    <t>Astronaut Barry Wilmore Returns to Houston</t>
  </si>
  <si>
    <t>Expedition 42 commander Barry Wilmore of NASA arrived at Ellington Field, Houston Thursday night, March 12, following his return to Earth Wednesday, March 11. Wilmore and flight engineers Alexander Samokutyaev and Elena Serova of the Russian Federal Space Agency (Roscosmos) completed a 167-day mission on the International Space Station that included hundreds of scientific experiments and several spacewalks to prepare the orbiting laboratory for future arrivals by U.S. commercial crew spacecraft. They landed in their Soyuz spacecraft at approximately 10:07 p.m. EDT southeast of the remote town of Dzhezkazgan in Kazakhstan and were then flown to their respective home training bases.
NASA Video File  Available:
https://archive.org/details/NASAVideoFileExpedition42BarryWilmoreReturns150313720p</t>
  </si>
  <si>
    <t>0sVdOAvUS4M</t>
  </si>
  <si>
    <t>https://youtu.be/WaCK-JiD16Y</t>
  </si>
  <si>
    <t>Space to Ground  Back to Earth  3 13 15</t>
  </si>
  <si>
    <t>WaCK-JiD16Y</t>
  </si>
  <si>
    <t>2015 03 12</t>
  </si>
  <si>
    <t>https://youtu.be/m4RyD18qyjA</t>
  </si>
  <si>
    <t>A Moment with Scott Kelly</t>
  </si>
  <si>
    <t>A moment with Scott Kelly. 
HD download link: https://archive.org/details/One-Year-Crew_Resource-Reel</t>
  </si>
  <si>
    <t>m4RyD18qyjA</t>
  </si>
  <si>
    <t>https://youtu.be/o2Qsn3FYGwk</t>
  </si>
  <si>
    <t>A Moment with Mikhail Kornienko</t>
  </si>
  <si>
    <t>A moment with Mikhail Kornienko. 
HD download link: https://archive.org/details/One-Year-Crew_Resource-Reel</t>
  </si>
  <si>
    <t>o2Qsn3FYGwk</t>
  </si>
  <si>
    <t>https://youtu.be/MYSKlDGJLUY</t>
  </si>
  <si>
    <t>Space Station Live  Shooting the Moon</t>
  </si>
  <si>
    <t>NASA Commentator Pat Ryan talks with Dr. Vic Cooley, the lead increment scientist for the International Space Station’s Expeditions 41 and 42, about some of the science work accomplished on orbit during the just completed mission of astronaut Barry Wilmore and his Russian crewmates.
Watch Space Station Live, weekdays at 11am eastern.
http://www.nasa.gov/multimedia/nasatv/index.html</t>
  </si>
  <si>
    <t>MYSKlDGJLUY</t>
  </si>
  <si>
    <t>https://youtu.be/kjLlGkGmUY4</t>
  </si>
  <si>
    <t>Expedition 42 Crew Arrives In Kazakhstan</t>
  </si>
  <si>
    <t>Expedition 42 Soyuz Commander Alexander Samokutyaev and Flight Engineer Elena Serova of the Russian Federal Space Agency (Roscosmos) were greeted in a traditional ceremony at the airport in Karaganda, Kazakhstan on March 12, a few hours after landing along with Expedition 42 Commander Barry Wilmore of NASA in their Soyuz TMA-14M spacecraft near Dzhezkazgan, Kazakhstan. After the ceremony, the crew split up, with Samokutyaev and Serova returning to their training base in Star City, Russia, while Wilmore boarded a NASA plane to return to NASA’s Johnson Space Center in Houston. The trio completed 167 days in space following their launch in late September.
Fulll Video File in High Resolution available:
https://archive.org/details/VideoFileExpedition42CrewArrivesInKazakhstan150312720p</t>
  </si>
  <si>
    <t>kjLlGkGmUY4</t>
  </si>
  <si>
    <t>https://youtu.be/MAX4ELjNs9Y</t>
  </si>
  <si>
    <t>Astronaut at a Glance  Nicole Mann</t>
  </si>
  <si>
    <t>A short autobiographical summary of Nicole Mann.
HD download link: https://archive.org/details/NASAAstronautBiographicalVideos</t>
  </si>
  <si>
    <t>MAX4ELjNs9Y</t>
  </si>
  <si>
    <t>https://youtu.be/O2KDr8IpLsc</t>
  </si>
  <si>
    <t>Astronaut at a Glance  Nick Hague</t>
  </si>
  <si>
    <t>A short autobiographical summary of Nick Hague.
HD download link: https://archive.org/details/NASAAstronautBiographicalVideos</t>
  </si>
  <si>
    <t>O2KDr8IpLsc</t>
  </si>
  <si>
    <t>https://youtu.be/VZEVxnSLFic</t>
  </si>
  <si>
    <t>Astronaut at a Glance  Victor Glover</t>
  </si>
  <si>
    <t>A short autobiographical summary of Victor Glover.
HD download link: https://archive.org/details/NASAAstronautBiographicalVideos</t>
  </si>
  <si>
    <t>VZEVxnSLFic</t>
  </si>
  <si>
    <t>https://youtu.be/YI3dC0HvE2Q</t>
  </si>
  <si>
    <t>Astronaut at a Glance  Anne McClain</t>
  </si>
  <si>
    <t>A short autobiographical summary of Anne McClain.
HD download link: https://archive.org/details/NASAAstronautBiographicalVideos</t>
  </si>
  <si>
    <t>YI3dC0HvE2Q</t>
  </si>
  <si>
    <t>https://youtu.be/cYFSKM1FobA</t>
  </si>
  <si>
    <t>Astronaut at a Glance  Jessica Meir</t>
  </si>
  <si>
    <t>A short autobiographical summary of Jessica Meir.
HD download link: https://archive.org/details/NASAAstronautBiographicalVideos</t>
  </si>
  <si>
    <t>cYFSKM1FobA</t>
  </si>
  <si>
    <t>https://youtu.be/suFK3GY9voE</t>
  </si>
  <si>
    <t>Astronaut at a Glance  Josh Cassada</t>
  </si>
  <si>
    <t>A short autobiographical summary of Josh Cassada.
HD download link: https://archive.org/details/NASAAstronautBiographicalVideos</t>
  </si>
  <si>
    <t>suFK3GY9voE</t>
  </si>
  <si>
    <t>https://youtu.be/wjGylXnoVo8</t>
  </si>
  <si>
    <t>Astronaut at a Glance  Christina Hammock Koch</t>
  </si>
  <si>
    <t>A short autobiographical summary of Christina Hammock Koch.
HD download link: https://archive.org/details/NASAAstronautBiographicalVideos</t>
  </si>
  <si>
    <t>wjGylXnoVo8</t>
  </si>
  <si>
    <t>https://youtu.be/JhnDJmY3hYY</t>
  </si>
  <si>
    <t>Expedition 42  Heading Home</t>
  </si>
  <si>
    <t>Today is homecoming day for International Space Station Commander Barry “Butch” Wilmore of NASA and Flight Engineers Alexander Samokutyaev and Elena Serova of the Russian Federal Space Agency (Roscosmos). At 3:34 p.m. EDT, the Soyuz hatch closed between the International Space Station and the TMA-14M spacecraft. After spending 167 days aboard the station, Wilmore, Samokutyaev and Serova undocked from the station at 6:44 p.m. to begin their voyage home. Samokutyaev, the Soyuz commander, is at the controls of the Soyuz TMA-14M spacecraft.
The departure of Wilmore, Samokutyaev and Serova marks the end of Expedition 42. The Expedition 43 crew members, Commander Terry Virts of NASA, Samantha Cristoforetti of ESA and Anton Shkaplerov of Roscosmos will continue research and maintenance aboard the station and will be joined on March 27 by three additional crew members, NASA’s Scott Kelly and Roscosmos’ Mikhail Kornienko and Gennady Padalka.</t>
  </si>
  <si>
    <t>JhnDJmY3hYY</t>
  </si>
  <si>
    <t>2015 03 11</t>
  </si>
  <si>
    <t>https://youtu.be/WKkwrF6ngxQ</t>
  </si>
  <si>
    <t>Space Station Live  All-Access Science Pass</t>
  </si>
  <si>
    <t>NASA Commentator Lori Meggs visits the Ames Research Center in California to find out about GeneLab, a NASA project that makes research data from a number of biology experiments done in space available to scientists on the ground, and learns about the supercomputer that stores the research data.
Watch Space Station Live, weekdays at 11am eastern.
http://www.nasa.gov/multimedia/nasatv/index.html</t>
  </si>
  <si>
    <t>WKkwrF6ngxQ</t>
  </si>
  <si>
    <t>https://youtu.be/DlTcqHNHIFM</t>
  </si>
  <si>
    <t>Astronaut at a Glance  Nicole Stott</t>
  </si>
  <si>
    <t>A short autobiographical summary of Nicole Stott.
HD download link: https://archive.org/details/NASAAstronautBiographicalVideos</t>
  </si>
  <si>
    <t>DlTcqHNHIFM</t>
  </si>
  <si>
    <t>https://youtu.be/bziJYKOL-_U</t>
  </si>
  <si>
    <t>Astronaut at a Glance  Sunita Williams</t>
  </si>
  <si>
    <t>A short autobiographical summary of Sunita Williams.
HD download link: https://archive.org/details/NASAAstronautBiographicalVideos</t>
  </si>
  <si>
    <t>bziJYKOL-_U</t>
  </si>
  <si>
    <t>https://youtu.be/ia3IN-c_frg</t>
  </si>
  <si>
    <t>Astronaut at a Glance  Christopher Cassidy</t>
  </si>
  <si>
    <t>A short autobiographical summary of Christopher Cassidy.
HD download link: https://archive.org/details/NASAAstronautBiographicalVideos</t>
  </si>
  <si>
    <t>ia3IN-c_frg</t>
  </si>
  <si>
    <t>https://youtu.be/F8AHLyOKwAU</t>
  </si>
  <si>
    <t>Astronaut at a Glance  Rex J. Walheim</t>
  </si>
  <si>
    <t>A short autobiographical summary of Rex J. Walheim.
HD download link: https://archive.org/details/NASAAstronautBiographicalVideos</t>
  </si>
  <si>
    <t>F8AHLyOKwAU</t>
  </si>
  <si>
    <t>https://youtu.be/MbEjFGeazOo</t>
  </si>
  <si>
    <t>Astronaut at a Glance  Catherine Coleman</t>
  </si>
  <si>
    <t>A short autobiographical summary of Catherine Coleman.
HD download link: https://archive.org/details/NASAAstronautBiographicalVideos</t>
  </si>
  <si>
    <t>MbEjFGeazOo</t>
  </si>
  <si>
    <t>https://youtu.be/PjddUTgHkCo</t>
  </si>
  <si>
    <t>Astronaut at a Glance  Eric Boe</t>
  </si>
  <si>
    <t>A short autobiographical summary of Eric Boe.
HD download link: https://archive.org/details/NASAAstronautBiographicalVideos</t>
  </si>
  <si>
    <t>PjddUTgHkCo</t>
  </si>
  <si>
    <t>https://youtu.be/cOybEqMmmNs</t>
  </si>
  <si>
    <t>Astronaut at a Glance  Thomas Marshburn</t>
  </si>
  <si>
    <t>A short autobiographical summary of Thomas Marshburn.
HD download link: https://archive.org/details/NASAAstronautBiographicalVideos</t>
  </si>
  <si>
    <t>cOybEqMmmNs</t>
  </si>
  <si>
    <t>https://youtu.be/eRHbtQI5S1Y</t>
  </si>
  <si>
    <t>Astronaut at a Glance  Robert L. Behnken</t>
  </si>
  <si>
    <t>A short autobiographical summary of Robert L. Behnken.
HD download link: https://archive.org/details/NASAAstronautBiographicalVideos</t>
  </si>
  <si>
    <t>eRHbtQI5S1Y</t>
  </si>
  <si>
    <t>2015 03 10</t>
  </si>
  <si>
    <t>https://youtu.be/gaqy8L95Ztg</t>
  </si>
  <si>
    <t>Monthly ISS Research Video Update for March 2015</t>
  </si>
  <si>
    <t>See the highlights of recent research conducted on the International Space Station during February.</t>
  </si>
  <si>
    <t>gaqy8L95Ztg</t>
  </si>
  <si>
    <t>2015 03 09</t>
  </si>
  <si>
    <t>https://youtu.be/eb-NpnxFsyU</t>
  </si>
  <si>
    <t>Space Station Live  Launching the Twins Study</t>
  </si>
  <si>
    <t>NASA Commentator Pat Ryan talks with Dr. Craig Kundrot, the deputy chief scientist of NASA’s Human Research Program, about the Twins studies focusing on astronaut Scott Kelly during his upcoming yearlong mission to the International Space Station.  Kelly and his twin brother, former astronaut Mark Kelly, will be subjects for a series of ten experiments in which scientists hope to learn more about how living in the space environment impacts the human body by studying identical twins, one on orbit and one on the ground.
Watch Space Station Live, weekdays at 11am eastern.
http://www.nasa.gov/multimedia/nasatv/index.html</t>
  </si>
  <si>
    <t>eb-NpnxFsyU</t>
  </si>
  <si>
    <t>2015 03 06</t>
  </si>
  <si>
    <t>https://youtu.be/eo7k3Hldkjw</t>
  </si>
  <si>
    <t>Expedition 43 Crew Visits Red Square</t>
  </si>
  <si>
    <t>Expedition 43 Soyuz Commander Gennady Padalka and Flight Engineer Mikhail Kornienko of the Russian Federal Space Agency (Roscosmos), NASA Flight Engineer Scott Kelly and their backups, Alexei Ovchinin and Sergei Volkov of Roscosmos and Jeff Williams of NASA visited the Gagarin Museum where they viewed historic space artifacts at the Gagarin Cosmonaut Training Center in Star City, Russia March 6. They then toured Red Square and the Kremlin in Moscow, where they laid flowers at the Kremlin Wall where Russian space icons are interred. Padalka, Kelly and Kornienko are scheduled to launch March 27 U.S. time (March 28, Kazakh time), in the Soyuz TMA-16M spacecraft to the International Space Station where Kelly and Kornienko will spend a year in space.
For a high-resolution version:
https://archive.org/details/VFExp43150306720p</t>
  </si>
  <si>
    <t>eo7k3Hldkjw</t>
  </si>
  <si>
    <t>https://youtu.be/mD-AlAI4Ils</t>
  </si>
  <si>
    <t>Space Station Live  Opening Up the Neurocognitive Toolkit</t>
  </si>
  <si>
    <t>NASA Public Affairs Officer Dan Huot talks with Dr. Mathias Basner of the University of Pennsylvania Medical School, the principal investigator of the Cognition experiment now underway on the International Space Station.  This experiment measures a broad range of an astronaut’s cognitive performance to try to quantify if and by how much their abilities to think and act clearly are effected by fatigue and stress during long duration spaceflight.
Watch Space Station Live, weekdays at 11am eastern.
http://www.nasa.gov/multimedia/nasatv/index.html</t>
  </si>
  <si>
    <t>mD-AlAI4Ils</t>
  </si>
  <si>
    <t>https://youtu.be/Q-Gn66sZ8Oc</t>
  </si>
  <si>
    <t>Space to Ground  Spacewalks Complete  3 6 15</t>
  </si>
  <si>
    <t>Q-Gn66sZ8Oc</t>
  </si>
  <si>
    <t>2015 03 05</t>
  </si>
  <si>
    <t>https://youtu.be/JfPbcEWP4WI</t>
  </si>
  <si>
    <t>Expedition 43 Crew Undergoes Final Training Outside Moscow 3 5 2015</t>
  </si>
  <si>
    <t>Expedition 43 Soyuz Commander Gennady Padalka and Flight Engineer Mikhail Kornienko of the Russian Federal Space Agency (Roscosmos), NASA Flight Engineer Scott Kelly and their backups, Alexei Ovchinin and Sergei Volkov of Roscosmos and Jeff Williams of NASA conducted final qualification training at the Gagarin Cosmonaut Training Center in Star City, Russia March 4 and 5. Padalka, Kelly and Kornienko are scheduled to launch March 27 U.S. time (March 28 Kazakh time), in the Soyuz TMA-16M spacecraft to the International Space Station where Kelly and Kornienko will spend a year in space. Included is an interview with Emily Nelson, Expedition 46 Lead Flight Director.</t>
  </si>
  <si>
    <t>JfPbcEWP4WI</t>
  </si>
  <si>
    <t>2015 03 04</t>
  </si>
  <si>
    <t>https://youtu.be/zgX920FKeew</t>
  </si>
  <si>
    <t>Space Station Live  Big Space on the Big Screen</t>
  </si>
  <si>
    <t>NASA Commentator Lori Meggs talks with movie producer Toni Myers about her film which is now being shot on board the International Space Station.  The IMAX movie, targeted for release in spring 2016, will offer beautiful views of the Earth from 250 miles up as well as an inside look at life off of Earth.
Watch Space Station Live, weekdays at 11am eastern.
http://www.nasa.gov/multimedia/nasatv/index.html</t>
  </si>
  <si>
    <t>zgX920FKeew</t>
  </si>
  <si>
    <t>2015 02 27</t>
  </si>
  <si>
    <t>https://youtu.be/2AwUnkrqNyw</t>
  </si>
  <si>
    <t>Astronauts Mark Leonard Nimoy’s Passing</t>
  </si>
  <si>
    <t>NASA Astronaut Mike Fincke and ESA European Space Agency Astronaut Luca Parmitano reflect on the inspiration that actor Leonard Nimoy’s character Mr. Spock in the television series Star Trek had on scientists, engineers, space explorers and fans around the globe.
For a high-resolution version:
https://archive.org/details/150227LeonardNiimoy720p</t>
  </si>
  <si>
    <t>2AwUnkrqNyw</t>
  </si>
  <si>
    <t>https://youtu.be/rx_dj8u3Pvg</t>
  </si>
  <si>
    <t>Preparing America for Deep Space Exploration Episode 8  Taking Flight</t>
  </si>
  <si>
    <t>NASA is continuing to make great strides towards sending humans farther than we have ever gone before. Take a look at the work being done by teams all across the nation on NASA’s exploration programs, including the Space Launch System, the Orion Crew Capsule and the Ground Systems Development and Operations Program, as they continue to propel human spaceflight into the next generation.
HD download link: https://archive.org/details/PreparingAmericaForDeepSpaceExplorationEpisode8TakingFlight</t>
  </si>
  <si>
    <t>rx_dj8u3Pvg</t>
  </si>
  <si>
    <t>https://youtu.be/JpBHePRGKek</t>
  </si>
  <si>
    <t>Space Station Live  Go for EVA 31</t>
  </si>
  <si>
    <t>NASA Commentator Pat Ryan talks with Alex Kanelakos, the Increment 42 Lead EVA Officer, about preparations for a spacewalk this Sunday, March 1, by International Space Station Commander Barry Wilmore and Flight Engineer Terry Virts.  The station’s Mission Management Team gave unanimous approval for this third spacewalk in nine days after hearing discussion of all the technical preparations, including analysis of the small amount of water found inside Virts’ helmet at the end of the previous EVA.  The astronauts will lay out cable and antennae for a new rendezvous and navigation system to support dockings to the station by future visiting vehicles, including the new U.S. commercial crew vehicles.
Watch Space Station Live, weekdays at 11 a.m. Eastern.
http://www.nasa.gov/multimedia/nasatv/index.html</t>
  </si>
  <si>
    <t>JpBHePRGKek</t>
  </si>
  <si>
    <t>https://youtu.be/ChrJJZDt14k</t>
  </si>
  <si>
    <t>Space to Ground  Spacewalking Duo   2 27 2015</t>
  </si>
  <si>
    <t>NASA's Space to Ground is your weekly update on what's happening aboard the International Space Station. Got a question or comment? Use #spacetoground to talk to us.
For a high resolution version:
https://archive.org/details/SpaceToGround</t>
  </si>
  <si>
    <t>ChrJJZDt14k</t>
  </si>
  <si>
    <t>2015 02 26</t>
  </si>
  <si>
    <t>https://youtu.be/4VxPDThB1MI</t>
  </si>
  <si>
    <t>Space Station Live  Floatin’ Molten Metal</t>
  </si>
  <si>
    <t>NASA Public Affairs Officer Amiko Kauderer talks with Dr. Douglas Matson of Tufts University about the Electromagnetic Levitator, a piece of physics experiment hardware operating in the station’s Columbus laboratory.  The EML is a furnace that can heat metals to more than 2000 degrees Celsius and then cool them rapidly, and by doing so in a weightless environment—with the samples suspended in mid-air—allows scientists to more clearly observe some of the complex core processes of physics.
Watch Space Station Live, weekdays at 11am eastern.
http://www.nasa.gov/multimedia/nasatv/index.html</t>
  </si>
  <si>
    <t>4VxPDThB1MI</t>
  </si>
  <si>
    <t>2015 02 25</t>
  </si>
  <si>
    <t>https://youtu.be/Yxf6qSZA10o</t>
  </si>
  <si>
    <t>Expedition 42  US EVA %2331 Preview</t>
  </si>
  <si>
    <t>Lead Spacewalk Officer for US EVA #31 Art Thomason narrated this animation that shows the upcoming tasks for the third and final spacewalk planned for Expedition 42. NASA astronauts Barry Wilmore and Terry Virts are preparing the International Space Station for a pair of international docking adapters (IDAs) that will allow future commercial crew vehicles to dock. During US EVA #31, Wilmore and Virts will work to install the Common Communications for Visiting Vehicles (C2V2) system which will aid future visiting commercial crew vehicles during rendezvous and docking. The system consists of two booms with four antennas and three specialized reflectors that will require 400 feet of new cabling to be routed from the center of the station structure out to the two booms.   
For a high-resolution version:
https://archive.org/details/USEVA31720p</t>
  </si>
  <si>
    <t>Yxf6qSZA10o</t>
  </si>
  <si>
    <t>2015 02 24</t>
  </si>
  <si>
    <t>https://youtu.be/ZBdzOjtWNFQ</t>
  </si>
  <si>
    <t>Space Station Live  Preparing SPHERES for Flight</t>
  </si>
  <si>
    <t>NASA Commentator Lori Meggs visits the SPHERES lab at NASA’s Ames Research Center to learn about the bowling ball-shaped satellites that are used on the International Space Station for technology development experiments and educational activities.</t>
  </si>
  <si>
    <t>ZBdzOjtWNFQ</t>
  </si>
  <si>
    <t>2015 02 23</t>
  </si>
  <si>
    <t>https://youtu.be/FXHZE3CiJQs</t>
  </si>
  <si>
    <t>Expedition 42  US EVA %2330 Preview</t>
  </si>
  <si>
    <t>Lead Spacewalk Officer for US EVA #30 Sarah Korona narrated this animation that shows the upcoming tasks for the second of three spacewalks planned for Expedition 42. NASA astronauts Barry Wilmore and Terry Virts are preparing the International Space Station for a pair of international docking adapters (IDAs) that will allow future commercial crew vehicles to dock. During US EVA #30, Wilmore and Virts will work to finish routing more than 360 feet of cables that will provide power and communication capabilities with the new IDAs. They will also lubricate one of Canadarm2’s two latching end effectors, which serve as tip or base for the robotic arm and prepare the Tranquility module for the relocation of the Permanent Multipurpose Module and the new Bigelow Expanded Activity Module later this year. 
For a high-resolution version:
https://archive.org/details/USEVA30720p</t>
  </si>
  <si>
    <t>FXHZE3CiJQs</t>
  </si>
  <si>
    <t>2015 02 20</t>
  </si>
  <si>
    <t>https://youtu.be/Z2qtIfuoyig</t>
  </si>
  <si>
    <t>Space Station Live  The ABCs of IDA</t>
  </si>
  <si>
    <t>NASA Public Affairs Officer Kyle Herring talks with Sean Kelly, NASA Senior Project Manager for the Relocation and IDA, about new hardware coming to the International Space Station this year.  The International Docking Adapters, fabricated at a Boeing facility near the Johnson Space Center in Houston, will be installed on two of the station’s docking ports so future commercial crew vehicles can attach themselves to the station.  The upcoming spacewalks by Exp. 42 crew members Barry Wilmore and Terry Virts will install cabling to supply power to the IDAs when they are installed on the Harmony module.</t>
  </si>
  <si>
    <t>Z2qtIfuoyig</t>
  </si>
  <si>
    <t>https://youtu.be/BNgfHYZNybQ</t>
  </si>
  <si>
    <t>Space Station Live  Countdown to Spacewalk</t>
  </si>
  <si>
    <t>NASA Public Affairs Officer Brandi Dean talks with International Space Station Operations Integration Manager Kenny Todd about the upcoming series of spacewalks to be conducted by U.S. astronauts Barry Wilmore and Terry Virts.  Todd explains the reasoning behind the postponement of the first two spacewalks by one day—to Feb. 21 and Feb. 25—which will begin the preparations for installation later this year of two International Docking Adapters which will permit future commercial crew vehicles to dock to the station.
Watch Space Station Live, weekdays at 11am eastern.
http://www.nasa.gov/multimedia/nasatv/index.html</t>
  </si>
  <si>
    <t>BNgfHYZNybQ</t>
  </si>
  <si>
    <t>https://youtu.be/TSu4ZHe772U</t>
  </si>
  <si>
    <t>Space to Ground  Progress Arrives  2 20 15</t>
  </si>
  <si>
    <t>TSu4ZHe772U</t>
  </si>
  <si>
    <t>2015 02 19</t>
  </si>
  <si>
    <t>https://youtu.be/wlMGcpRo_dQ</t>
  </si>
  <si>
    <t>Expedition 42  US EVA %2329 Animation</t>
  </si>
  <si>
    <t>NASA astronauts Barry Wilmore and Terry Virts are preparing to ready the International Space Station for a pair of international docking adapters (IDAs) that will allow future commercial crew vehicles to dock. During US EVA #29, Wilmore and Virts will work to route more than 360 feet of cables that will provide power and communication capabilities with the new IDAs. Planned to last six and a half hours, it will be the first of three consecutive spacewalks the duo is marked for. 
For a high-resolution version:
https://archive.org/details/USEVA29WithVoiceover150219720p</t>
  </si>
  <si>
    <t>wlMGcpRo_dQ</t>
  </si>
  <si>
    <t>https://youtu.be/fsqLLgAkGuE</t>
  </si>
  <si>
    <t>Space Station Live  A Big Heart</t>
  </si>
  <si>
    <t>NASA Commentator Lori Meggs at the Marshall Space Flight Center speaks with Dr. Ben Levine, co-principal investigator of the Integrated Cardiovascular experiment, about the changes to the hearts of astronauts on the International Space Station and how results of the experiment are changing lives on Earth.</t>
  </si>
  <si>
    <t>fsqLLgAkGuE</t>
  </si>
  <si>
    <t>2015 02 13</t>
  </si>
  <si>
    <t>https://youtu.be/CNsuNsqse4E</t>
  </si>
  <si>
    <t>Space Station Live  Bon Voyage, ATV</t>
  </si>
  <si>
    <t>NASA Public Affairs Officer Nicole Cloutier-Lemasters talks with astronaut Luca Parmitano of ESA (European Space Agency) about the final mission of ESA’s Automated Transfer Vehicle program.  The Georges Lemaitre, the fifth European cargo vehicle to service the International Space Station, is due to undock this weekend and conclude a program that delivered 34 tons of supplies to the station since the first vehicle launched almost seven years ago.  Technology derived from ATV is being incorporated into NASA’s new Orion spacecraft, which will carry astronauts on deep space exploration missions in the future.
Watch Space Station Live, weekdays at 11am eastern.
http://www.nasa.gov/multimedia/nasatv/index.html</t>
  </si>
  <si>
    <t>CNsuNsqse4E</t>
  </si>
  <si>
    <t>https://youtu.be/ajlTxozr9w0</t>
  </si>
  <si>
    <t>Space to Ground  Dragon Returns  2 13 15</t>
  </si>
  <si>
    <t>ajlTxozr9w0</t>
  </si>
  <si>
    <t>2015 02 12</t>
  </si>
  <si>
    <t>https://youtu.be/ChDXe1BqKuY</t>
  </si>
  <si>
    <t>Space Station Live  Prepping for Walking the Walk</t>
  </si>
  <si>
    <t>NASA Public Affairs Officer Nicole Cloutier Lemasters talks with Dr. Sandra Moore, a spacewalk specialist at the Johnson Space Center in Houston, about preparing International Space Station crew members for spacewalks.  Some of those spacewalks don’t take place until months after the astronauts arrive on orbit, so the protocols include training astronauts to perform the type of tasks that are useful on spacewalks in general in addition to working through the entire timeline of a scheduled assembly task.
Watch Space Station Live, weekdays at 11am eastern.
http://www.nasa.gov/multimedia/nasatv/index.html</t>
  </si>
  <si>
    <t>ChDXe1BqKuY</t>
  </si>
  <si>
    <t>2015 02 11</t>
  </si>
  <si>
    <t>https://youtu.be/3oNIadLKexM</t>
  </si>
  <si>
    <t>Space Station Live  Refrigerator on Loan</t>
  </si>
  <si>
    <t>NASA Commentator Lori Meggs at the Marshall Space Flight Center speaks with Lisa Smith, Mission Operations Lab Training Team Lead at Marshall, about how one piece of hardware is educating a group of students as well as NASA ground teams.  The student-built mockup of GLACIER, or General Laboratory Active Cryogenic ISS Experiment Refrigerator, is being used for training at Marshall for the next six months.</t>
  </si>
  <si>
    <t>3oNIadLKexM</t>
  </si>
  <si>
    <t>https://youtu.be/XE3xjwXy1Fg</t>
  </si>
  <si>
    <t>%23SuitUp with NASA for the Journey to Mars</t>
  </si>
  <si>
    <t>In 2015, NASA will be recognizing 50 years of spacewalking, or Extravehicular Activity (EVA).  Throughout the year, NASA will be celebrating accomplishments such as these with a look towards the future.  Spacewalking enhances our exploration capabilities and enables humans to go deeper into the solar system in part by suiting up. Two important dates to remember are March 18, the anniversary of the first spacewalk by Soviet cosmonaut Alexei Leonov, who left his Voskhod-2 vehicle for a 12-minute tethered walk, and June 3, when NASA’s Ed White exited his Gemini-4 capsule using a hand-held oxygen jet gun to push himself from the hatch for a 23-minute tethered spacewalk.  So, #SuitUp with us throughout the year and join us for the #JourneytoMars.
For more information: http://www.nasa.gov/suitup/ 
HD download link: https://archive.org/details/SuitUpWithNASAForTheJourneyToMars</t>
  </si>
  <si>
    <t>XE3xjwXy1Fg</t>
  </si>
  <si>
    <t>2015 02 07</t>
  </si>
  <si>
    <t>https://youtu.be/TOAOh-3et-s</t>
  </si>
  <si>
    <t>StationLIFE  Cardiovascular Health - Feb 2015</t>
  </si>
  <si>
    <t>Every month on StationLIFE, we’ll focus on a scientific area where the International Space Station is conducting groundbreaking research. This month, astronaut Tracy Dyson hosts a focus on cardiovascular health in space. 
- Learn the important habits for maintaining a healthy cardiovascular system, both in space and on the Earth
- Find out how an astronaut’s heart health can even effect their vision
- Hear from a NASA Flight Surgeon on how we work to keep astronauts healthy and fit
- Witness a station technology being used to improve lives right here on the ground
- And much more!         
Be sure to check back every month to see more of how we’re working off the Earth, for the Earth. 
http://www.nasa.gov/station</t>
  </si>
  <si>
    <t>TOAOh-3et-s</t>
  </si>
  <si>
    <t>2015 02 06</t>
  </si>
  <si>
    <t>https://youtu.be/2h4YXhle0Tk</t>
  </si>
  <si>
    <t>Space to Ground  The Cable Guys  2 6 15</t>
  </si>
  <si>
    <t>2h4YXhle0Tk</t>
  </si>
  <si>
    <t>2015 02 05</t>
  </si>
  <si>
    <t>https://youtu.be/NUK5Ei857bM</t>
  </si>
  <si>
    <t>Space Station Live  Still to Come in 2015</t>
  </si>
  <si>
    <t>NASA Commentator Amiko Kauderer talks with Kenny Todd, the International Space Station Mission Operations Integration Manager, about some of the highlights of station activities in the coming months: a series of spacewalks to prepare the station for new docking adapters that will accommodate new commercial crew vehicles, next month’s launch of the station’s first crew embarking on a mission lasting one year, a busy schedule of arriving and departing cargo vehicles, and the upcoming 15th anniversary of the arrival of the station’s first permanent crew.
Watch Space Station Live, weekdays at 11am eastern.
http://www.nasa.gov/multimedia/nasatv/index.html</t>
  </si>
  <si>
    <t>NUK5Ei857bM</t>
  </si>
  <si>
    <t>https://youtu.be/Q99DaXJdErk</t>
  </si>
  <si>
    <t>Monthly ISS Research Video Update for February 2015</t>
  </si>
  <si>
    <t>See the highlights of recent research conducted on the International Space Station during January.</t>
  </si>
  <si>
    <t>Q99DaXJdErk</t>
  </si>
  <si>
    <t>https://youtu.be/iUyu7W0XuX0</t>
  </si>
  <si>
    <t>Aurora Touching Sunrise</t>
  </si>
  <si>
    <t>“#sunrise touches #aurora. All we need now are angels singing” #AstroButch</t>
  </si>
  <si>
    <t>iUyu7W0XuX0</t>
  </si>
  <si>
    <t>2015 02 04</t>
  </si>
  <si>
    <t>https://youtu.be/BXGH4-QqypE</t>
  </si>
  <si>
    <t>Space Station Live  Studying Basic Biology in Space</t>
  </si>
  <si>
    <t>NASA Commentator Lori Meggs at the Marshall Space Flight Center speaks with Ruth Globus, a project scientist at NASA’s Ames Research Center, about her experiment studying rodents in a special enclosure on the International Space Station.  Rodent Research is designed to learn how the space environment effects humans on orbit, as well as gain knowledge about basic biology that could help improve human health on Earth.
Watch Space Station Live, weekdays at 11am eastern.
http://www.nasa.gov/multimedia/nasatv/index.html</t>
  </si>
  <si>
    <t>BXGH4-QqypE</t>
  </si>
  <si>
    <t>2015 02 01</t>
  </si>
  <si>
    <t>https://youtu.be/1fuALI89ebo</t>
  </si>
  <si>
    <t>NFL Super Bowl Message from 260 Miles Above Earth</t>
  </si>
  <si>
    <t>International Space Station Commander Barry "Butch" Wilmore and Flight Engineer Terry Virts take a break from scientific research to watch Super Bowl XLIX from their sky box and orbiting laboratory 260 miles above Earth, but are more excited to one day watch from Mars.</t>
  </si>
  <si>
    <t>1fuALI89ebo</t>
  </si>
  <si>
    <t>2015 01 31</t>
  </si>
  <si>
    <t>https://youtu.be/X5X9GJxaJB4</t>
  </si>
  <si>
    <t xml:space="preserve">Are You an %23ISSFan </t>
  </si>
  <si>
    <t>Thanks for being an ‪#‎ISSFan‬! The International Space Station is getting busier everyday and our social media accounts are growing too. Keep following us and share with your friends the latest mission updates, research news, fascinating facts, briefing events and other activities taking place regularly from space and on Earth.</t>
  </si>
  <si>
    <t>X5X9GJxaJB4</t>
  </si>
  <si>
    <t>2015 01 30</t>
  </si>
  <si>
    <t>https://youtu.be/wXBlbQCdeaQ</t>
  </si>
  <si>
    <t>Space to Ground  Winter Weather  1 30 15</t>
  </si>
  <si>
    <t>wXBlbQCdeaQ</t>
  </si>
  <si>
    <t>2015 01 29</t>
  </si>
  <si>
    <t>https://youtu.be/mAX67AfvD9A</t>
  </si>
  <si>
    <t>ISS Benefits for Humanity  Train Like an Astronaut</t>
  </si>
  <si>
    <t>Developed in cooperation with NASA scientists and fitness professionals working directly with astronauts, the Train Like an Astronaut program is an exciting and engaging way to get the children of today up and moving. The project uses the excitement of exploration to challenge students to set physical fitness and research goals, practice physical fitness activities, and research proper nutrition, enabling each child to become our next generation of fit explorers! 
The International Space Station is a blueprint for global cooperation and scientific advancements, a destination for a growing commercial marketplace in low-Earth orbit and a test bed for demonstrating new technologies.  The space station is the springboard to NASA’s next great leap in exploration, including future missions to an asteroid and Mars.
For more information: http://go.nasa.gov/1zhkuW9
HD download link: https://archive.org/details/ISS-Benefits-For-Humanity_Train-Like-an-Astronaut</t>
  </si>
  <si>
    <t>mAX67AfvD9A</t>
  </si>
  <si>
    <t>2015 01 28</t>
  </si>
  <si>
    <t>https://youtu.be/vf3dBiAm0KE</t>
  </si>
  <si>
    <t>2015 Blizzard – Time-Lapse video from International Space Station</t>
  </si>
  <si>
    <t>NASA Astronaut Terry Virts, aboard the International Space Station, took photos of the 2015 blizzard in the northeast United States during a night pass Wednesday, Jan. 28, as he orbited 260 miles overhead. This time-lapse video shows his track from Washington, D.C., over Baltimore to New York City and Boston. The sequence also shows lightning and a bit of aurora. Virts is a member of the Expedition 42 crew aboard the station, and has been in space since Nov. 23, 2014. http://www.nasa.gov/station/
HD download link: https://archive.org/details/2015Blizzard-Time-LapseVideoFromInternationalSpaceStation</t>
  </si>
  <si>
    <t>vf3dBiAm0KE</t>
  </si>
  <si>
    <t>https://youtu.be/SGdkgV0o8xg</t>
  </si>
  <si>
    <t>Space Station Live  Behind the Glamor of Living in Space</t>
  </si>
  <si>
    <t>NASA Commentator Lori Meggs at the Marshall Space Flight Center speaks with NASA Astronaut Don Pettit, who participated in dozens of in-flight experiments during 370 days off the planet and says some of the very important research is far from glamorous.
Watch Space Station Live, weekdays at 11am eastern.
http://www.nasa.gov/multimedia/nasatv/index.html</t>
  </si>
  <si>
    <t>SGdkgV0o8xg</t>
  </si>
  <si>
    <t>2015 01 27</t>
  </si>
  <si>
    <t>https://youtu.be/yR6VnGvWFks</t>
  </si>
  <si>
    <t>Space Station Live  Fighting Coarsening in Colloids</t>
  </si>
  <si>
    <t>NASA Commentator Pat Ryan talks with Dr. Matthew Lynch of Proctor &amp; Gamble, the principal investigator of the Advanced Colloids Experiment—Microscopy on the International Space Station.  The ACE-M1 experiment is using the weightlessness environment of space to examine coarsening—the tendency of microscopic particles in gels and creams to clump together—with an eye toward improving manufacturing processes so that those consumer products will last longer.
Watch Space Station Live, weekdays at 11am eastern.
http://www.nasa.gov/multimedia/nasatv/index.html</t>
  </si>
  <si>
    <t>yR6VnGvWFks</t>
  </si>
  <si>
    <t>2015 01 26</t>
  </si>
  <si>
    <t>https://youtu.be/df1ck6RjdYc</t>
  </si>
  <si>
    <t>Space Station Live  Micro 5</t>
  </si>
  <si>
    <t>NASA Commentator Brandi Dean talks with Dr. Cheryl Nickerson of Arizona State University about her International Space Station experiment Micro-5, which is designed to improve our understanding of the risk of infections faced by long-duration space travelers.  The experiment was delivered by the recent Dragon cargo ship, which will return experiment samples to Earth for analysis.</t>
  </si>
  <si>
    <t>df1ck6RjdYc</t>
  </si>
  <si>
    <t>2015 01 23</t>
  </si>
  <si>
    <t>https://youtu.be/m-vwZ2ybdMg</t>
  </si>
  <si>
    <t>Space to Ground  CATS Out of The Bag  1 23 15</t>
  </si>
  <si>
    <t>m-vwZ2ybdMg</t>
  </si>
  <si>
    <t>2015 01 22</t>
  </si>
  <si>
    <t>https://youtu.be/V3XxFX7Hhk0</t>
  </si>
  <si>
    <t>Space Station Live  Biochemically Profiling Astronauts in Space</t>
  </si>
  <si>
    <t>NASA Commentator Brandi Dean speaks with Dr. Scott M. Smith of the Biomedical Research and Environmental Sciences Division at NASA’s Johnson Space Center in Houston about his nutritional experiments Biochemical Profile and Pro K which are being conducted with crew members on the International Space Station.  Smith is investigating the different ways in which a body on a long mission in space needs and uses nutrients as compared to one on Earth, with an eye toward ensuring the health of the explorers who will make deep space flights beyond Earth orbit in the years to come.
Watch Space Station Live, weekdays at 11am eastern.
http://www.nasa.gov/multimedia/nasatv/index.html</t>
  </si>
  <si>
    <t>V3XxFX7Hhk0</t>
  </si>
  <si>
    <t>2015 01 21</t>
  </si>
  <si>
    <t>https://youtu.be/y4mVmXeefBw</t>
  </si>
  <si>
    <t>Space Station Live  Immunity in Microgravity</t>
  </si>
  <si>
    <t>NASA Commentator Lori Meggs at the Marshall Space Flight Center speaks with the University of Houston’s Richard Simpson, the principal investigator of the Salivary Markers experiment on the International Space Station, which is studying the immune system in microgravity.</t>
  </si>
  <si>
    <t>y4mVmXeefBw</t>
  </si>
  <si>
    <t>2015 01 20</t>
  </si>
  <si>
    <t>https://youtu.be/ZDGF6OhTtr0</t>
  </si>
  <si>
    <t>Space Station Live  Why Fruit Flies</t>
  </si>
  <si>
    <t>NASA Commentator Brandi Dean talks with Dr. Vic Cooley, the lead increment scientist for the International Space Station’s Expeditions 41 and 42, about the Fruit Fly Lab experiment that arrived on the station on the most recent Dragon cargo ship.  The fruit flies are an animal model for the human immune system for scientists assessing biological impacts of space flight on human beings to prepare for future long-duration exploration missions to deep space. 
Watch Space Station Live, weekdays at 11am eastern.
http://www.nasa.gov/multimedia/nasatv/index.html</t>
  </si>
  <si>
    <t>ZDGF6OhTtr0</t>
  </si>
  <si>
    <t>2015 01 16</t>
  </si>
  <si>
    <t>https://youtu.be/5fkvR9G4HWM</t>
  </si>
  <si>
    <t>Space to Ground  Capturing a Dragon  1 16 15</t>
  </si>
  <si>
    <t>5fkvR9G4HWM</t>
  </si>
  <si>
    <t>2015 01 15</t>
  </si>
  <si>
    <t>https://youtu.be/AcvJfX24KoA</t>
  </si>
  <si>
    <t>Veteran Crew to Fly for One Year</t>
  </si>
  <si>
    <t>The launch of Soyuz TMA-16M will return three veteran space fliers to the International Space Station, with two of them embarking on the first ever yearlong mission to this vehicle.</t>
  </si>
  <si>
    <t>AcvJfX24KoA</t>
  </si>
  <si>
    <t>2015 01 14</t>
  </si>
  <si>
    <t>https://youtu.be/k8eI-D_qQg0</t>
  </si>
  <si>
    <t>ISS Mission Control Console Interview with the Digital Learning Network</t>
  </si>
  <si>
    <t>NASA Public Affairs Officer Dan Huot and Orion Spacesuit Subsystem Manager Richard Watson answer questions from students from Bunker Hill Elementary School, Middletown, DE.  The event was part of a day-long Mission Space Day held at the school, where students are learning about human spaceflight, current work and science experiments performed on the International Space Station, living and working in space, and the space environment.</t>
  </si>
  <si>
    <t>k8eI-D_qQg0</t>
  </si>
  <si>
    <t>https://youtu.be/ZIr7XmJ0WS4</t>
  </si>
  <si>
    <t>Space Station Live  Fruit Fly Lab</t>
  </si>
  <si>
    <t>NASA commentator Lori Meggs talks with Dr. Sharmila Bhattacharya of the NASA Ames Research Center, the principal investigator of the Fruit Fly Lab experiment that arrived at the International Space Station on the recent Dragon cargo ship.  More than 200 fruit flies are part of the research, standing in as models for the human immune system for studies of the biological effects of living in low Earth orbit for extended periods.  Understanding immune system changes on a molecular level with the fruit flies can provide insight into how human immune systems combat pathogens.
Watch Space Station Live, weekdays at 11am eastern.
http://www.nasa.gov/multimedia/nasatv/index.html</t>
  </si>
  <si>
    <t>ZIr7XmJ0WS4</t>
  </si>
  <si>
    <t>https://youtu.be/q6uGES6CVYo</t>
  </si>
  <si>
    <t>Space Station Live  Responding to the Unexpected</t>
  </si>
  <si>
    <t>NASA Public Affairs Officer Dan Huot talks with International Space Station Program Manager Mike Suffredini about the quick response on orbit and in Mission Control Houston to indications of a possible ammonia leak in the U.S. Operating Segment of the vehicle which prompted evacuation of the crew members to the Russian segment of the station.  The latest indications are that there was not an actual leak of ammonia, and flight controllers are working through the procedures to get all systems back to full operation so the crew can return to the USOS of the station.
Watch Space Station Live, weekdays at 11am eastern.
http://www.nasa.gov/multimedia/nasatv/index.html</t>
  </si>
  <si>
    <t>q6uGES6CVYo</t>
  </si>
  <si>
    <t>2015 01 11</t>
  </si>
  <si>
    <t>https://youtu.be/b42WNnKVS2A</t>
  </si>
  <si>
    <t>StationLIFE  Nutrition Jan 2015</t>
  </si>
  <si>
    <t>Every month on StationLIFE, we’ll focus on a scientific area where the International Space Station is conducting groundbreaking research. This month, astronaut Tracy Dyson hosts a focus on nutrition in space. 
- Find out how food is prepared for the astronauts aboard the International Space Station and how it gets there.
- Some of the new technologies enabling food growth in space
- How nutrition plays a role in managing the effects of space travel on the body
- Learn some of the astronaut’s favorite foods
- And much more!         
Be sure to check back every month to see more of how we’re working off the Earth, for the Earth. 
www.nasa.gov/station</t>
  </si>
  <si>
    <t>b42WNnKVS2A</t>
  </si>
  <si>
    <t>2015 01 09</t>
  </si>
  <si>
    <t>https://youtu.be/8G3-3gP6h98</t>
  </si>
  <si>
    <t>Space to Ground   Flying  High  1 9 15</t>
  </si>
  <si>
    <t>8G3-3gP6h98</t>
  </si>
  <si>
    <t>2015 01 07</t>
  </si>
  <si>
    <t>https://youtu.be/Zy5iLOGMiUc</t>
  </si>
  <si>
    <t>Space Station Live  Nutrition in Space</t>
  </si>
  <si>
    <t>NASA Commentator Lori Meggs at the Marshall Space Flight Center speaks with Scott Smith, a nutritional biochemist at the Johnson Space Center, about his Nutrition study on the International Space Station and how the things we’ve learned relate to most everyone on Earth.
Watch Space Station Live, weekdays at 11am eastern.
http://www.nasa.gov/multimedia/nasatv/index.html</t>
  </si>
  <si>
    <t>Zy5iLOGMiUc</t>
  </si>
  <si>
    <t>2014 12 31</t>
  </si>
  <si>
    <t>https://youtu.be/rveJ_STbBjw</t>
  </si>
  <si>
    <t>Astronaut Terry Virts Setting up Robonaut</t>
  </si>
  <si>
    <t>Astronaut Terry Virts Setting up Robonaut
HD download link: https://archive.org/details/Vine106-HighResolution</t>
  </si>
  <si>
    <t>rveJ_STbBjw</t>
  </si>
  <si>
    <t>2014 12 30</t>
  </si>
  <si>
    <t>https://youtu.be/FZ1xCAFasRA</t>
  </si>
  <si>
    <t>Expedition 42 New Year’s Message</t>
  </si>
  <si>
    <t>International Space Station Commander Barry Wilmore and Flight Engineer Terry Virts send Happy New Year wishes to the everyone on Earth as they get ready to start 2015 on orbit.</t>
  </si>
  <si>
    <t>FZ1xCAFasRA</t>
  </si>
  <si>
    <t>2014 12 29</t>
  </si>
  <si>
    <t>https://youtu.be/RkNN1nVLhag</t>
  </si>
  <si>
    <t>Birthday Wishes to Space Station Commander Wilmore</t>
  </si>
  <si>
    <t>Flight Director Chris Edelen and the Houston Flight Control Team gathered in Mission Control on Monday, Dec. 29, to wish Space Station Commander Barry “Butch” Wilmore a happy fifty-second birthday in space.</t>
  </si>
  <si>
    <t>RkNN1nVLhag</t>
  </si>
  <si>
    <t>2014 12 26</t>
  </si>
  <si>
    <t>https://youtu.be/_Oo9Hm6p3cI</t>
  </si>
  <si>
    <t>Space to Ground  2014 Off The Earth, For The Earth  12 26 2014</t>
  </si>
  <si>
    <t>_Oo9Hm6p3cI</t>
  </si>
  <si>
    <t>2014 12 23</t>
  </si>
  <si>
    <t>https://youtu.be/iIcMvn1g-NA</t>
  </si>
  <si>
    <t>Space Station Live  This is Your Brain on Microgravity</t>
  </si>
  <si>
    <t>NASA Public Affairs Officer Brandi Dean speaks with Dr. Rachael Seidler, the principal investigator of the NeuroMapping experiment, which had its first data takes on orbit today.  Through sensory, motor and cognitive testing of International Space Station crew members before, during and after a flight, NeuroMapping is looking into whether and how long-duration exposure to the spaceflight environment changes brain structure and function.</t>
  </si>
  <si>
    <t>iIcMvn1g-NA</t>
  </si>
  <si>
    <t>https://youtu.be/0zLp1bINKW4</t>
  </si>
  <si>
    <t>93 Million Miles</t>
  </si>
  <si>
    <t>We are off the earth, for the earth. NASA and its international partners have successfully been living continuously on the International Space Station (ISS) for over 14 years.  This “Home” in space gives us a tremendous view of earth our home.  During 6 month missions to space, Astronauts and Cosmonauts are able to communicate with their families in their homes.  
As NASA begins to explore beyond low earth orbit, “Home” will take on a whole new meaning.  Home is inside of you, whether its mars, the ISS, earth, or where you hang your hat (space helmet). This video is set to the song “93 Million Miles” by Jason Mraz.  Intermixed are selections of video that show the beauty of planet Earth (home) as seen from the space station and scenes of astronauts and cosmonauts performing science and day-to-day activities.</t>
  </si>
  <si>
    <t>0zLp1bINKW4</t>
  </si>
  <si>
    <t>2014 12 22</t>
  </si>
  <si>
    <t>https://youtu.be/W8RtvWccU-E</t>
  </si>
  <si>
    <t>Space Station Astronauts Say Merry Christmas and Thank You to the Troops</t>
  </si>
  <si>
    <t>Space Station astronauts Capt. Barry Wilmore and Col. Terry Virts send a message to the troops wishing them a Merry Christmas and thanking them for their service.</t>
  </si>
  <si>
    <t>W8RtvWccU-E</t>
  </si>
  <si>
    <t>2014 12 19</t>
  </si>
  <si>
    <t>https://youtu.be/MtWzuZ6WZ8E</t>
  </si>
  <si>
    <t>Astronaut’s-Eye View of NASA’s Orion Spacecraft Re-entry</t>
  </si>
  <si>
    <t>New video recorded during NASA’s Orion return through Earth’s atmosphere provides viewers a taste of what the vehicle endured as it returned through Earth’s atmosphere during its Dec. 5 flight test.
The video begins 10 minutes before Orion's 11:29 a.m. EST splashdown in the Pacific Ocean, just as the spacecraft was beginning to experience Earth's atmosphere. Peak heating from the friction caused by the atmosphere rubbing against Orion's heat shield comes less than two minutes later, and the footage shows the plasma created by the interaction change from white to yellow to lavender to magenta as the temperature increases. The video goes on to show the deployment of Orion’s parachutes and the final splash as it touches down.</t>
  </si>
  <si>
    <t>MtWzuZ6WZ8E</t>
  </si>
  <si>
    <t>https://youtu.be/UAApvdPJAcY</t>
  </si>
  <si>
    <t>Space to Ground  Vantage Point  12 19 14</t>
  </si>
  <si>
    <t>UAApvdPJAcY</t>
  </si>
  <si>
    <t>2014 12 17</t>
  </si>
  <si>
    <t>https://youtu.be/PuF6x6S9D28</t>
  </si>
  <si>
    <t>Space Station Live  Untangling Alzheimer’s Proteins on Orbit</t>
  </si>
  <si>
    <t>NASA Public Affairs Officer Brandi Dean speaks with Dr. Sam Durrance of the Florida Institute of Technology about his space station research NanoRacks Self Assembly in Biology and Origins of Life, launching soon on the next Dragon cargo ship.  The experiment will grow protein fibers implicated in Alzheimer’s disease for comparison with fibers grown on Earth to improve our understanding of neurodegenerative diseases and potentially lead to the development of new treatment methods.</t>
  </si>
  <si>
    <t>PuF6x6S9D28</t>
  </si>
  <si>
    <t>https://youtu.be/Z3MGF3ASGU0</t>
  </si>
  <si>
    <t>Space Station Live  ISS  The Research Possibilities are Endless</t>
  </si>
  <si>
    <t>NASA Commentator Lori Meggs at the Marshall Space Flight Center speaks with NASA Chief Scientist Ellen Stofan about research on the International Space Station and why the orbiting laboratory is so valuable.</t>
  </si>
  <si>
    <t>Z3MGF3ASGU0</t>
  </si>
  <si>
    <t>2014 12 15</t>
  </si>
  <si>
    <t>https://youtu.be/Kqj81JN84Es</t>
  </si>
  <si>
    <t>Johnson Space Center 2014 Highlights</t>
  </si>
  <si>
    <t>2014 was quite a year for NASA’s Johnson Space Center. Some highlights include: Support to four crews doing research on the International Space Station, the first Vine video was sent from space by Astronaut Reid Wiseman, the start of a new weekly web video look at what’s happening on the station called “Space to Ground,” a National Geographic special called “Live from Space” hosted from Mission Control, the “Rise of Independence” shuttle replica atop the Shuttle Carrier Aircraft at Space Center Houston, the first 3-D print from space, NASA Feeds Families donations, and capping the year off, the successful first test flight for Orion, NASA’s human spacecraft for future exploration.
Follow NASA’s Johnson Space Center on social media:
https://twitter.com/NASA_Johnson
https://www.facebook.com/NASAJSC?ref=br_tf
http://instagram.com/nasajohnson</t>
  </si>
  <si>
    <t>Kqj81JN84Es</t>
  </si>
  <si>
    <t>2014 12 12</t>
  </si>
  <si>
    <t>https://youtu.be/LCbRxZrlGso</t>
  </si>
  <si>
    <t>Space Station Live  Yankee Clipper Ready to Sail Again</t>
  </si>
  <si>
    <t>NASA Public Affairs Officer Nicole Cloutier-Lemasters talks with Dr. Jeff Goldstein, director of the Student Spaceflight Experiments Program, about the effort to prepare the student experiment payload known as Yankee Clipper II for re-flight to the International Space Station on the Dragon supply ship launching later this month.  The original set of experiments was lost on a Cygnus cargo vehicle in October but reconstituted in a matter of weeks for a second launch attempt.
Watch Space Station Live, weekdays at 11am eastern.
http://www.nasa.gov/multimedia/nasatv/index.html</t>
  </si>
  <si>
    <t>LCbRxZrlGso</t>
  </si>
  <si>
    <t>https://youtu.be/xFPm4G3jjwc</t>
  </si>
  <si>
    <t>Space to Ground  Spacesuit Tune Up -- 12 12 14</t>
  </si>
  <si>
    <t>xFPm4G3jjwc</t>
  </si>
  <si>
    <t>2014 12 10</t>
  </si>
  <si>
    <t>https://youtu.be/tmj3z-P-V9Y</t>
  </si>
  <si>
    <t>Space Station Live  Improving Everyday Products on Earth through the ISS</t>
  </si>
  <si>
    <t>NASA Commentator Lori Meggs at the Marshall Space Flight Center speaks with Matthew Lynch, the principal scientist at Procter &amp; Gamble about colloidal research on the International Space Station and how it’s helping to improve products we use every day here on Earth.
Watch Space Station Live, weekdays at 11am eastern.
http://www.nasa.gov/multimedia/nasatv/index.html</t>
  </si>
  <si>
    <t>tmj3z-P-V9Y</t>
  </si>
  <si>
    <t>2014 12 09</t>
  </si>
  <si>
    <t>https://youtu.be/TMQw8u4Ys0c</t>
  </si>
  <si>
    <t>Orion’s first flight test was a critical step on our journey to Mars, but it wasn’t the final step. NASA is building the systems we need to allow humans to explore beyond low-Earth orbit. 
HD download link: https://archive.org/details/ExploringBeyond</t>
  </si>
  <si>
    <t>TMQw8u4Ys0c</t>
  </si>
  <si>
    <t>https://youtu.be/6-x4Z8JyKY4</t>
  </si>
  <si>
    <t>Space Station Live  Aerosols in a CATS Eye</t>
  </si>
  <si>
    <t>NASA Public Affairs Officer Nicole Cloutier-Lemasters talks with Dr. Matthew McGill and Dr. John Yorks of NASA’s Goddard Space Flight Center in Greenbelt, MD, about CATS (Cloud-Aerosol Transport System), their aerosol-measuring remote sensing unit that’s flying to the International Space Station on a cargo vehicle next week.  CATS uses a LiDAR system to provide a better understanding of particulate coverage in the atmosphere for scientists modeling Earth’s climate feedback processes.
Watch Space Station Live, weekdays at 11am eastern.
http://www.nasa.gov/multimedia/nasatv/index.html</t>
  </si>
  <si>
    <t>6-x4Z8JyKY4</t>
  </si>
  <si>
    <t>2014 12 08</t>
  </si>
  <si>
    <t>https://youtu.be/_lGw0MXkIss</t>
  </si>
  <si>
    <t>Monthly ISS Research Video Update for November 2014</t>
  </si>
  <si>
    <t>Highlights of recent research conducted on the International Space Station.</t>
  </si>
  <si>
    <t>_lGw0MXkIss</t>
  </si>
  <si>
    <t>2014 12 05</t>
  </si>
  <si>
    <t>https://youtu.be/8JE8Nk96wWE</t>
  </si>
  <si>
    <t>Space to Ground  Out for a Spin  12 5 14</t>
  </si>
  <si>
    <t>8JE8Nk96wWE</t>
  </si>
  <si>
    <t>2014 12 03</t>
  </si>
  <si>
    <t>https://youtu.be/jPqVGsilZGQ</t>
  </si>
  <si>
    <t>Orion  Versatility</t>
  </si>
  <si>
    <t>Orion is designed to take astronauts to multiple deep space destinations. Engineer Nujoud Merancy explains how it manages to be so versatile in this video. 
HD download link: https://archive.org/details/Orion_Versatility</t>
  </si>
  <si>
    <t>jPqVGsilZGQ</t>
  </si>
  <si>
    <t>https://youtu.be/MyNutgR-BJo</t>
  </si>
  <si>
    <t>Sesame Street Characters Send Mementos to Launch Onboard Orion</t>
  </si>
  <si>
    <t>Orion will be carrying some special items into space on its Dec. 4 flight test, and Sesame Street helped with the packing list!
For more information, visit http://www.nasa.gov/content/sesame-street-characters-on-board-with-orion/#.VHYtwDHF98E.</t>
  </si>
  <si>
    <t>MyNutgR-BJo</t>
  </si>
  <si>
    <t>https://youtu.be/JlM3kfxEVdg</t>
  </si>
  <si>
    <t>Space Station Live  One Day to Orion</t>
  </si>
  <si>
    <t>NASA Public Affairs Officer Brandi Dean talks with Nujoud Merancy, the mission planning and analysis lead for NASA’s next human spacecraft, about the plans for Orion’s first test flight on Dec. 4, 2014, and the data expected to be obtained about the performance of all the spacecraft systems—especially the heat shield and parachute systems—during the four and a half hour flight.</t>
  </si>
  <si>
    <t>JlM3kfxEVdg</t>
  </si>
  <si>
    <t>2014 12 02</t>
  </si>
  <si>
    <t>https://youtu.be/rQ9vJ5BCjUc</t>
  </si>
  <si>
    <t>Space Station Live  Cyclops Hits the Target</t>
  </si>
  <si>
    <t>NASA TV commentator Kyle Herring talks with Daniel Newswander, NASA’s Cyclops Project Manager, about the inaugural use of the Cyclops small satellite launcher, which successfully deployed SpinSat, a Naval Research Laboratory satellite, from the International Space Station on Nov. 28, 2014.</t>
  </si>
  <si>
    <t>rQ9vJ5BCjUc</t>
  </si>
  <si>
    <t>2014 12 01</t>
  </si>
  <si>
    <t>https://youtu.be/cM4qKfNuFX4</t>
  </si>
  <si>
    <t>Orion  Cockpit</t>
  </si>
  <si>
    <t>Orion’s December flight test will be uncrewed, but the spacecraft is meant to carry people. Astronaut Lee Morin shows off the cockpit future Orion crews will use in this video. HD Download link: https://archive.org/details/Orion_Cockpit</t>
  </si>
  <si>
    <t>cM4qKfNuFX4</t>
  </si>
  <si>
    <t>2014 11 28</t>
  </si>
  <si>
    <t>https://youtu.be/QteZk_WsJ1I</t>
  </si>
  <si>
    <t>Orion  I’m on Board – Walter E. Jones</t>
  </si>
  <si>
    <t>Orion’s flight test on Dec. 4 will be a critical step in our journey to explore deep space – and Walter E. Jones is “on board!” HD Download link: https://archive.org/details/OrionImOnBoard-WalterE.Jones</t>
  </si>
  <si>
    <t>QteZk_WsJ1I</t>
  </si>
  <si>
    <t>https://youtu.be/G62Mnt9bmcI</t>
  </si>
  <si>
    <t>Space to Ground  ISS Thanksgiving  11 28 14</t>
  </si>
  <si>
    <t>G62Mnt9bmcI</t>
  </si>
  <si>
    <t>2014 11 27</t>
  </si>
  <si>
    <t>https://youtu.be/foFz0aQUYps</t>
  </si>
  <si>
    <t>O is for ...</t>
  </si>
  <si>
    <t>O is for Orbit -- and Orion! -- as astronaut Butch Wilmore explains from onboard the International Space Station. Orion will join the space station in space for two orbits around Earth on Dec. 4.
For more information, visit www.nasa.gov/orion.</t>
  </si>
  <si>
    <t>foFz0aQUYps</t>
  </si>
  <si>
    <t>2014 11 26</t>
  </si>
  <si>
    <t>https://youtu.be/SA-lxPubG8k</t>
  </si>
  <si>
    <t>Space Station Live  Thanksgiving Feast on Orbit</t>
  </si>
  <si>
    <t>NASA Commentator Pat Ryan talks with International Space Station Food System Manager Vickie Kloeris about the types of food that are prepared for crews on orbit and the selections available for the Expedition 42 Thanksgiving celebration.
Watch Space Station Live, weekdays at 11am eastern.
http://www.nasa.gov/multimedia/nasatv/index.html</t>
  </si>
  <si>
    <t>SA-lxPubG8k</t>
  </si>
  <si>
    <t>https://youtu.be/2XGjhl1c6fg</t>
  </si>
  <si>
    <t>Space Station Live: A Pain in the Back
NASA Commentator Lori Meggs at the Marshall Space Flight Center speaks with Jojo Sayson, a co-investigator for the Intervertebral Disc Damage study, about research underway to understand the causes of back pain suffered by crew members while working in weightlessness on the International Space Station.</t>
  </si>
  <si>
    <t>2XGjhl1c6fg</t>
  </si>
  <si>
    <t>https://youtu.be/qZxXh0Yh5gI</t>
  </si>
  <si>
    <t>Orion’s First Flight Test on NASA TV</t>
  </si>
  <si>
    <t>Watch Orion’s first fight test unfold on NASA Television December 4, 2014. Orion is in the final stages of preparation for the uncrewed flight test that will take it 3,600 miles above Earth on a 4.5-hour mission to test many of the systems necessary for future human missions into deep space. After two orbits, Orion will reenter Earth’s atmosphere at almost 20,000 miles per hour, and reach temperatures near 4,000 degrees Fahrenheit before its parachute system deploys to slow the spacecraft for a splashdown in the Pacific Ocean. 
HD download link: https://archive.org/details/OrionsFirstFlightTestOnNASATV</t>
  </si>
  <si>
    <t>qZxXh0Yh5gI</t>
  </si>
  <si>
    <t>https://youtu.be/wLZyqBKhDPo</t>
  </si>
  <si>
    <t>Orion Rolls to the Launch Pad</t>
  </si>
  <si>
    <t>NASA’s Orion spacecraft left the Launch Abort System Facility, where assembly on the vehicle was completed in October, and began making its way to Space Launch Complex 37 at Cape Canaveral Air Force Station on Tuesday, Nov. 11. It’s scheduled to launch from there atop of a United Launch Alliance Delta IV Heavy rocket on December 4 for a 4.5-hour, two-orbit flight that will test its critical systems.</t>
  </si>
  <si>
    <t>wLZyqBKhDPo</t>
  </si>
  <si>
    <t>2014 11 25</t>
  </si>
  <si>
    <t>https://youtu.be/fAMqb77Dmzk</t>
  </si>
  <si>
    <t>Orion  Parachutes</t>
  </si>
  <si>
    <t>Orion’s parachutes slow the spacecraft down from 300 mph to 20 mph before splashdown. Engineer Tara Radke explains how they work in this video.
HD Download Link: https://archive.org/details/Orion_Parachutes</t>
  </si>
  <si>
    <t>fAMqb77Dmzk</t>
  </si>
  <si>
    <t>2014 11 24</t>
  </si>
  <si>
    <t>https://youtu.be/KmSRAh7IElk</t>
  </si>
  <si>
    <t>Expedition 42 Crew Profile</t>
  </si>
  <si>
    <t>International Space Station Exp. 42 crew members Barry Wilmore, Alexander Samokutyaev, Elena Serova, Terry Virts, Anton Shkaplerov and Samantha Cristoforetti discuss their personal histories and their reasons for dedicating their careers to space exploration.</t>
  </si>
  <si>
    <t>KmSRAh7IElk</t>
  </si>
  <si>
    <t>https://youtu.be/5tguE8BEOCI</t>
  </si>
  <si>
    <t>Sesame Street is  On Board  with Orion</t>
  </si>
  <si>
    <t>Elmo is excited to see Orion launch on its first flight December 4th!</t>
  </si>
  <si>
    <t>5tguE8BEOCI</t>
  </si>
  <si>
    <t>https://youtu.be/ieR7yhigASg</t>
  </si>
  <si>
    <t>NASA astronaut and Expedition 42 commander Barry “Butch” Wilmore delivers a special Thanksgiving message from the International 
https://archive.org/details/Expedition42ThanksgivingMessage720p</t>
  </si>
  <si>
    <t>ieR7yhigASg</t>
  </si>
  <si>
    <t>https://youtu.be/5nSH4KzsJ2I</t>
  </si>
  <si>
    <t>New Crew Welcomed Aboard Space Station</t>
  </si>
  <si>
    <t>After docking their Soyuz TMA-15M spacecraft to the Rassvet module of the International Space Station, Expedition 42/43 Soyuz Commander Anton Shkaplerov of the Russian Federal Space Agency (Roscosmos), NASA Flight Engineer Terry Virts and Flight Engineer Samantha Cristoforetti of the European Space Agency opened hatches and were greeted by station Commander Barry Wilmore of NASA and Flight Engineers Alexander Samokutyaev and Elena Serova of Roscosmos.</t>
  </si>
  <si>
    <t>5nSH4KzsJ2I</t>
  </si>
  <si>
    <t>https://youtu.be/inJ18-aK-3Q</t>
  </si>
  <si>
    <t>Expedition 42 43 Crew Docks to the Space Station</t>
  </si>
  <si>
    <t>After launching earlier in the day in their Soyuz TMA-15M spacecraft from the Baikonur Cosmodrome in Kazakhstan, Expedition 42/43 Soyuz Commander Anton Shkaplerov of the Russian Federal Space Agency (Roscosmos), NASA Flight Engineer Terry Virts and Flight Engineer Samantha Cristoforetti of the European Space Agency arrived at the International Space Station on November 24 following a four-orbit, six-hour rendezvous. They docked their craft to the Rassvet module on the Russian segment of the complex.</t>
  </si>
  <si>
    <t>inJ18-aK-3Q</t>
  </si>
  <si>
    <t>2014 11 23</t>
  </si>
  <si>
    <t>https://youtu.be/UxlWfjjNUcE</t>
  </si>
  <si>
    <t>Expedition 42 43 Launches to the International Space Station</t>
  </si>
  <si>
    <t>Expedition 42/43 Soyuz Commander Anton Shkaplerov of the Russian Federal Space Agency (Roscosmos), NASA Flight Engineer Terry Virts and Flight Engineer Samantha Cristoforetti of the European Space Agency launched on the Russian Soyuz TMA-15M spacecraft on November 24, Kazakh time from the Baikonur Cosmodrome in Kazakhstan to begin a six-hour journey to the International Space Station.</t>
  </si>
  <si>
    <t>UxlWfjjNUcE</t>
  </si>
  <si>
    <t>2014 11 21</t>
  </si>
  <si>
    <t>https://youtu.be/1WHdQ7QOeiE</t>
  </si>
  <si>
    <t>Space Station Live - Ready to Launch</t>
  </si>
  <si>
    <t>Just days before his scheduled launch from the Baikonur Cosmodrome, NASA Astronaut Terry Virts talks with public affairs officer Brandi Dean about the training for his flight, launch day activities, and what he’s looking forward to during his six-month mission to the International Space Station.  The interview was conducted Nov. 5, 2014, from Star City, Russia.</t>
  </si>
  <si>
    <t>1WHdQ7QOeiE</t>
  </si>
  <si>
    <t>https://youtu.be/18aES_kmF9k</t>
  </si>
  <si>
    <t>Expedition 42 43  Soyuz Moved To Launchpad  November 21, 2014</t>
  </si>
  <si>
    <t>The Soyuz TMA-15M spacecraft and its booster were moved to the launch pad at the Baikonur Cosmodrome in Kazakhstan on a railcar Nov. 21 for final preparations before launch to the International Space Station on Nov. 24, Kazakh time. The Soyuz TMA-15M will carry Expedition 42/43 Soyuz Commander Anton Shkaplerov of the Russian Federal Space Agency, NASA Flight Engineer Terry Virts and Flight Engineer Samantha Cristoforetti of the European Space Agency to the space station for a 5 ½-month mission.</t>
  </si>
  <si>
    <t>18aES_kmF9k</t>
  </si>
  <si>
    <t>https://youtu.be/zMYkjggNvC0</t>
  </si>
  <si>
    <t>Space to Ground  Space Bound  11 21 14</t>
  </si>
  <si>
    <t>zMYkjggNvC0</t>
  </si>
  <si>
    <t>2014 11 20</t>
  </si>
  <si>
    <t>https://youtu.be/Me0_BFPoJl4</t>
  </si>
  <si>
    <t>The Expedition 42 43 Soyuz Spacecraft and Crew Are Prepared for Launch</t>
  </si>
  <si>
    <t>At the Baikonur Cosmodrome in Kazakhstan, Expedition 42/43 Soyuz Commander Anton Shkaplerov of the Russian Federal Space Agency (Roscosmos), NASA Flight Engineer Terry Virts and Flight Engineer Samantha Cristoforetti of the European Space Agency, climbed aboard their Soyuz TMA-15M spacecraft in the Integration Facility November 19 for a final “fit check” dress rehearsal, the day before the Soyuz was mated to its booster November 20 in advance of its move to the launch pad. The trio is preparing for liftoff on November 24, Kazakh time, for a five and a half month mission on the International Space Station.</t>
  </si>
  <si>
    <t>Me0_BFPoJl4</t>
  </si>
  <si>
    <t>2014 11 19</t>
  </si>
  <si>
    <t>https://youtu.be/nRahIBmnHXY</t>
  </si>
  <si>
    <t>New Crew, New Plans for the International Space Station</t>
  </si>
  <si>
    <t>A quick look at the immediate plans for the mission on the International Space Station, starting with the arrival of the new crew members: NASA astronaut Terry Virts, European Space Agency astronaut Samantha Cristoforetti, and cosmonaut Anton Shkaplerov.  The flight plan, designed to learn how to help people safely live and work in space, supports the effort to send astronauts to an asteroid and to Mars in the coming years.  It includes the early steps of reconfiguring station modules to accommodate future commercial crew vehicles, doing experiments that provide benefits to people on Earth today, including research into 3-D printing, fire suppression, and protecting astronauts’ visual acuity, and the beginning of the first yearlong mission in this station’s history.</t>
  </si>
  <si>
    <t>nRahIBmnHXY</t>
  </si>
  <si>
    <t>https://youtu.be/XH4VVpfr9Bs</t>
  </si>
  <si>
    <t>Orion  Heat Shield</t>
  </si>
  <si>
    <t>Orion’s heat shield has to endure temperatures near 4000 degrees Fahrenheit in its December flight test. Engineer Molly White explains how it works in this video. 
HD Download link: https://archive.org/details/Orion_Heat-Shield</t>
  </si>
  <si>
    <t>XH4VVpfr9Bs</t>
  </si>
  <si>
    <t>2014 11 18</t>
  </si>
  <si>
    <t>https://youtu.be/ykVJQnFrcro</t>
  </si>
  <si>
    <t>Expedition 42 43 Crew Prepares for Launch in Kazakhstan</t>
  </si>
  <si>
    <t>At the Baikonur Cosmodrome in Kazakhstan, Expedition 42/43 Soyuz Commander Anton Shkaplerov of the Russian Federal Space Agency (Roscosmos), NASA Flight Engineer Terry Virts and Flight Engineer Samantha Cristoforetti of the European Space Agency participated in a variety of activities from November 11-18 as they prepared for their launch to the International Space Station on November 24, Kazakh time, in the Soyuz TMA-15M spacecraft.</t>
  </si>
  <si>
    <t>ykVJQnFrcro</t>
  </si>
  <si>
    <t>2014 11 17</t>
  </si>
  <si>
    <t>https://youtu.be/6BAy2fiBElU</t>
  </si>
  <si>
    <t>Space Station Live  Setting up a Machine Shop in Space</t>
  </si>
  <si>
    <t>Niki Werkheiser, NASA’s 3-D Printing Project Manager, talks with Marshall Space Flight Center’s Bill Hubscher about today’s on-orbit set-up and first test run of the International Space Station’s 3-D Printer, a technology demonstration that is the first step toward establishing an on-demand machine shop in space to manufacture spare parts, a critical technology to enable future exploration of deep space.
Watch Space Station Live, weekdays at 11am eastern.
http://www.nasa.gov/multimedia/nasatv/index.html</t>
  </si>
  <si>
    <t>6BAy2fiBElU</t>
  </si>
  <si>
    <t>2014 11 14</t>
  </si>
  <si>
    <t>https://youtu.be/p5ag-Uj9C7U</t>
  </si>
  <si>
    <t>Space Station Live  Designing the Next Space Coffee Cup</t>
  </si>
  <si>
    <t>Capillary Flow Experiment research assistant Andrew Wollman of Portland State University, Portland, OR, talks with NASA Public Affairs Officer Amiko Kauderer about the physics experiment on the International Space Station that is breaking new ground understanding how fluids flow in the weightlessness of space, leading to the design of space systems to control the flow of everything from coffee to rocket fuel.
Watch Space Station Live, weekdays at 11am eastern.
http://www.nasa.gov/multimedia/nasatv/index.html</t>
  </si>
  <si>
    <t>p5ag-Uj9C7U</t>
  </si>
  <si>
    <t>https://youtu.be/qpfo302v45Y</t>
  </si>
  <si>
    <t>Orion  I'm On Board - Lou Ferrigno</t>
  </si>
  <si>
    <t>Get “on board” with Orion … or risk making Lou Ferrigno angry!
HD Download link: https://archive.org/details/Orion-Im-On-Board_Lou_Ferrigno</t>
  </si>
  <si>
    <t>qpfo302v45Y</t>
  </si>
  <si>
    <t>https://youtu.be/ymxhMZF7Gqs</t>
  </si>
  <si>
    <t>Space to Ground  Touchdown  11 14 14</t>
  </si>
  <si>
    <t>NASA's Space to Ground is your weekly update on what's happening aboard the International Space Station. Got a question or comment? Use #spacetoground to talk to us.
3-D Water Bubble Video - go.nasa.gov/113c87O
2-D Water Bubble Video - go.nasa.gov/113cR92</t>
  </si>
  <si>
    <t>ymxhMZF7Gqs</t>
  </si>
  <si>
    <t>2014 11 13</t>
  </si>
  <si>
    <t>https://youtu.be/LlRvaqULWCU</t>
  </si>
  <si>
    <t>Station Flight Director talks with Pennsylvania Students</t>
  </si>
  <si>
    <t>International Space Station Flight Director Heather Rarick joined NASA Public Affairs Officer Nicole Cloutier-Lemasters to answer questions about the station and space exploration from students at East Stroudsburg High School in East Stroudsburg, PA.  The event was arranged through the Virtual Technology Studio at the NASA/Johnson Space Center in Houston.</t>
  </si>
  <si>
    <t>LlRvaqULWCU</t>
  </si>
  <si>
    <t>https://youtu.be/k_nNirN_sPA</t>
  </si>
  <si>
    <t>Flight Director Talks Exploration with South Carolina Students</t>
  </si>
  <si>
    <t>International Space Station Flight Director Chris Edelen joined NASA Public Affairs Officer Kyle Herring in the station flight control room in Houston to talk about station activities and space exploration with fifth graders from the Forest Lake Technology Magnet School in Columbia, SC.  The event was arranged through the NASA/Johnson Space Center Virtual Technology Studios.</t>
  </si>
  <si>
    <t>k_nNirN_sPA</t>
  </si>
  <si>
    <t>https://youtu.be/UaGOwk4n7S4</t>
  </si>
  <si>
    <t>Expedition 42 43 Crew Depart For Kazakhstan November 13, 2014</t>
  </si>
  <si>
    <t>Expedition 42/43 Soyuz Commander Anton Shkaplerov of the Russian Federal Space Agency (Roscosmos), NASA Flight Engineer Terry Virts and Flight Engineer Samantha Cristoforetti of the European Space Agency and their backups, Oleg Kononenko of Roscosmos, Kjell Lindgren of NASA and Kimiya Yui of the Japan Aerospace Exploration Agency participated in traditional ceremonies at the Gagarin Cosmonaut Training Center in Star City, Russia, outside Moscow on Nov. 11. Afterward, the prime crew departed for the Baikonur Cosmodrome in Kazakhstan and the backup crew departed a day later, to complete their training for the launch of Shkaplerov, Virts and Cristoforetti to the International Space Station in the Soyuz TMA-15M spacecraft on Nov. 24, Kazakh time.</t>
  </si>
  <si>
    <t>UaGOwk4n7S4</t>
  </si>
  <si>
    <t>2014 11 12</t>
  </si>
  <si>
    <t>https://youtu.be/VBAeI136jZk</t>
  </si>
  <si>
    <t>Expedition 41 Flight Engineer Reid Wiseman Returns Home Nov. 11, 2014</t>
  </si>
  <si>
    <t>NASA SPACE STATION CREW MEMBER RETURNS HOME
After 165 days in space and a 24-hour journey from Kazakhstan, Expedition 41 Flight Engineer Reid Wiseman of NASA returned to Ellington Field in Houston aboard a NASA plane Nov. 10. Wiseman was greeted by family members and Johnson Space Center personnel after a mission that spanned more than 70 million miles and more than 2,600 orbits of the Earth.</t>
  </si>
  <si>
    <t>VBAeI136jZk</t>
  </si>
  <si>
    <t>2014 11 10</t>
  </si>
  <si>
    <t>https://youtu.be/ULFZAjni62s</t>
  </si>
  <si>
    <t>Expedition 41 Crew Receives a Warm Welcome in Kazakhstan and Russia</t>
  </si>
  <si>
    <t>Expedition 41 Commander Max Suraev of the Russian Federal Space Agency (Roscosmos), Flight Engineer Reid Wiseman of NASA and Flight Engineer Alexander Gerst of the European Space Agency were greeted in a traditional ceremony at the airport in Kustanai, Kazakhstan, on Nov. 10, a few hours after landing in their Soyuz TMA-13M spacecraft in Kazakhstan near the town of Arkalyk. After the ceremony, the crew split up, with Suraev returning to his training base in Star City, Russia, and Wiseman and Gerst returning to the Johnson Space Center in Houston and to Europe, respectively. The trio completed 165 days in space following their launch in late May. The footage includes an interview conducted with Wiseman before his return trip to Houston.</t>
  </si>
  <si>
    <t>ULFZAjni62s</t>
  </si>
  <si>
    <t>2014 11 07</t>
  </si>
  <si>
    <t>https://youtu.be/YmOa9ypr7lY</t>
  </si>
  <si>
    <t>Expedition 42 CrewProfile Version1 November 6, 2014</t>
  </si>
  <si>
    <t>International Space Station Exp. 42 crew members Terry Virts, Anton Shkaplerov and Samantha Cristoforetti discuss their personal histories and their reasons for dedicating their careers to space exploration.</t>
  </si>
  <si>
    <t>YmOa9ypr7lY</t>
  </si>
  <si>
    <t>https://youtu.be/JPSN4PwL1Mg</t>
  </si>
  <si>
    <t>Orion  I’m on Board – Colin Baker</t>
  </si>
  <si>
    <t>OK, so it’s not technically bigger on the inside, but actor Colin Baker is still “on board” with NASA’s new spacecraft, Orion!
HD download link: https://archive.org/details/Orion-Im-On-Board_Colin-Baker</t>
  </si>
  <si>
    <t>JPSN4PwL1Mg</t>
  </si>
  <si>
    <t>https://youtu.be/p6htXcpgWtw</t>
  </si>
  <si>
    <t>Expedition 42 43 Crew Conducts News Conference and Traditional Ceremonies in Russia</t>
  </si>
  <si>
    <t>Expedition 42/43 Soyuz Commander Anton Shkaplerov of the Russian Federal Space Agency (Roscosmos), NASA Flight Engineer Terry Virts and Flight Engineer Samantha Cristoforetti of the European Space Agency, conducted a pre-launch news conference at the Gagarin Cosmonaut Training Center in Star City, Russia November 6, then toured Red Square and the Kremlin in Moscow where they laid flowers at the Kremlin Wall where Russian space icons are interred.  Shkaplerov, Virts and Cristoforetti are scheduled to launch November 24, Kazakh time, in the Soyuz TMA-15M spacecraft to begin a five and a half month mission on the International Space Station.</t>
  </si>
  <si>
    <t>p6htXcpgWtw</t>
  </si>
  <si>
    <t>https://youtu.be/aw0WBQubB5g</t>
  </si>
  <si>
    <t>Space Station Live  The Science of a New Expedition</t>
  </si>
  <si>
    <t>NASA public affairs officer Nicole Cloutier-Lemasters talks with Exp. 41/42 lead increment scientist, Dr. Vic Cooley, about Rodent Research operations during the International Space Station’s Exp. 41, and gets a preview of new science headed to the station during Exp. 42 on the next Dragon cargo ship.</t>
  </si>
  <si>
    <t>aw0WBQubB5g</t>
  </si>
  <si>
    <t>https://youtu.be/9Tac-QmJ6Y8</t>
  </si>
  <si>
    <t>Space to Ground  Counting Down To Departure  11 07 14</t>
  </si>
  <si>
    <t>9Tac-QmJ6Y8</t>
  </si>
  <si>
    <t>2014 11 05</t>
  </si>
  <si>
    <t>https://youtu.be/64w8n53NFyA</t>
  </si>
  <si>
    <t>Space Station Live  Deanne Bell on 3D Printing in space</t>
  </si>
  <si>
    <t>Deanne Bell, Program Director of Future Engineers, talks about 3D printing in space</t>
  </si>
  <si>
    <t>64w8n53NFyA</t>
  </si>
  <si>
    <t>2014 11 04</t>
  </si>
  <si>
    <t>https://youtu.be/EJL6JJMF8mY</t>
  </si>
  <si>
    <t>Space Station Live  Sally Ride EarthKAM</t>
  </si>
  <si>
    <t>NASA Public Affairs Officer Brandi Dean talks with Sally Ride EarthKAM team member Cari Goulard about the research project that enables middle school students all around the world to take photographs of Earth with a camera mounted in a window on the International Space Station.  More than 800 schools in 51 countries, representing more than 70,000 students, are signed up for the current session.
Watch Space Station Live, weekdays at 11am eastern.
http://www.nasa.gov/multimedia/nasatv/index.html</t>
  </si>
  <si>
    <t>EJL6JJMF8mY</t>
  </si>
  <si>
    <t>2014 11 03</t>
  </si>
  <si>
    <t>https://youtu.be/5d9ykhdHtFc</t>
  </si>
  <si>
    <t>Monthly ISS Research Video Update for October 2014</t>
  </si>
  <si>
    <t>5d9ykhdHtFc</t>
  </si>
  <si>
    <t>https://youtu.be/nlCGvGoHHFE</t>
  </si>
  <si>
    <t>Recorded Interview  Blue Angels in Mission Control</t>
  </si>
  <si>
    <t>Members of the Blue Angles team visited Mission Control, and spoke with the crew aboard the International Space Station. 
HD download link: https://archive.org/details/BlueAngelsInMissionControl720p</t>
  </si>
  <si>
    <t>nlCGvGoHHFE</t>
  </si>
  <si>
    <t>2014 10 31</t>
  </si>
  <si>
    <t>https://youtu.be/UerzZ7Hswww</t>
  </si>
  <si>
    <t>Orion  I’m on Board – Austin St. John</t>
  </si>
  <si>
    <t>Orion is morphing the way we think of space exploration … and actor Austin St. John is “on board”!
HD Download Link: https://archive.org/details/Orion-Im-On-Board_Austin-St-John</t>
  </si>
  <si>
    <t>UerzZ7Hswww</t>
  </si>
  <si>
    <t>https://youtu.be/7Aa_-FSR7VU</t>
  </si>
  <si>
    <t>Expedition 42 43 Crew Undergoes Final Training Outside Moscow</t>
  </si>
  <si>
    <t>Expedition 42/43 Soyuz Commander Anton Shkaplerov of the Russian Federal Space Agency (Roscosmos), NASA Flight Engineer Terry Virts and Flight Engineer Samantha Cristoforetti of the European Space Agency conducted final qualification training at the Gagarin Cosmonaut Training Center in Star City, Russia October 30 and 31.  Shkaplerov, Virts and Cristoforetti are scheduled to launch November 24, Kazakh time, in the Soyuz TMA-15M spacecraft to begin a five and a half month mission on the International Space Station.</t>
  </si>
  <si>
    <t>7Aa_-FSR7VU</t>
  </si>
  <si>
    <t>https://youtu.be/2_rXzMAYZAM</t>
  </si>
  <si>
    <t>Space to Ground  Supply Shipping  10 31 14</t>
  </si>
  <si>
    <t>2_rXzMAYZAM</t>
  </si>
  <si>
    <t>2014 10 30</t>
  </si>
  <si>
    <t>https://youtu.be/cjqqnIJTZx4</t>
  </si>
  <si>
    <t>Space Station Live  MRI for Astronaut Vision Research</t>
  </si>
  <si>
    <t>NASA Public Affairs Officer Brandi Dean talks with Dr. Roy Riascos, the chief of neuroradiology at the University of Texas Houston, and a co-investigator of the Ocular Health experiment, about the use of magnetic resonance imaging on International Space Station astronauts pre-flight and post-flight as part of the investigation into how long-duration flight is impacting astronauts’ eyesight.
Watch Space Station Live, weekdays at 11 a.m. eastern.
www.nasa.gov/ntv</t>
  </si>
  <si>
    <t>cjqqnIJTZx4</t>
  </si>
  <si>
    <t>2014 10 28</t>
  </si>
  <si>
    <t>https://youtu.be/jqBYRpF_4qE</t>
  </si>
  <si>
    <t>Space Station Live  Science on Cygnus-3</t>
  </si>
  <si>
    <t>Dr. Liz Warren of the International Space Station Program Science Office talked with NASA commentator Pat Ryan about some of the new science experiments flying to the station on the next Cygnus cargo vehicle, targeted to launch Oct. 28, 2014.
Watch Space Station Live, weekdays at 11am eastern.
www.nasa.gov/ntv</t>
  </si>
  <si>
    <t>jqBYRpF_4qE</t>
  </si>
  <si>
    <t>2014 10 27</t>
  </si>
  <si>
    <t>https://youtu.be/0wgVfGBCME0</t>
  </si>
  <si>
    <t>%23askAstro  The Book That Changed @astro_reid</t>
  </si>
  <si>
    <t>Aboard the International Space Station, Expedition 41 Flight Engineer Reid Wiseman of NASA discussed life in space during an in-flight question and answer session Oct. 10. Wiseman answered questions fans submitted on YouTube using #askAstro. Questions ranged from aliens in space to the investigations happening onboard to benefit Earth.</t>
  </si>
  <si>
    <t>0wgVfGBCME0</t>
  </si>
  <si>
    <t>https://youtu.be/A6ssLbni4ho</t>
  </si>
  <si>
    <t>%23askAstro  Discoveries from the Space Station</t>
  </si>
  <si>
    <t>Aboard the International Space Station, Expedition 41 Flight Engineer Reid Wiseman of NASA discussed life in space during an in-flight question and answer session Oct. 10. Wiseman answered questions fans submitted on YouTube using #askAstro. Questions ranged from aliens in space to the investigations happening onboard to benefit Earth. 
See the entire playlist: http://www.youtube.com/playlist?list=PLTXQuaxXBKKxIQ0TYqtAeFtN_IuzX_BLf</t>
  </si>
  <si>
    <t>A6ssLbni4ho</t>
  </si>
  <si>
    <t>https://youtu.be/jWi7W8YoEwE</t>
  </si>
  <si>
    <t xml:space="preserve">%23askAstro  Can You See Disneyworld from Space </t>
  </si>
  <si>
    <t>jWi7W8YoEwE</t>
  </si>
  <si>
    <t>https://youtu.be/ktPYMSm-zso</t>
  </si>
  <si>
    <t>%23askAstro  The Man-Made Feature You Cannot Miss From Space</t>
  </si>
  <si>
    <t>ktPYMSm-zso</t>
  </si>
  <si>
    <t>https://youtu.be/xnMMi0dMwy4</t>
  </si>
  <si>
    <t>%23askAstro  A Few of My Favorite Things…</t>
  </si>
  <si>
    <t>xnMMi0dMwy4</t>
  </si>
  <si>
    <t>https://youtu.be/5nLFNG-Njlo</t>
  </si>
  <si>
    <t>%23askAstro  @astro_reid Receives Hundreds of Calls on Ham Radio</t>
  </si>
  <si>
    <t>5nLFNG-Njlo</t>
  </si>
  <si>
    <t>https://youtu.be/5oxunXFwznw</t>
  </si>
  <si>
    <t>%23askAstro  Teachers Inspire Astronaut Reid Wiseman</t>
  </si>
  <si>
    <t>5oxunXFwznw</t>
  </si>
  <si>
    <t>https://youtu.be/R4nf3_FPUCs</t>
  </si>
  <si>
    <t>%23askAstro  Surprises of Living in Space</t>
  </si>
  <si>
    <t>R4nf3_FPUCs</t>
  </si>
  <si>
    <t>https://youtu.be/WyzTFxVw0ds</t>
  </si>
  <si>
    <t>%23askAstro  @astro_reid on Aliens in Space</t>
  </si>
  <si>
    <t>WyzTFxVw0ds</t>
  </si>
  <si>
    <t>https://youtu.be/dXwmxNoCi68</t>
  </si>
  <si>
    <t xml:space="preserve">%23askAstro  Should I Become a Pilot to Be an Astronaut </t>
  </si>
  <si>
    <t>dXwmxNoCi68</t>
  </si>
  <si>
    <t>https://youtu.be/fR68TyEUr2I</t>
  </si>
  <si>
    <t>%23askAstro  @astro_reid’s Biggest Fear in Space</t>
  </si>
  <si>
    <t>fR68TyEUr2I</t>
  </si>
  <si>
    <t>https://youtu.be/mxTAw0LOj3I</t>
  </si>
  <si>
    <t>%23askAstro  Pursue Your Dreams</t>
  </si>
  <si>
    <t>mxTAw0LOj3I</t>
  </si>
  <si>
    <t>https://youtu.be/xYVF_TD-mKs</t>
  </si>
  <si>
    <t>%23askAstro  How to Be an Astronaut</t>
  </si>
  <si>
    <t>xYVF_TD-mKs</t>
  </si>
  <si>
    <t>https://youtu.be/gux0bynbo-I</t>
  </si>
  <si>
    <t>Space Station Live  Countdown to Orb-3 Launch</t>
  </si>
  <si>
    <t>Space Station Live commentator Pat Ryan interviews Carl Walz, Orbital Sciences Corporation Vice President for the Advanced Programs Group about the upcoming launch of Orbital Sciences’ Antares rocket on Monday, October 27. Orbital CRS-3 will deliver cargo and crew supplies to the International Space Station. Launch coverage on NASA-TV will begin at 5:45 p.m. EDT.</t>
  </si>
  <si>
    <t>gux0bynbo-I</t>
  </si>
  <si>
    <t>https://youtu.be/o0vpGOYLlZ4</t>
  </si>
  <si>
    <t>Space Station LIve  GPS Experiment on SCAN Testbed</t>
  </si>
  <si>
    <t>NASA MSFC public affairs officer Lori Meggs interviews David Robison, the principal investigator for the GPS Experiment on SCAN Testbed. The Space Communications and Navigation Testbed (SCAN Testbed) contains Software Defined Radios that can be reconfigured with new software, which would allow mission planners to change how the radios function after they are in orbit. The interview aired during Space Station Live on October 24, 2014.</t>
  </si>
  <si>
    <t>o0vpGOYLlZ4</t>
  </si>
  <si>
    <t>2014 10 24</t>
  </si>
  <si>
    <t>https://youtu.be/G0p4-DlYh0s</t>
  </si>
  <si>
    <t>Orion  I’m on Board – John Barrowman</t>
  </si>
  <si>
    <t>Actor John Barrowman would like to introduce you to NASA’s new spacecraft, Orion. He’s “on board!”
HD Download Link: https://archive.org/details/Orion-Im-On-Board_John-Barrowman</t>
  </si>
  <si>
    <t>G0p4-DlYh0s</t>
  </si>
  <si>
    <t>https://youtu.be/1G82bXHR9Mw</t>
  </si>
  <si>
    <t>Space to Ground  Spacewalks Continue  10 24 14</t>
  </si>
  <si>
    <t>1G82bXHR9Mw</t>
  </si>
  <si>
    <t>2014 10 22</t>
  </si>
  <si>
    <t>https://youtu.be/1X3C9Riawms</t>
  </si>
  <si>
    <t>Space Station Live  Student Spaceflight Experiment Program</t>
  </si>
  <si>
    <t>Space Station Live commentator Dan Huot interviews Dr. Jeff Goldstein, the director of the National Center for Earth and Space Science Education SSEP Program. The Student Spaceflight Experiment Program is set launch aboard Cygnus on the Orbital CRS-3 mission.</t>
  </si>
  <si>
    <t>1X3C9Riawms</t>
  </si>
  <si>
    <t>2014 10 17</t>
  </si>
  <si>
    <t>https://youtu.be/l9GD3wcbPyw</t>
  </si>
  <si>
    <t>Tasks for Third Spacewalk of Expedition 41</t>
  </si>
  <si>
    <t>NASA Spacewalk Specialist Devan Bolch narrates this animation depicting the events scheduled for the Oct.22 spacewalk. Expedition 41 Commander Max Suraev and Flight Engineer Alexander Samokutyaev of the Russian Federal Space Agency (Roscosmos) will remove and jettison experiment hardware and antennas no longer needed on the Russian segment of the complex and perform a detailed photographic survey of the exterior of the Russian modules. It will be the third spacewalk in as many weeks for Expedition 41 crew members on the station, the 184th in support of space station assembly and maintenance, and the second for both Suraev and Samokutyaev.</t>
  </si>
  <si>
    <t>l9GD3wcbPyw</t>
  </si>
  <si>
    <t>https://youtu.be/rgBCcmOha8w</t>
  </si>
  <si>
    <t>Orion  I’m on Board – Erin Gray</t>
  </si>
  <si>
    <t>Actress Erin Gray knows a good spaceship when she sees one, and she’s “on board” with ours: Orion.
HD download link: https://archive.org/details/Orion-Im-On-Board_Erin-Gray</t>
  </si>
  <si>
    <t>rgBCcmOha8w</t>
  </si>
  <si>
    <t>https://youtu.be/isEGcax2YSQ</t>
  </si>
  <si>
    <t>Space to Ground  Out the Door  10 17 14</t>
  </si>
  <si>
    <t>isEGcax2YSQ</t>
  </si>
  <si>
    <t>2014 10 16</t>
  </si>
  <si>
    <t>https://youtu.be/fxKcYPxL6Jw</t>
  </si>
  <si>
    <t>Space Station Live  Clean Air, Fresh Water on Orbit</t>
  </si>
  <si>
    <t>NASA Public Affairs Officer Lori Meggs interviews Jay Perry, an Environmental Control and Life Support Systems engineer. Astronauts need clean air and fresh water. The space station has systems to provide and recycle these in conjunction with cargo deliveries. Future missions beyond low-Earth orbit will not be able to rely on cargo ships for resources necessary to support life.</t>
  </si>
  <si>
    <t>fxKcYPxL6Jw</t>
  </si>
  <si>
    <t>https://youtu.be/1OHRmzCP6HQ</t>
  </si>
  <si>
    <t>Space Station Live  Ultrasound Imaging Eyes on Orbit</t>
  </si>
  <si>
    <t>NASA Public Affairs Officer Brandi Dean interviews Dr. Ashot Sargsyan, Ocular Health Co-Investigator. Astronauts use an Ultrasound device so doctors can study the effects of microgravity on eyes.</t>
  </si>
  <si>
    <t>1OHRmzCP6HQ</t>
  </si>
  <si>
    <t>2014 10 14</t>
  </si>
  <si>
    <t>https://youtu.be/a3oVdB8Jx7c</t>
  </si>
  <si>
    <t>Space Station Live  Smart Phones Controlling Smart Spheres</t>
  </si>
  <si>
    <t>Public Affairs Officer Lori Meggs talks to Terry Fong, Intelligent Robotics Group Director at Ames Research Center. Smart phones are being tested as a way to control tiny satellites that float freely in the International Space Station.</t>
  </si>
  <si>
    <t>a3oVdB8Jx7c</t>
  </si>
  <si>
    <t>2014 10 10</t>
  </si>
  <si>
    <t>https://youtu.be/gNAyBekeVyw</t>
  </si>
  <si>
    <t>Orion  I’m on Board – Nichelle Nichols</t>
  </si>
  <si>
    <t>Actress Nichelle Nichols has been a NASA fan for a while, and now she’s “on board” with our newest spacecraft, Orion.</t>
  </si>
  <si>
    <t>gNAyBekeVyw</t>
  </si>
  <si>
    <t>https://youtu.be/Cf6fRjgVzyM</t>
  </si>
  <si>
    <t>Tasks for Second Expedition 41 U.S. Spacewalk</t>
  </si>
  <si>
    <t>NASA Spacewalk Officer Kieth Johnson narrates this 3-D animation depicting the events scheduled for the Oct. 15 spacewalk. Astronauts Reid Wiseman and Barry Wilmore will work outside the International Space Station to replace a television camera light and a sequential shunt unit that helps deliver power to the station. More info... http://go.nasa.gov/1rJvJ62</t>
  </si>
  <si>
    <t>Cf6fRjgVzyM</t>
  </si>
  <si>
    <t>https://youtu.be/AIrIhDj96CQ</t>
  </si>
  <si>
    <t>Space Station Live  Alex Kanelakos Talks about Oct. 15 U.S. Spacewalk</t>
  </si>
  <si>
    <t>NASA Public Affairs Officer Dan Huot interviews Alex Kanelakos, Expedition 42 Lead EVA Officer, about the upcoming spacewalk. NASA astronauts Reid Wiseman and Barry Wilmore will exit the International Space Station's Quest airlock Oct. 15. They will replace a television camera light and a sequential shunt unit that helps deliver power to the station.</t>
  </si>
  <si>
    <t>AIrIhDj96CQ</t>
  </si>
  <si>
    <t>https://youtu.be/3rQQO6xINnU</t>
  </si>
  <si>
    <t>Space to Ground  Out and About  10 10 14</t>
  </si>
  <si>
    <t>3rQQO6xINnU</t>
  </si>
  <si>
    <t>2014 10 09</t>
  </si>
  <si>
    <t>https://youtu.be/lzlDaiFHfzk</t>
  </si>
  <si>
    <t>Space Station Live  Checking Your Eyes in Space</t>
  </si>
  <si>
    <t>Space Station Live commentator Brandi Dean interviews Dr. Christian Otto, Principal Investigator, Ocular Health. This interview aired during Space Station Live on October 9, 2014.</t>
  </si>
  <si>
    <t>lzlDaiFHfzk</t>
  </si>
  <si>
    <t>https://youtu.be/IeA41Uyazdg</t>
  </si>
  <si>
    <t>Monthly ISS Research Video Update for September 2014</t>
  </si>
  <si>
    <t>IeA41Uyazdg</t>
  </si>
  <si>
    <t>2014 10 08</t>
  </si>
  <si>
    <t>https://youtu.be/G5ZiTblKME0</t>
  </si>
  <si>
    <t>Space Station Live  Satellites on the Station</t>
  </si>
  <si>
    <t>NASA Public Affairs Officer Lori Meggs and interviews Stephen Volz, Associate Director for Flight Programs. Numerous free-flying satellites orbit Earth and map our planet for various areas of research. Now a new payload has been installed on the International Space Station to give a different perspective. Rapidscat is an instrument that will measure ocean wind speed and direction which will begin a new series of mounted satellites on the station for weather monitoring.</t>
  </si>
  <si>
    <t>G5ZiTblKME0</t>
  </si>
  <si>
    <t>https://youtu.be/KyZqSWWKmHQ</t>
  </si>
  <si>
    <t>Orion  Trial By Fire</t>
  </si>
  <si>
    <t>Winner of the 2015 Lone Star Emmy for Informational/Instructional Video.
NASA’s newest spacecraft, Orion, will be launching into space for the first time in December 2014, on a flight that will take it farther than any spacecraft built to carry humans has gone in more than 40 years and through temperatures twice as hot as molten lava to put its critical systems to the test.
HD download link: https://archive.org/details/OrionTrialbyFire</t>
  </si>
  <si>
    <t>KyZqSWWKmHQ</t>
  </si>
  <si>
    <t>2014 10 04</t>
  </si>
  <si>
    <t>https://youtu.be/qoH0EEP1GTM</t>
  </si>
  <si>
    <t>Tasks for First Spacewalk of Expedition 41</t>
  </si>
  <si>
    <t>NASA Spacewalk Officer Jaclyn Kagey narrates this 3-D animation depicting the events scheduled for the Oct. 7 spacewalk. Astronauts Reid Wiseman and Alexander Gerst will work outside the International Space Station to stow a failed pump module, replace a television camera and install a mobile transporter relay assembly. More info... http://go.nasa.gov/1rJvJ62</t>
  </si>
  <si>
    <t>qoH0EEP1GTM</t>
  </si>
  <si>
    <t>https://youtu.be/Cb6z7ThvQL0</t>
  </si>
  <si>
    <t>Space Station Live  Transmitting Data from Space with Lasers</t>
  </si>
  <si>
    <t>Space Station Live commentator Brandi Dean interviews Matt Abrahamson, OPALS (Optical PAyload for Lasercomm Science) Mission Manager at NASA, Jet Propulsion Laboratory. OPALS is an experiment using the International Space Station to test the potential for using a laser to transmit data to Earth from space.</t>
  </si>
  <si>
    <t>Cb6z7ThvQL0</t>
  </si>
  <si>
    <t>2014 10 03</t>
  </si>
  <si>
    <t>https://youtu.be/UpgjEm5aH3U</t>
  </si>
  <si>
    <t>Astronaut Scott Kelly Speaks Out Against Bullying</t>
  </si>
  <si>
    <t>Scott Kelly, a veteran NASA astronaut and future year-long resident of the International Space Station, speaks out against bullying as part of the Federal Partners in Bullying Prevention campaign. October is National Bullying Prevention Awareness Month, and Kelly plans to support the anti-bullying effort during his upcoming one-year mission aboard the space station that begins with a March 2015 launch. 
For more information, visit: http://www.stopbullying.gov/.
HD Download: https://archive.org/details/AstronautScottKellySpeaksOutAgainstBullying</t>
  </si>
  <si>
    <t>UpgjEm5aH3U</t>
  </si>
  <si>
    <t>https://youtu.be/TX0879xb2DU</t>
  </si>
  <si>
    <t>Space to Ground  Unpacking  10 3 14</t>
  </si>
  <si>
    <t>TX0879xb2DU</t>
  </si>
  <si>
    <t>2014 10 01</t>
  </si>
  <si>
    <t>https://youtu.be/Ebhi5h8uzl8</t>
  </si>
  <si>
    <t>Interview with Barry Wilmore  Expedition 41 42 Crew Member</t>
  </si>
  <si>
    <t>Interview with Barry Wilmore, conducted during a ceremonial pre-launch trip to Red Square in Moscow.  Wilmore discusses his upcoming launch in a Soyuz spacecraft and looks ahead to his first long-duration spaceflight, a six-month tour of duty on the International Space Station for Expeditions 41 and 42.</t>
  </si>
  <si>
    <t>Ebhi5h8uzl8</t>
  </si>
  <si>
    <t>https://youtu.be/SDgyQSyb2Qo</t>
  </si>
  <si>
    <t>Interview with Scott Kelly  One Year Crew Member</t>
  </si>
  <si>
    <t>Interview with Scott Kelly, conducted at the Baikonur Cosmodrome, marking six months before his launch on a year-long mission to the International Space Station.  Kelly discusses his thoughts about his upcoming trip to space with cosmonaut Mikhail Kornienko and the significance of this mission designed to put crew members on board the ISS for a full year for the first time.
HD Download Link: https://archive.org/details/InterviewWithScottKellyOneYearCrewMember</t>
  </si>
  <si>
    <t>SDgyQSyb2Qo</t>
  </si>
  <si>
    <t>https://youtu.be/4pNY24rXBCI</t>
  </si>
  <si>
    <t>Space Station Live  Research Delivered on Dragon Installed on Station</t>
  </si>
  <si>
    <t>NASA Public Affairs Officer Lori Meggs interviews Stacey Boland, Project Systems Engineer. The International Space Station is always looking at cost effective ways of performing research in space. A new payload that arrived at the station on SpaceX-4 is proving just that. Rapidscat is an instrument that will measure ocean surface wind speed and direction which will help improve weather forecasts, including hurricane monitoring. It was installed just this week and is undergoing checkouts.</t>
  </si>
  <si>
    <t>4pNY24rXBCI</t>
  </si>
  <si>
    <t>2014 09 26</t>
  </si>
  <si>
    <t>https://youtu.be/5AGbFs5ERlI</t>
  </si>
  <si>
    <t>Space to Ground  New Arrivals  9 26 2014</t>
  </si>
  <si>
    <t>5AGbFs5ERlI</t>
  </si>
  <si>
    <t>https://youtu.be/2WHio97W4wE</t>
  </si>
  <si>
    <t>Expedition 41 Hatch Opening</t>
  </si>
  <si>
    <t>About three hours after docking their Soyuz TMA-14M spacecraft to the International Space Station, Expedition 41/42 Soyuz Commander Alexander Samokutyaev and Flight Engineers Elena Serova of the Russian Federal Space Agency (Roscosmos) and Barry Wilmore of NASA were greeted by station Commander Max Suraev of Roscosmos and Flight Engineers Reid Wiseman of NASA and Alexander Gerst of the European Space Agency. As the hatches were opened, the families of the newly arrived crew and American and Russian space officials viewed the activities from Baikonur near the launch site. Serova is the first Russian female cosmonaut to live and work aboard the International Space Station.</t>
  </si>
  <si>
    <t>2WHio97W4wE</t>
  </si>
  <si>
    <t>https://youtu.be/uvUcXwctK7g</t>
  </si>
  <si>
    <t>Expedition 41 Docks to International Space Station</t>
  </si>
  <si>
    <t>After launching in their Soyuz TMA-14M spacecraft from the Baikonur Cosmodrome in Kazakhstan, Expedition 41/42 Soyuz Commander Alexander Samokutyaev and Flight Engineers Elena Serova of the Russian Federal Space Agency (Roscosmos) and Barry Wilmore of NASA arrived at the International Space Station on Sept. 26, Kazakh time, following a six-hour rendezvous. They docked their craft to the Poisk module on the Russian segment of the complex. Once aboard the orbital outpost, the trio will start a 5 ½ month mission.</t>
  </si>
  <si>
    <t>uvUcXwctK7g</t>
  </si>
  <si>
    <t>2014 09 25</t>
  </si>
  <si>
    <t>https://youtu.be/BYN5RGRa9_E</t>
  </si>
  <si>
    <t>Expedition 41 Launches</t>
  </si>
  <si>
    <t>Expedition 41/42 Soyuz Commander Alexander Samokutyaev and Flight Engineers Elena Serova of the Russian Federal Space Agency (Roscosmos) and Barry Wilmore of NASA launched on the Russian Soyuz TMA-14M spacecraft on Sept. 26, Kazakh time, from the Baikonur Cosmodrome in Kazakhstan to begin a journey to the International Space Station. Once aboard the orbital outpost, the trio will start a 5 ½ month mission.</t>
  </si>
  <si>
    <t>BYN5RGRa9_E</t>
  </si>
  <si>
    <t>2014 09 24</t>
  </si>
  <si>
    <t>https://youtu.be/lnVque_-f7U</t>
  </si>
  <si>
    <t>Space Station Live  Seedling Growth-2 Experiment</t>
  </si>
  <si>
    <t>With the SpaceX Dragon capsule berthed to the International Space Station, there’s plenty of new experiments to unload. A new plant investigation is among them, called, Seedling Growth-2. NASA Public Affairs Officer Lori Meggs interviews John Kiss, the principal investigator for the Seedling Growth-2 experiment. This interview aired during Space Station Live on September 24, 2014 from the Kennedy Space Center.</t>
  </si>
  <si>
    <t>lnVque_-f7U</t>
  </si>
  <si>
    <t>2014 09 23</t>
  </si>
  <si>
    <t>https://youtu.be/P-ZEMPVBEI0</t>
  </si>
  <si>
    <t>Expedition 41 42 Soyuz TMA-14M Roll Out</t>
  </si>
  <si>
    <t>The Soyuz TMA-14M spacecraft is rolled out to the launch pad by train on Sept. 23, 2014 at the Baikonur Cosmodrome in Kazakhstan. Launch of the Soyuz rocket is scheduled for Sept. 26, Kazakh time, and will carry Expedition 41 Soyuz Commander Alexander Samokutyaev of the Russian Federal Space Agency (Roscosmos), Flight Engineer Barry Wilmore of NASA, and Flight Engineer Elena Serova of Roscosmos into orbit to begin their five and a half month mission on the International Space Station.</t>
  </si>
  <si>
    <t>P-ZEMPVBEI0</t>
  </si>
  <si>
    <t>2014 09 22</t>
  </si>
  <si>
    <t>https://youtu.be/PQYXTaBur34</t>
  </si>
  <si>
    <t>Flash Infrared Thermography &amp; NASA Technology Licensing Opportunities</t>
  </si>
  <si>
    <t>Researchers at the NASA Johnson Space Center have developed and refined Flash Infrared Thermography as a means of Non Destructive Test Evaluation (NDE). NASA’s innovative technology offers three complementary contrast tools that provide characterization of flaws and anomalies in nonmetallic composite structures using flash infrared thermography. The method can detect smaller flaws, and provide quantitative and qualitative information about the shape, size, depth, and location of anomalies. NASA’s designed methods assist the operator in defining the boundaries of flaws. For industries interested in NDE of composite materials – this technology can be integrated with existing infrared thermography hardware systems.
Flash Infrared Thermography is a patented technology available for commercial technology licensing. For more information about Flash Infrared Thermography and other technology license opportunities, visit: http://technology.jsc.nasa.gov 
For additional information about partnering with NASA, visit 
http://go.nasa.gov/1skM3wB 
http://go.nasa.gov/1iTblhL 
http://go.nasa.gov/1k6KgCP 
http://www.nasa.gov/connect</t>
  </si>
  <si>
    <t>PQYXTaBur34</t>
  </si>
  <si>
    <t>https://youtu.be/W35gHSMijEA</t>
  </si>
  <si>
    <t>Exp 41 42 Mission Overview</t>
  </si>
  <si>
    <t>For the astronauts and cosmonauts on the International Space Station’s Expedition 41, the main job these days is simple to explain. They are there to conduct scientific experiments and make discoveries.</t>
  </si>
  <si>
    <t>W35gHSMijEA</t>
  </si>
  <si>
    <t>https://youtu.be/_FoJWCavo9s</t>
  </si>
  <si>
    <t>Expedition 41 Soyuz Prepared for Launch to Station</t>
  </si>
  <si>
    <t>At the Baikonur Cosmodrome in Kazakhstan, the Soyuz TMA-14M spacecraft was encapsulated into the third stage of its Soyuz booster rocket Sept. 19 as preparations continued for the Sept. 26 launch of Expedition 41/42 Soyuz Commander Alexander Samokutyaev of the Russian Federal Space Agency (Roscosmos), NASA Flight Engineer Barry Wilmore and Flight Engineer Elena Serova of Roscosmos to the International Space Station. The trio also conducted their final “fit check” dress rehearsal in their Soyuz craft Sept. 21 for a mission in which they will spend five and a half months on the orbital laboratory.</t>
  </si>
  <si>
    <t>_FoJWCavo9s</t>
  </si>
  <si>
    <t>https://youtu.be/hnoue1s9H6A</t>
  </si>
  <si>
    <t>Butch Wilmore – Building Dreams</t>
  </si>
  <si>
    <t>NASA astronaut Barry "Butch" Wilmore discusses his love of building things, starting as child, and how those skills will benefit his stay aboard the ISS. Wilmore and his crew mates, Cosmonauts Alexander Samokutyaev and Elena Serova of the Russian Federal Space Agency (Roscosmos), will launch to the station aboard a Soyuz spacecraft Sept. 25 from the Baikonur Cosmodrome in Kazakhstan. The crew will continue supporting several hundred experiments in biology, biotechnology, physical science and Earth science currently under way and scheduled to take place aboard the orbiting laboratory.
Wilmore will assume command of Expedition 42 in November when Expedition 41 returns home. He is scheduled to return to Earth with Samokutyaev and Serova in March 2015.
HD download link: https://archive.org/details/ButchWilmoreBuildingDreams720p
Follow Wilmore and all the space station crew members on Instagram:
http://instagram.com/iss
Follow other NASA astronauts via Twitter at:
http://www.twitter.com/NASA_Astronauts
For information about the International Space Station, visit:
http://www.nasa.gov/station</t>
  </si>
  <si>
    <t>hnoue1s9H6A</t>
  </si>
  <si>
    <t>2014 09 19</t>
  </si>
  <si>
    <t>https://youtu.be/qwaH6hJU3rc</t>
  </si>
  <si>
    <t>Space Station Live  Processing Payloads for SpaceX Dragon</t>
  </si>
  <si>
    <t>NASA Public Affairs Officer Lori Meggs interviews Jennifer Wahlberg from the Kennedy Space Center Payload Processing Team. This interview aired during Space Station Live on September 19, 2014 from the Kennedy Space Center.</t>
  </si>
  <si>
    <t>qwaH6hJU3rc</t>
  </si>
  <si>
    <t>https://youtu.be/TyKlyV40vrk</t>
  </si>
  <si>
    <t>Meet the Expedition 42 43 Crew</t>
  </si>
  <si>
    <t>This is the crew introduction from the Expedition 42/43 Crew News Conference on September 18, 2014. NASA astronaut Terry Virts, Soyuz Commander Anton Shkaplerov and European Space Agency astronaut Samantha Cristoforetti will launch from the Baikonur Cosmodrome in November to begin a 5 1/2-month stay aboard the International Space Station.</t>
  </si>
  <si>
    <t>TyKlyV40vrk</t>
  </si>
  <si>
    <t>https://youtu.be/JDXHQDuDwsI</t>
  </si>
  <si>
    <t>Space to Ground  Preparing for Liftoff  9 19 14</t>
  </si>
  <si>
    <t>JDXHQDuDwsI</t>
  </si>
  <si>
    <t>2014 09 17</t>
  </si>
  <si>
    <t>https://youtu.be/1C_ol4KZkRU</t>
  </si>
  <si>
    <t>Space Station Live  Fruit Flies in Space</t>
  </si>
  <si>
    <t>NASA Public Affairs Officer Lori Meggs interviews Sharmila Bhattacharya, principal investigator for the Ames Student Fruit Fly Experiment, and Amy Gresser, Deputy Project Scientist. SpaceX-4 is scheduled to launch to the station Sept. 20. The Dragon commercial cargo craft will deliver the important research benefiting life on Earth as well as future exploration missions.</t>
  </si>
  <si>
    <t>1C_ol4KZkRU</t>
  </si>
  <si>
    <t>https://youtu.be/jrNslz6boeg</t>
  </si>
  <si>
    <t>Expedition 41 42 Prelaunch Activities in Kazakhstan</t>
  </si>
  <si>
    <t>At the Baikonur Cosmodrome in Kazakhstan, Expedition 41/42 Soyuz Commander Alexander Samokutyaev and Flight Engineer Elena Serova of the Russian Federal Space Agency (Roscosmos), NASA Flight Engineer Barry Wilmore participated in a variety of activities from Sept. 12-17. The crew will launch to the International Space Station on Sept. 26, Kazakh time, in the Soyuz TMA-14M spacecraft.</t>
  </si>
  <si>
    <t>jrNslz6boeg</t>
  </si>
  <si>
    <t>https://youtu.be/Fxl0QPxEMSU</t>
  </si>
  <si>
    <t>Space Station Live  Micro-8 Yeast Study</t>
  </si>
  <si>
    <t>NASA Public Affairs Officer Lori Meggs interviews Micro-8 principal investigator Sheila Neilsen and Fathi Karouia, Micro-8 project scientist. The Micro-8 payload will fly to the International Space Station on SpaceX-4.  This interview aired during Space Station Live on September 16, 2014 from the Kennedy Space Center.</t>
  </si>
  <si>
    <t>Fxl0QPxEMSU</t>
  </si>
  <si>
    <t>2014 09 16</t>
  </si>
  <si>
    <t>https://youtu.be/Anf1Ef5rc04</t>
  </si>
  <si>
    <t>Expedition 41 Crew Profile  Barry Wilmore</t>
  </si>
  <si>
    <t>Learn more about NASA astronaut Barry Wilmore, flight engineer for Expedition 41 and commander of Expedition 42. Wilmore, Soyuz Commander Alexander Samokutyaev and Flight Engineer Elena Serova will launch in late September 2014 for a 5 1/2-month mission aboard the International Space Station.</t>
  </si>
  <si>
    <t>Anf1Ef5rc04</t>
  </si>
  <si>
    <t>https://youtu.be/D1aFkm_xDoE</t>
  </si>
  <si>
    <t>Expedition 41 Crew Profile  Elena Serova</t>
  </si>
  <si>
    <t>Learn more about Russian cosmonaut Elena Serova, flight engineer for the Expedition 41/42 crew of the International Space Station. Serova, NASA astronaut Barry Wilmore and Soyuz Commander Alexander Samoukutyaev will launch in late September 2014 for a 5 1/2-month mission aboard the International Space Station.</t>
  </si>
  <si>
    <t>D1aFkm_xDoE</t>
  </si>
  <si>
    <t>https://youtu.be/WhbL1GfpsUs</t>
  </si>
  <si>
    <t>Expedition 41 Crew Profile  Alexander Samokutyaev</t>
  </si>
  <si>
    <t>Learn more about Russian cosmonaut Alexander Samokutyaev, Soyuz commander and flight engineer for the Expedition 41/42 crew of the International Space Station. Samokutyaev, NASA astronaut Barry Wilmore and Flight Engineer Elena Serova  will launch in late September 2014 for a 5 1/2-month mission aboard the International Space Station.</t>
  </si>
  <si>
    <t>WhbL1GfpsUs</t>
  </si>
  <si>
    <t>https://youtu.be/ovD2HZ_H4IU</t>
  </si>
  <si>
    <t>Expedition 41 Crew Profile, Version 1</t>
  </si>
  <si>
    <t>Meet the three Expedition 41 crew members who will launch to the International Space Station in September. NASA astronaut Barry Wilmore, Soyuz Commander Alexander Samokutyaev and Roscosmos cosmonaut Elena Serova are set to launch Sept. 25 (Sept. 26, Kazakh time) from the Baikonur Cosmodrome in their Soyuz TMA-14M spacecraft for a five and a half month mission on the International Space Station.</t>
  </si>
  <si>
    <t>ovD2HZ_H4IU</t>
  </si>
  <si>
    <t>2014 09 15</t>
  </si>
  <si>
    <t>https://youtu.be/_ji6oPgj2VY</t>
  </si>
  <si>
    <t>Space Station Live  Rodent Research Project</t>
  </si>
  <si>
    <t>NASA Marshall Space Flight Center public affairs officer Lori Meggs interviews Cecilia Wigley, NASA’s Ames Research Center payload integration and operations lead for the Rodent Research Project. The Rodent Research Hardware System will launch on the SpaceX-4 commercial resupply services flight. This interview aired during Space Station Live on September 15, 2014 from the Kennedy Space Center.</t>
  </si>
  <si>
    <t>_ji6oPgj2VY</t>
  </si>
  <si>
    <t>2014 09 12</t>
  </si>
  <si>
    <t>https://youtu.be/hHHfLZ2tqU8</t>
  </si>
  <si>
    <t>Space Station Live  Model Organisms and Rodent Research Hardware</t>
  </si>
  <si>
    <t>NASA Public Affairs Officer Brandi Dean interviews Expedition 41/42 Lead Increment Scientist Dr. Vic Cooley about new and ongoing science taking place inside and outside the International Space Station.</t>
  </si>
  <si>
    <t>hHHfLZ2tqU8</t>
  </si>
  <si>
    <t>https://youtu.be/KbKPSEli2i0</t>
  </si>
  <si>
    <t>Expedition 41 42 Crew Departs for Kazakh Launch Site</t>
  </si>
  <si>
    <t>Expedition 41/42 Soyuz Commander Alexander Samokutyaev and Flight Engineer Elena Serova of the Russian Federal Space Agency (Roscosmos), NASA Flight Engineer Barry Wilmore, and their backups, Gennady Padalka and Mikhail Kornienko of Roscosmos and Scott Kelly of NASA, participated in traditional ceremonies at the Gagarin Cosmonaut Training Center in Star City, Russia, outside Moscow on Sept. 12. Afterward, they departed for the Baikonur Cosmodrome in Kazakhstan to complete their training for the launch of Samokutyaev, Wilmore and Serova to the International Space Station in the Soyuz TMA-14M spacecraft on Sept. 26, Kazakh time. Serova will become only the fourth Russian female cosmonaut to fly in space and was greeted at the farewell ceremony by Valentina Tereshkova, the first woman to fly in space.  Kelly and Kornienko are scheduled to launch in March 2015 for a one-year mission on the space station.</t>
  </si>
  <si>
    <t>KbKPSEli2i0</t>
  </si>
  <si>
    <t>https://youtu.be/-e8idObe74U</t>
  </si>
  <si>
    <t>Space to Ground  Home Sweet Earth  9 12 14</t>
  </si>
  <si>
    <t>-e8idObe74U</t>
  </si>
  <si>
    <t>2014 09 11</t>
  </si>
  <si>
    <t>https://youtu.be/WtdRNDiqaXE</t>
  </si>
  <si>
    <t>Expedition 40 Post-Landing Activities</t>
  </si>
  <si>
    <t>Expedition 40 Commander Steve Swanson, Soyuz Commander Alexander Skvortsov and Flight Engineer Oleg Artemyev are welcomed back after nearly six months aboard the International Space Station.</t>
  </si>
  <si>
    <t>WtdRNDiqaXE</t>
  </si>
  <si>
    <t>2014 09 10</t>
  </si>
  <si>
    <t>https://youtu.be/ih9jPaZct1w</t>
  </si>
  <si>
    <t>Expedition 40 Undocks Ending Mission</t>
  </si>
  <si>
    <t>After spending 167 days aboard the International Space Station, Steve Swanson, Alexander Skvortsov and Oleg Artemyev undocked from the station's Poisk module at 7:01 p.m. EDT to begin their voyage home. Skvortsov, the Soyuz commander, is at the controls of the Soyuz TMA-12M spacecraft.
The departure of Swanson, Skvortsov and Artemyev marks the end of Expedition 40. The Expedition 41 crew members, Reid Wiseman of NASA, Alexander Gerst of the European Space Agency and space station Commander Max Suraev from Roscosmos, will continue research and maintenance aboard the station.</t>
  </si>
  <si>
    <t>ih9jPaZct1w</t>
  </si>
  <si>
    <t>https://youtu.be/HQEIy_6mAo4</t>
  </si>
  <si>
    <t>Station Trio Boards Soyuz for Trip Back to Earth</t>
  </si>
  <si>
    <t>Expedition 40 Commander Steve Swanson, Soyuz Commander Alexander Skvortsov and Flight Engineer Oleg Artemyev say a final farewell to their crewmates as they board the Soyuz TMA-12M spacecraft for the journey back to Earth after nearly six months aboard the International Space Station.</t>
  </si>
  <si>
    <t>HQEIy_6mAo4</t>
  </si>
  <si>
    <t>https://youtu.be/3lwy8xxJxKo</t>
  </si>
  <si>
    <t>Capillary Flow Experiments on Space Station</t>
  </si>
  <si>
    <t>Capillary Flow Experiments on the International Space Station are fluid physics experiments that investigate capillary flows and flows of fluids in containers with complex geometries. Results will improve current computer models that are used by designers of fluid systems on Earth and may improve fluid transfer systems on future spacecraft.</t>
  </si>
  <si>
    <t>3lwy8xxJxKo</t>
  </si>
  <si>
    <t>2014 09 09</t>
  </si>
  <si>
    <t>https://youtu.be/Y-NhhPMTfAc</t>
  </si>
  <si>
    <t>Expedition 40 41 Change of Command Aboard Station</t>
  </si>
  <si>
    <t>The reins of the International Space Station were passed from NASA’s Steve Swanson to Max Suraev of the Russian Federal Space Agency (Roscosmos) during a ceremony on the orbital outpost on Sept. 9. Swanson will return to Earth Sept. 11, Kazakh time, in the Soyuz TMA-12M spacecraft with Russian cosmonauts Alexander Skvortsov and Oleg Artemyev to wrap up almost six months in orbit. Suraev will remain on board with NASA Flight Engineer Reid Wiseman and European Space Agency Flight Engineer Alexander Gerst, awaiting the arrival of Alexander Samokutyaev of Roscosmos, Barry Wilmore of NASA and Elena Serova of Roscosmos, who will launch to the complex on Sept. 26, Kazakh time.</t>
  </si>
  <si>
    <t>Y-NhhPMTfAc</t>
  </si>
  <si>
    <t>https://youtu.be/o3_ljJlkkXo</t>
  </si>
  <si>
    <t>Space Station Live  Expedition 40 Science Wrap Up</t>
  </si>
  <si>
    <t>Space Station Live commentator Brandi Dean interviews Expedition 40 lead increment scientist Yuri Guinart-Ramirez. This interview aired during Space Station Live on September 9, 2014.</t>
  </si>
  <si>
    <t>o3_ljJlkkXo</t>
  </si>
  <si>
    <t>https://youtu.be/xyAwdmUzxus</t>
  </si>
  <si>
    <t>NASA High School Aerospace Scholars Program 2014 - Week 6, Blue Team</t>
  </si>
  <si>
    <t>High School Aerospace Scholars (HAS) is a unique educational experience that combines online learning and face-to-face interaction with real engineers and scientists at the NASA Johnson Space Center in Houston, Texas. The program not only inspires, engages and educates students, but also helps create a new workforce ready to serve our nation's future space exploration. Check out the HAS website for the application deadline: http://has.aerospacescholars.org/. For more information, also watch High School Aerospace Scholars: A Journey of Discovery, http://www.youtube.com/watch?v=V3HeXYi9Z5Q</t>
  </si>
  <si>
    <t>xyAwdmUzxus</t>
  </si>
  <si>
    <t>https://youtu.be/2KAFV-aEAns</t>
  </si>
  <si>
    <t>NASA High School Aerospace Scholars Program 2014 - Week 2, Gray Team</t>
  </si>
  <si>
    <t>2KAFV-aEAns</t>
  </si>
  <si>
    <t>https://youtu.be/4XF048cJl6s</t>
  </si>
  <si>
    <t>NASA High School Aerospace Scholars Program 2014 - Week 5, White Team</t>
  </si>
  <si>
    <t>4XF048cJl6s</t>
  </si>
  <si>
    <t>https://youtu.be/76jJAbNvUYw</t>
  </si>
  <si>
    <t>NASA High School Aerospace Scholars Program 2014 - Week 6, White Team</t>
  </si>
  <si>
    <t>76jJAbNvUYw</t>
  </si>
  <si>
    <t>https://youtu.be/AnqBAshgWE0</t>
  </si>
  <si>
    <t>NASA High School Aerospace Scholars Program 2014 - Week 1, Blue Team</t>
  </si>
  <si>
    <t>AnqBAshgWE0</t>
  </si>
  <si>
    <t>https://youtu.be/D4UJfh5TASw</t>
  </si>
  <si>
    <t>NASA High School Aerospace Scholars Program 2014 - Week 4, Gray Team</t>
  </si>
  <si>
    <t>D4UJfh5TASw</t>
  </si>
  <si>
    <t>https://youtu.be/IjJMm0iWZCE</t>
  </si>
  <si>
    <t>NASA High School Aerospace Scholars Program 2014 - Week 6, Gray Team</t>
  </si>
  <si>
    <t>IjJMm0iWZCE</t>
  </si>
  <si>
    <t>https://youtu.be/JV9_ZjKML84</t>
  </si>
  <si>
    <t>NASA High School Aerospace Scholars Program 2014 - Week 3, Gray Team</t>
  </si>
  <si>
    <t>JV9_ZjKML84</t>
  </si>
  <si>
    <t>https://youtu.be/LGzkzZcWje0</t>
  </si>
  <si>
    <t>NASA High School Aerospace Scholars Program 2014 - Week 5, Red Team</t>
  </si>
  <si>
    <t>LGzkzZcWje0</t>
  </si>
  <si>
    <t>https://youtu.be/TtrM8F_yBkA</t>
  </si>
  <si>
    <t>NASA High School Aerospace Scholars Program 2014 - Week 4, Red Team</t>
  </si>
  <si>
    <t>TtrM8F_yBkA</t>
  </si>
  <si>
    <t>https://youtu.be/VpFV-ga3yoU</t>
  </si>
  <si>
    <t>NASA High School Aerospace Scholars Program 2014 - Week 3, Blue Team</t>
  </si>
  <si>
    <t>VpFV-ga3yoU</t>
  </si>
  <si>
    <t>https://youtu.be/Wuu0uoqtdMk</t>
  </si>
  <si>
    <t>NASA High School Aerospace Scholars Program 2014 - Week 3, Red Team</t>
  </si>
  <si>
    <t>Wuu0uoqtdMk</t>
  </si>
  <si>
    <t>https://youtu.be/XRB4rFlthpM</t>
  </si>
  <si>
    <t>NASA High School Aerospace Scholars Program 2014 - Week 4, Blue Team</t>
  </si>
  <si>
    <t>XRB4rFlthpM</t>
  </si>
  <si>
    <t>https://youtu.be/YA80UJnCj_s</t>
  </si>
  <si>
    <t>NASA High School Aerospace Scholars Program 2014 - Week 1, Gray Team</t>
  </si>
  <si>
    <t>YA80UJnCj_s</t>
  </si>
  <si>
    <t>https://youtu.be/dtvn_Es2azY</t>
  </si>
  <si>
    <t>NASA High School Aerospace Scholars Program 2014 - Week 2, White Team</t>
  </si>
  <si>
    <t>dtvn_Es2azY</t>
  </si>
  <si>
    <t>https://youtu.be/fpRpf7DPi88</t>
  </si>
  <si>
    <t>NASA High School Aerospace Scholars Program 2014 - Week 6, Red Team</t>
  </si>
  <si>
    <t>fpRpf7DPi88</t>
  </si>
  <si>
    <t>https://youtu.be/gzXc2mS-QyM</t>
  </si>
  <si>
    <t>NASA High School Aerospace Scholars Program 2014 - Week 1, Red Team</t>
  </si>
  <si>
    <t>gzXc2mS-QyM</t>
  </si>
  <si>
    <t>https://youtu.be/hUfHHeuU6XU</t>
  </si>
  <si>
    <t>NASA High School Aerospace Scholars Program 2014 - Week 5, Blue Team</t>
  </si>
  <si>
    <t>hUfHHeuU6XU</t>
  </si>
  <si>
    <t>https://youtu.be/hsQC0fCHJRQ</t>
  </si>
  <si>
    <t>NASA High School Aerospace Scholars Program 2014 - Week 4, White Team</t>
  </si>
  <si>
    <t>hsQC0fCHJRQ</t>
  </si>
  <si>
    <t>https://youtu.be/kkrADP3KRIc</t>
  </si>
  <si>
    <t>NASA High School Aerospace Scholars Program 2014 - Week 2, Red Team</t>
  </si>
  <si>
    <t>kkrADP3KRIc</t>
  </si>
  <si>
    <t>https://youtu.be/nPWDPj3XI3c</t>
  </si>
  <si>
    <t>NASA High School Aerospace Scholars Program 2014 - Week 3, White Team</t>
  </si>
  <si>
    <t>nPWDPj3XI3c</t>
  </si>
  <si>
    <t>https://youtu.be/pquxJ0Z5JyQ</t>
  </si>
  <si>
    <t>NASA High School Aerospace Scholars Program 2014 - Week 1, White Team</t>
  </si>
  <si>
    <t>pquxJ0Z5JyQ</t>
  </si>
  <si>
    <t>https://youtu.be/sGDNlCiJnhc</t>
  </si>
  <si>
    <t>NASA High School Aerospace Scholars Program 2014 - Week 5, Gray Team</t>
  </si>
  <si>
    <t>sGDNlCiJnhc</t>
  </si>
  <si>
    <t>https://youtu.be/tfVGlnXQaxU</t>
  </si>
  <si>
    <t>NASA High School Aerospace Scholars Program 2014 - Week 2, Blue Team</t>
  </si>
  <si>
    <t>tfVGlnXQaxU</t>
  </si>
  <si>
    <t>2014 09 08</t>
  </si>
  <si>
    <t>https://youtu.be/xCvcvyRqWOc</t>
  </si>
  <si>
    <t>Expedition 41 42 Crew Talks to Press, Visits Moscow's Red Square</t>
  </si>
  <si>
    <t>With the completion of their qualification exams at Star City, Russia, the Expedition 41/42 crew participated in a news conference on the morning of Sept. 5 before making the traditional trip into Moscow to visit Red Square and lay flowers at the memorials of Russian space icons interred there at the Kremlin Wall. NASA astronaut Barry Wilmore and Russian cosmonauts Alexander Samokutyaev and Elena Serova are scheduled to launch aboard the Soyuz TMA-14M spacecraft from the Baikonur Cosmodrome in Kazakhstan on Sept. 25.</t>
  </si>
  <si>
    <t>xCvcvyRqWOc</t>
  </si>
  <si>
    <t>2014 09 05</t>
  </si>
  <si>
    <t>https://youtu.be/q7p9yXVgeNw</t>
  </si>
  <si>
    <t>Space Station Live  Science of Space Combustion</t>
  </si>
  <si>
    <t>Space Station Live commentator Pat Ryan talks with Dr. Tom Avedisian of Cornell University, a co-investigator of the FLEX-2 experiment, about his research into the special spherical characteristics of burning fuel droplets in space that may lead to more efficient engines.  Avedisian explains the science of the combustion event seen in a recent YouTube video (http://www.youtube.com/watch?v=qQQ1OHW1_F4) that calls to mind a pulsating jellyfish.</t>
  </si>
  <si>
    <t>q7p9yXVgeNw</t>
  </si>
  <si>
    <t>https://youtu.be/QnkCpdofiXI</t>
  </si>
  <si>
    <t>Space Station Live  Amine Swingbed</t>
  </si>
  <si>
    <t>The International Space Station is a testbed for new technologies essential for human voyages deeper into space. Lori Meggs at the Payload Operations Integration Center at the Marshall Space Flight Center talks with Jeff Sweterlisch to learn more about one such investigation designed to filter and renew the air the astronauts breathe -- the Amine Swingbed.</t>
  </si>
  <si>
    <t>QnkCpdofiXI</t>
  </si>
  <si>
    <t>https://youtu.be/YXLAWlPAnKc</t>
  </si>
  <si>
    <t>Space to Ground  Earth From Above  9 5 14</t>
  </si>
  <si>
    <t>YXLAWlPAnKc</t>
  </si>
  <si>
    <t>2014 09 04</t>
  </si>
  <si>
    <t>https://youtu.be/-GCnqvLjvZw</t>
  </si>
  <si>
    <t>Expedition 41 42 Final Exams</t>
  </si>
  <si>
    <t>Expedition 41/42 Soyuz Commander Alexander Samoukutyaev of the Russian Federal Space Agency (Roscosmos), NASA Flight Engineer Barry Wilmore and Flight Engineer Elena Serova of Roscosmos conducted final qualification training at the Gagarin Cosmonaut Training Center in Star City, Russia. They are scheduled for a Sept. 25 launch in the Soyuz TMA-14M spacecraft to begin a six-month mission on the International Space Station.</t>
  </si>
  <si>
    <t>-GCnqvLjvZw</t>
  </si>
  <si>
    <t>2014 09 02</t>
  </si>
  <si>
    <t>https://youtu.be/LZp9LZH-DNA</t>
  </si>
  <si>
    <t>Monthly ISS Research Video Update for August 2014</t>
  </si>
  <si>
    <t>LZp9LZH-DNA</t>
  </si>
  <si>
    <t>2014 08 29</t>
  </si>
  <si>
    <t>https://youtu.be/3Lqx5nERAwQ</t>
  </si>
  <si>
    <t>Space to Ground  Heating Up  08 29 14</t>
  </si>
  <si>
    <t>3Lqx5nERAwQ</t>
  </si>
  <si>
    <t>2014 08 28</t>
  </si>
  <si>
    <t>https://youtu.be/McOy9jSi88o</t>
  </si>
  <si>
    <t>Space Station Live  Training Underground and Underwater for Space Missions</t>
  </si>
  <si>
    <t>Space Station Live commentator Dan Huot interviews NASA astronaut Randy Bresnik, NEEMO 19 Commander. This interview aired during Space Station Live on August 28, 2014.</t>
  </si>
  <si>
    <t>McOy9jSi88o</t>
  </si>
  <si>
    <t>2014 08 27</t>
  </si>
  <si>
    <t>https://youtu.be/klRFSA_auPg</t>
  </si>
  <si>
    <t>Space Station Live  Health Benefits of Exercise in Space, and on Earth!</t>
  </si>
  <si>
    <t>It's long been known the more you exercise the better your health and the better you feel, and the same holds true on the International Space Station. Lori Meggs at the Marshall Space Flight Center's  Payload Operations Integration Center checks in with John De Witt, senior biomechanist with Wyle Science and Technology, to learn more about the Treadmill Kinematics study.  Then Kent Criswell drops by to talk about the "Racin' the Station" fitness event at Marshall.</t>
  </si>
  <si>
    <t>klRFSA_auPg</t>
  </si>
  <si>
    <t>https://youtu.be/jwQM9IRTAuw</t>
  </si>
  <si>
    <t>The Mission is Simple  Asteroid</t>
  </si>
  <si>
    <t>o “The Mission is Simple” is a volunteer outreach project created by the students at NASA Johnson Space Center. Astronaut Michael Fincke asks questions related to our goals in human spaceflight to children ages 4 to 6, and their answers are completely unscripted.
For more on our asteroid initiatives, visit http://www.nasa.gov/mission_pages/asteroids/initiative/index.html#.U-DXzPldU1J
Join the conversation online with #Asteroid
Mike on Twitter: https://twitter.com/AstroIronMike
For students interested in opportunities at NASA Johnson Space Center:
http://pathways.jsc.nasa.gov/index.html
https://www.facebook.com/NASA.JSC.Students
https://twitter.com/nasajscstudents</t>
  </si>
  <si>
    <t>jwQM9IRTAuw</t>
  </si>
  <si>
    <t>https://youtu.be/TrsKZma-LTk</t>
  </si>
  <si>
    <t>Benefits for Humanity  Found at Sea</t>
  </si>
  <si>
    <t>The Vessel-ID System investigation on the International Space Station demonstrated the ability for a space-based radio receiver to track a ship’s Automatic Identification System (AIS) signal, the marine equivalent of the air traffic control system. Since being turned on in 2010, Vessel-ID has been able to relay more than 400,000 ship position reports from more than 22,000 ships in a single day, proving a quantum leap in the ship tracking ability of coast guards around the world. This ability, coupled with multiple AIS tracking satellites launched since, is already making travel among the waves safer for thousands of ships around the globe. The ship identification and tracking system technology already aided in orienting rescue services for a lone survivor stranded in the North Sea, giving new hope to once impossible situations. 
For more information: http://www.nasa.gov/mission_pages/station/research/experiments/750.html
https://archive.org/details/ISS-Benefits-For-Humanity_Found-at-Sea</t>
  </si>
  <si>
    <t>TrsKZma-LTk</t>
  </si>
  <si>
    <t>https://youtu.be/rXD4ldp-W8M</t>
  </si>
  <si>
    <t>Robonaut Performs Quick Disconnect Hose Inspection</t>
  </si>
  <si>
    <t>Robonaut 2 (R2) showcases significant advances in robotic manipulation of materials and common tools used aboard the International Space Station. Recent experiments highlighted how a teleoperator can use R2 to manipulate a tether hook, an important safety precaution on spacewalks. Another task displayed Robonaut’s ability to pull back a protective jacket over a hose and search for damage, as well as inspect a quick-disconnect fitting for debris. The work on the ground by NASA engineers and by astronauts aboard the International Space Station continues to build the skill set for an Extra-Vehicular Activity (EVA) Robonaut.
Read more about Robonaut... http://www.nasa.gov/mission_pages/station/main/robonaut.html</t>
  </si>
  <si>
    <t>rXD4ldp-W8M</t>
  </si>
  <si>
    <t>https://youtu.be/bVw8seV9Tfc</t>
  </si>
  <si>
    <t>Robonaut Performs Hose Jacket Inspection</t>
  </si>
  <si>
    <t>bVw8seV9Tfc</t>
  </si>
  <si>
    <t>https://youtu.be/P1uhTlnGZM0</t>
  </si>
  <si>
    <t>Robonaut Performs Taskboard Tethering</t>
  </si>
  <si>
    <t>P1uhTlnGZM0</t>
  </si>
  <si>
    <t>2014 08 26</t>
  </si>
  <si>
    <t>https://youtu.be/jiDcCrUQmsM</t>
  </si>
  <si>
    <t>Space Station Live  Robonaut Mobility Upgrades</t>
  </si>
  <si>
    <t>Space Station Live commentator Dan Huot interviews Dr. Ron Diftler, the principal investigator for Robonaut 2. This interview aired during Space Station Live on August 26, 2014.</t>
  </si>
  <si>
    <t>jiDcCrUQmsM</t>
  </si>
  <si>
    <t>https://youtu.be/XtX1KNOFVMY</t>
  </si>
  <si>
    <t>Preparing America for Deep Space Exploration  Episode 4 Music Video</t>
  </si>
  <si>
    <t>On sea, land and in the sky, NASA's Orion, Space Launch System and Ground Systems Development and Operations continued making progress toward sending humans beyond Earth's orbit during the past quarter.</t>
  </si>
  <si>
    <t>XtX1KNOFVMY</t>
  </si>
  <si>
    <t>https://youtu.be/4E5t-UJtYxM</t>
  </si>
  <si>
    <t>Space Station Live  NASA Partners With EPA for Ocean Study</t>
  </si>
  <si>
    <t>HICO or Hyperspectral Imager for the Coastal Ocean on the ISS is an ongoing experiment that uses a special camera that separates light into hundreds of wavelength channels, which reveals information about the composition of water and land along the coasts. Lori Meggs at the Marshall Space Flight Center's Payload Operations Integration Center tells us more about how the Environmental Protection Agency is working with NASA to use this information.</t>
  </si>
  <si>
    <t>4E5t-UJtYxM</t>
  </si>
  <si>
    <t>2014 08 25</t>
  </si>
  <si>
    <t>https://youtu.be/hsFpnT-0Ux0</t>
  </si>
  <si>
    <t>Space Station Live  Observing Earth Winds from Space</t>
  </si>
  <si>
    <t>NASA Public Affairs’ Dan Huot interviews Dr. Ernesto Rodriguez, ISS-RapidScat Principal Investigator. The new experiment, which will monitor ocean winds to provide essential measurements used in weather predictions, including hurricane monitoring, is targeted to launch to the International Space Station aboard the SpaceX Dragon in September. Read more... http://go.nasa.gov/1BWdlfG</t>
  </si>
  <si>
    <t>hsFpnT-0Ux0</t>
  </si>
  <si>
    <t>2014 08 22</t>
  </si>
  <si>
    <t>https://youtu.be/I2_RYliE8uI</t>
  </si>
  <si>
    <t>One Direction's Niall Horan Says %23ImOnBoard</t>
  </si>
  <si>
    <t>Niall Horan visited the Orion spacecraft mockup NASA's Johnson Space Center this week and showed his support for Orion's first flight, launching in December.</t>
  </si>
  <si>
    <t>I2_RYliE8uI</t>
  </si>
  <si>
    <t>https://youtu.be/_SAuno-NmcI</t>
  </si>
  <si>
    <t>Space to Ground  Stepping Out  8 22 14</t>
  </si>
  <si>
    <t>_SAuno-NmcI</t>
  </si>
  <si>
    <t>2014 08 21</t>
  </si>
  <si>
    <t>https://youtu.be/haX1erwHkXc</t>
  </si>
  <si>
    <t>Space Station Live  What's Next for Robotic Refueling Mission</t>
  </si>
  <si>
    <t>Space Station Live commentator Rob Navias talks with Jill McGuire, the Robotic Refueling Mission project manager at the Goddard Space Flight Center, about what's next for the satellite servicing technology demonstration aboard the International Space Station.</t>
  </si>
  <si>
    <t>haX1erwHkXc</t>
  </si>
  <si>
    <t>https://youtu.be/qQQ1OHW1_F4</t>
  </si>
  <si>
    <t>Amazing Flame Comes to Life in Space Station Microgravity Combustion Science</t>
  </si>
  <si>
    <t>From ignition to pulsating-jellyfish then warp-drive ending!  Understanding combustion may lead to more efficient engines and spectacular videos.
Science Objectives
The Flame Extinguishment - 2 (FLEX-2) experiment is the second experiment to fly on the ISS which uses small droplets of fuel to study the special spherical characteristics of burning fuel droplets in space. The FLEX-2 experiment studies how quickly fuel burns, the conditions required for soot to form, and how mixtures of fuels evaporate before burning. Understanding these processes could lead to the production of a safer spacecraft as well as increased fuel efficiency for engines using liquid fuel on Earth.
Earth Applications
Watching fuel burn in a perfect sphere provides a unique view of fire that would be impossible to recreate on Earth. Better knowledge of fire’s dynamics could lead to improved fuels for vehicles and aircraft, including efficient, environmentally friendly mixtures of chemicals that burn well together and produce less soot. Soot results from the incomplete burning of a hydrocarbon, and it is harmful to human and environmental health. The FLEX-2 experiment provides a unique view on soot formation that would be impossible under the influence of Earth’s gravity.
Space Applications
The FLEX-2 experiment measures soot buildup, flame heat and the burning rates of various types of fuels and fuel mixtures. Understanding how fuels burn in microgravity could improve the efficiency of fuel mixtures used for interplanetary missions by reducing cost and weight. It could also lead to improved safety measures for manned spacecraft.
Conditions for this test:
Test conducted with 50/50 fuel mixture of iso-octane and heptane in a standard air environment (21% oxygen and 79% nitrogen at 1 atm). Burn with 3-mm droplet experienced flame oscillations, which appear as a hole in the flame shell that repeatedly opens and closes. These oscillations create asymmetries in the flame, resulting in a force imbalance on the droplet.
For more FLEX-2 information, click on the link below:
http://www.nasa.gov/mission_pages/station/research/experiments/480.html</t>
  </si>
  <si>
    <t>qQQ1OHW1_F4</t>
  </si>
  <si>
    <t>2014 08 20</t>
  </si>
  <si>
    <t>https://youtu.be/1VyPkzP9S-s</t>
  </si>
  <si>
    <t>The Mission is Simple  Mars</t>
  </si>
  <si>
    <t>The Mission is Simple” is a volunteer outreach project created by the students at NASA Johnson Space Center. Astronaut Michael Fincke asks questions related to our goals in human spaceflight to children ages 4 to 6, and their answers are completely unscripted.
For more on our human-rated deep-space vehicle, Orion, visit nasa.gov/orion
Join the conversation online with #ImOnBoard
Mike on Twitter: https://twitter.com/AstroIronMike
For students interested in opportunities at NASA Johnson Space Center:
http://pathways.jsc.nasa.gov/index.html
https://www.facebook.com/NASA.JSC.Students
https://twitter.com/nasajscstudents
NASA is developing the capabilities needed to send humans to an asteroid by 2025 and Mars in the 2030s – goals outlined in the bipartisan NASA Authorization Act of 2010 and in the U.S. National Space Policy, also issued in 2010.
Explore NASA's #JourneyToMars... http://go.nasa.gov/VFZMQg</t>
  </si>
  <si>
    <t>1VyPkzP9S-s</t>
  </si>
  <si>
    <t>https://youtu.be/8EjaBhwZmJ0</t>
  </si>
  <si>
    <t>Space Station Live  Joystick Puts Astronauts in Touch With Telerobotics</t>
  </si>
  <si>
    <t>Space Station Live commentator Rob Navias talks with Dr. Andre Schiele, head of the European Space Agency's telerobotics lab at ESTEC, about the Haptics-1 experiment that arrived at the International Space Station aboard the fifth Automated Transfer Vehicle. The Haptics-1 study involves the installation of a highly advanced joystick on the space station, designed for the study of remote control of robots on Earth by astronauts in space.</t>
  </si>
  <si>
    <t>8EjaBhwZmJ0</t>
  </si>
  <si>
    <t>2014 08 18</t>
  </si>
  <si>
    <t>https://youtu.be/DVnhSquA9no</t>
  </si>
  <si>
    <t>Monthly ISS Research Video Update for July 2014</t>
  </si>
  <si>
    <t>DVnhSquA9no</t>
  </si>
  <si>
    <t>https://youtu.be/4q-vzeFwqIw</t>
  </si>
  <si>
    <t>Student Experiments on the Space Station</t>
  </si>
  <si>
    <t>NASA Public Affairs Officer Brandi Dean and space station scientist Liz Warren conduct a Digital Learning Network Event with students from Fayette Academy, Somerville, TN. The students are participating in a program where their science experiment will be going up in November to the International Space Station.
The DLN connects students and teachers with NASA experts and education specialists using online communication technologies like video/web conferencing and webcasting. Register for free, interactive events listed in the catalog or watch the webcasts. http://dln.nasa.gov</t>
  </si>
  <si>
    <t>4q-vzeFwqIw</t>
  </si>
  <si>
    <t>https://youtu.be/Ln4956Wx65E</t>
  </si>
  <si>
    <t>Preparing America for Deep Space Exploration  Episode 7</t>
  </si>
  <si>
    <t>A quick look at what's been going on in the Orion, Space Launch System and Ground Systems Development and Operations programs in April, May and June of 2014.</t>
  </si>
  <si>
    <t>Ln4956Wx65E</t>
  </si>
  <si>
    <t>2014 08 15</t>
  </si>
  <si>
    <t>https://youtu.be/BbAxZoIeznI</t>
  </si>
  <si>
    <t>Space to Ground  Hello Georges  8 15 14</t>
  </si>
  <si>
    <t>BbAxZoIeznI</t>
  </si>
  <si>
    <t>2014 08 14</t>
  </si>
  <si>
    <t>https://youtu.be/lD4DfF7Kjgw</t>
  </si>
  <si>
    <t>Preview of Aug. 18 Station Spacewalk</t>
  </si>
  <si>
    <t>EVA specialist Devan Bolch narrates this computer animated video of the tasks that Expedition 40 cosmonauts Alexander Skvortsov and Oleg Artemyev are slated to perform during their Aug. 18, 2014 spacewalk outside the International Space Station.</t>
  </si>
  <si>
    <t>lD4DfF7Kjgw</t>
  </si>
  <si>
    <t>2014 08 13</t>
  </si>
  <si>
    <t>https://youtu.be/bSAtztj37hM</t>
  </si>
  <si>
    <t>Space Station Live  HUNCH Extreme Science</t>
  </si>
  <si>
    <t>NASA Public Affairs Lori Meggs interviews Florence Gold, HUNCH Extreme Science Project Manager, and Matt Heer, from Platteville High School in Platteville, Wisconsin. High school students United with NASA to Create Hardware or HUNCH is an instructional partnership between NASA and high schools and intermediate/middle schools. This segment aired during Space Station Live on August 13, 2014.</t>
  </si>
  <si>
    <t>bSAtztj37hM</t>
  </si>
  <si>
    <t>2014 08 12</t>
  </si>
  <si>
    <t>https://youtu.be/S7WJtQYU8i4</t>
  </si>
  <si>
    <t>STS-26 Wakeup Call  Robin Williams and Space Shuttle Discovery</t>
  </si>
  <si>
    <t>On Sep. 30, 1988, the Space Shuttle Discovery crew started its day with a wakeup call from actor Robin Williams. STS-26 Commander Frederick H. Hauck, Pilot Richard Covey, Mission Specialists Mike Lounge, Pinky Nelson and David Hilmers received the traditional wake-up call on their first day in orbit on a mission to deploy NASA Tracking and Data Relay Satellite-3, part of a network of satellites that support numerous NASA satellites and human spacecraft, including the International Space Station. Astronaut spacecraft communicators, or CAPCOMS, Kathy Sullivan (currently the leader of the National Oceanic and Atmospheric Administration) and Kathy Thornton, relayed the message from Mission Control in Houston.</t>
  </si>
  <si>
    <t>S7WJtQYU8i4</t>
  </si>
  <si>
    <t>https://youtu.be/lLcG7bNvbjA</t>
  </si>
  <si>
    <t>Space Station Live  Science for Students</t>
  </si>
  <si>
    <t>Space Station Live commentator Brandi Dean interviews Dr. Camille Alleyne, the ISS assistant program scientist. This interview aired during Space Station Live on August 12, 2014.</t>
  </si>
  <si>
    <t>lLcG7bNvbjA</t>
  </si>
  <si>
    <t>2014 08 11</t>
  </si>
  <si>
    <t>https://youtu.be/Xzz9bWwcg3g</t>
  </si>
  <si>
    <t>Preparing America for Deep Space Exploration  Episode 7 Music Video</t>
  </si>
  <si>
    <t>Xzz9bWwcg3g</t>
  </si>
  <si>
    <t>2014 08 08</t>
  </si>
  <si>
    <t>https://youtu.be/bs2zTC0FoS8</t>
  </si>
  <si>
    <t>Robo-Glove &amp; NASA Technology Licensing Opportunities</t>
  </si>
  <si>
    <t>Researchers at the NASA Johnson Space Center in collaboration with General Motors have designed and developed Robo-Glove, a wearable human grasp assist device, to help reduce the grasping force needed to operate tools for an extended time or for repetitive motion tasks. This wearable device allows the user to tightly grip tools and other items for longer periods of time without experiencing muscle discomfort or strain. The Robo-Glove also has potential applications in prosthetic devices, rehabilitation aids, and people with impaired or limited arm and hand muscle strength.
The Robo-Glove is a patented technology available for commercial technology licensing. For more information about Robo-Glove and other technology license opportunities, visit: http://technology.jsc.nasa.gov
For additional information about partnering with NASA, visit 
http://go.nasa.gov/1skM3wB  
http://go.nasa.gov/1iTblhL 
http://go.nasa.gov/1k6KgCP 
http://www.nasa.gov/connect</t>
  </si>
  <si>
    <t>bs2zTC0FoS8</t>
  </si>
  <si>
    <t>https://youtu.be/Cz8qVeNmcw0</t>
  </si>
  <si>
    <t>Space to Ground  Looking Down  8 8 14</t>
  </si>
  <si>
    <t>Cz8qVeNmcw0</t>
  </si>
  <si>
    <t>2014 08 07</t>
  </si>
  <si>
    <t>https://youtu.be/raLFLiap4vA</t>
  </si>
  <si>
    <t>Shuttle Replica’s Emblems Revealed at Space Center Houston</t>
  </si>
  <si>
    <t>Space Center Houston President and CEO Richard Allen, Jr. and retired astronaut Clay Anderson unveil the name ‘’Independence’’ on the forward fuselage of a high-fidelity space shuttle replica during an event on July 25. The replica is destined to be lifted atop a retired Boeing 747 Shuttle Carrier Aircraft that was used by NASA to ferry the shuttles from California to their Florida launch site. The ceremonies dubbed “The Rise of Independence” will take place on August 14.
More information about the event may be found at:
http://www.spacecenter.org.</t>
  </si>
  <si>
    <t>raLFLiap4vA</t>
  </si>
  <si>
    <t>2014 08 06</t>
  </si>
  <si>
    <t>https://youtu.be/GegxWRMH5Zk</t>
  </si>
  <si>
    <t>Space Station Live  Europe's ATV-5 Heading to Station</t>
  </si>
  <si>
    <t>Space Station Live commentator Pat Ryan interviews Eric Van Der Wal, the ISS program liaison for the European Space Agency. This interview aired during Space Station Live on August 6, 2014.</t>
  </si>
  <si>
    <t>GegxWRMH5Zk</t>
  </si>
  <si>
    <t>https://youtu.be/hftkNNjhVQA</t>
  </si>
  <si>
    <t>Space Station Live  Bone Densitometer</t>
  </si>
  <si>
    <t>NASA Public Affairs Lori Meggs interviews Rich Boling, the vice president of corporate advancement for Techshot, Inc., about the Bone Densitometer X-ray device that is schedule to launch to the International Space Station in September. This segment aired during Space Station Live on August 6, 2014.</t>
  </si>
  <si>
    <t>hftkNNjhVQA</t>
  </si>
  <si>
    <t>2014 08 01</t>
  </si>
  <si>
    <t>https://youtu.be/Knx4OPUxyQo</t>
  </si>
  <si>
    <t>Swanson Runs Relay in Space</t>
  </si>
  <si>
    <t>NASA Astronaut Steve Swanson is running as part of a group relay run taking place in Colorado. Astronauts have to work out two hours each day to maintain health and fitness. They also participate in biomedical research investigations that help with medical issues on Earth such as Duchene’s disease, cancer and osteoporosis. 
More information can be found here: http://www.nasa.gov/mission_pages/station/research/benefits/
You can follow Steve Swanson on Instagram at: http://www.instagram.com/iss
You can follow NASA Astronauts on Twitter @NASA_Astronauts</t>
  </si>
  <si>
    <t>Knx4OPUxyQo</t>
  </si>
  <si>
    <t>https://youtu.be/GmunwLsV9M4</t>
  </si>
  <si>
    <t>Space to Ground  Food, Fuel and Supplies  8 1 14</t>
  </si>
  <si>
    <t>GmunwLsV9M4</t>
  </si>
  <si>
    <t>2014 07 31</t>
  </si>
  <si>
    <t>https://youtu.be/gQZYJhSmw7c</t>
  </si>
  <si>
    <t>Space Station Live  Materials Research on Station</t>
  </si>
  <si>
    <t>NASA Public Affairs Lori Meggs interviews Kim de Groh, MISSE investigator, Glenn Research Center, and Miria Finckenor, MISSE investigator, MSFC. The MISSE, or Materials on the International Space Station Experiment, has studied the way materials behave in microgravity since 2001. Hundreds of scientists and engineers have had materials fly as part of MISSE. This segment aired during Space Station Live on July 30, 2014.</t>
  </si>
  <si>
    <t>gQZYJhSmw7c</t>
  </si>
  <si>
    <t>https://youtu.be/0frkZPC-c0s</t>
  </si>
  <si>
    <t>Space Station Live  Earth Photos from Station</t>
  </si>
  <si>
    <t>Space Station Live commentator Amiko Kauderer interviews Dr. Justin Wilkinson, Principal Geoscientist from Jacobs Engineering. This interview aired during Space Station Live on July 31, 2014.</t>
  </si>
  <si>
    <t>0frkZPC-c0s</t>
  </si>
  <si>
    <t>2014 07 28</t>
  </si>
  <si>
    <t>https://youtu.be/UWagc3u6Guw</t>
  </si>
  <si>
    <t>Space Station Robotics  Installing a New Camera</t>
  </si>
  <si>
    <t>The Canadarm2 Boom B Camera Light Pan/tilt Assembly (CLPA) was producing a usable but hazy view with working lights, but could not be used for detailed inspections.  The Mobile Base System (MBS) Mast CLPA has been unavailable since its failure in May 2012.  The CLPA was removed from MBS Mast by EVA crew (July 2013) &amp; returned to Earth on SpX-3 Dragon.
This video shows the Canadian-built Dextre robot remove the CLPA from the Canadarm2 and move it to the Mobile Base mast location.  Then the crew inside the station mounts a new CLPA to the US-built JEM ORU Transfer Interface (JOTI) and sends it outside the ISS via the Japanese-built airlock.
Dextre then removes the camera from the JOTI and installs it on the Canadarm2, completing the ground controlled robotic repair operations.</t>
  </si>
  <si>
    <t>UWagc3u6Guw</t>
  </si>
  <si>
    <t>https://youtu.be/oBwgZPKYNA4</t>
  </si>
  <si>
    <t>Space Station Live  “Wild West Relay”</t>
  </si>
  <si>
    <t>Space Station Live commentator Amiko Kauderer interviews NASA astronaut Suni Williams about Expedition 40 commander Steve Swanson’s participation in the “Wild West Relay” while abroad the International Space Station.  Swanson is part of a six-person team that will compete in the relay race, covering the 200-miles from Fort Collins, Colorado to Steamboat Springs, his hometown.   This interview aired during Space Station Live on July 28, 2014.</t>
  </si>
  <si>
    <t>oBwgZPKYNA4</t>
  </si>
  <si>
    <t>2014 07 25</t>
  </si>
  <si>
    <t>https://youtu.be/zYjtSJVFLlg</t>
  </si>
  <si>
    <t>Space Station Live  NEEMO Aquanaut Mark Vande Hei</t>
  </si>
  <si>
    <t>Space Station Live commentator Amiko Kauderer interviews NASA astronaut Mark Vande Hei, one of the crew members of the NEEMO 18 underwater expedition. This interview aired during Space Station Live on July 25, 2014.</t>
  </si>
  <si>
    <t>zYjtSJVFLlg</t>
  </si>
  <si>
    <t>https://youtu.be/AAEIp74cyUg</t>
  </si>
  <si>
    <t>Space to Ground  Coming and Going  7 25 14</t>
  </si>
  <si>
    <t>AAEIp74cyUg</t>
  </si>
  <si>
    <t>2014 07 24</t>
  </si>
  <si>
    <t>https://youtu.be/TBDXemkdfVM</t>
  </si>
  <si>
    <t>Space Station Live  Studying Atherosclerosis Risk in Astronauts</t>
  </si>
  <si>
    <t>Space Station Live commentator Amiko Kauderer interviews Dr. Steven Platts, the principal investigator for Cardio Ox. This interview aired during Space Station Live on July 24, 2014.</t>
  </si>
  <si>
    <t>TBDXemkdfVM</t>
  </si>
  <si>
    <t>2014 07 23</t>
  </si>
  <si>
    <t>https://youtu.be/jV4aY0VtOFk</t>
  </si>
  <si>
    <t>Space Station Live  Director of Payload Operations</t>
  </si>
  <si>
    <t>NASA Public Affairs Lori Meggs interviews Payload Operations Director Stephanie Dudley about the daily activities at the POIC, located at the Marshall Space Flight Center in Huntsville, Alabama. This segment aired during Space Station Live on July 23, 2014.</t>
  </si>
  <si>
    <t>jV4aY0VtOFk</t>
  </si>
  <si>
    <t>https://youtu.be/TJYMfmRLsLc</t>
  </si>
  <si>
    <t>Space Station Live  NEEMO 18 Aquanaut Jeanette Epps</t>
  </si>
  <si>
    <t>Space Station Live commentator Amiko Kauderer interviews NASA astronaut Jeanette Epps, one of the crew members of the NEEMO 18 underwater expedition. This interview aired during Space Station Live on July 23, 2014.</t>
  </si>
  <si>
    <t>TJYMfmRLsLc</t>
  </si>
  <si>
    <t>2014 07 22</t>
  </si>
  <si>
    <t>https://youtu.be/BEV6PxlIHI4</t>
  </si>
  <si>
    <t>Space Station Live  Orion Recovery Training</t>
  </si>
  <si>
    <t>NASA Public Affairs Officer Brandi Dean talks with Tim Goddard, Neutral Buoyancy Lab Dive Manager, about the Orion recovery training taking place in NASA's 6.2 million gallon facility.</t>
  </si>
  <si>
    <t>BEV6PxlIHI4</t>
  </si>
  <si>
    <t>2014 07 18</t>
  </si>
  <si>
    <t>https://youtu.be/divk-K1l7zM</t>
  </si>
  <si>
    <t>Space Station Live  TechEdSat-4 CubeSat Investigation</t>
  </si>
  <si>
    <t>Space Station Live commentator Brandi Dean interviews Marc Murbach, the principal investigator for TechEdSat-4.  The Technical Education Satellite (TechEdSat) investigation employs a small CubeSat spacecraft that will be deployed from the JEM-Small Satellite Orbital Deployer in order to evaluate, demonstrate and validate new technologies. This interview aired during Space Station Live on July 18, 2014.</t>
  </si>
  <si>
    <t>divk-K1l7zM</t>
  </si>
  <si>
    <t>https://youtu.be/f-8w_U7TwoE</t>
  </si>
  <si>
    <t>Space Station Live  Flock of CubeSats to Image Earth</t>
  </si>
  <si>
    <t>Space Station Live commentator Brandi Dean interviews Chris Boshuizen, co-founder and CTO of Planet Labs.  This interview aired during Space Station Live on July 17, 2014.</t>
  </si>
  <si>
    <t>f-8w_U7TwoE</t>
  </si>
  <si>
    <t>https://youtu.be/rkYIqt1NjfI</t>
  </si>
  <si>
    <t>Space to Ground  Special Delivery  7 18 14</t>
  </si>
  <si>
    <t>rkYIqt1NjfI</t>
  </si>
  <si>
    <t>2014 07 16</t>
  </si>
  <si>
    <t>https://youtu.be/iVc7WUpB3mc</t>
  </si>
  <si>
    <t>Expedition 41 42 Crew Introduction</t>
  </si>
  <si>
    <t>This is the introduction of the Expedition 41/42 Crew from the Expedition 41/42 Crew News Conference on July 16, 2014. NASA astronaut Butch Wilmore, Soyuz commander Alexander Samokutyaev and cosmonaut Elena Serova will launch from the Baikonur Cosmodrome in September to begin a 5 1/2-month stay aboard the International Space Station.</t>
  </si>
  <si>
    <t>iVc7WUpB3mc</t>
  </si>
  <si>
    <t>https://youtu.be/eeQ8L2bu2wc</t>
  </si>
  <si>
    <t>Space Station Live  Integrated Cardiovascular Experiment</t>
  </si>
  <si>
    <t>Lori Meggs at the Payload Operations Integration Center at the Marshall Space Flight Center in Huntsville, Alabama, talks with Jeffrey Hastings, co-investigator for Integrated Cardiovascular, to learn more about this International Space Station health study and how results from it are already helping folks on Earth.</t>
  </si>
  <si>
    <t>eeQ8L2bu2wc</t>
  </si>
  <si>
    <t>https://youtu.be/V3HeXYi9Z5Q</t>
  </si>
  <si>
    <t>High School Aerospace Scholars  A Journey of Discovery</t>
  </si>
  <si>
    <t>High School Aerospace Scholars (HAS) is a unique educational experience that combines online learning and face to face interaction with real engineers and scientists at the NASA Johnson Space Center in Houston, Texas. The program not only inspires, engages and educates students, but also helps create a new workforce ready to serve our nation's future space exploration. This video features HAS alumni who have pursued careers in Science, Technology, Engineering and Mathematics (STEM).
Download video: https://archive.org/details/HighSchoolAerospaceScholars_JourneyofDiscovery</t>
  </si>
  <si>
    <t>V3HeXYi9Z5Q</t>
  </si>
  <si>
    <t>2014 07 15</t>
  </si>
  <si>
    <t>https://youtu.be/jLIltGrSGgc</t>
  </si>
  <si>
    <t>Space Station Live  Orbital-2 Robotics</t>
  </si>
  <si>
    <t>NASA Public Affairs Officer Brandi Dean talks with Robotics Officer Melanie Miller about the robotics operations supporting the capture and berthing of Orbital Sciences' Cygnus cargo craft. Commander Steve Swanson and Flight Engineer Alexander Gerst will be at the robotics workstation in the International Space Station's cupola to grapple Cygnus with the 57-foot Canadarm2 robotic arm at 6:39 a.m. Wednesday. The robotics team at Houston's Mission Control Center then will command the arm to position Cygnus for its installation on the Earth-facing port of the Harmony node. Cygnus is carrying almost 3,300 pounds of supplies to the station to expand the research capability of the Expedition 40 crew.</t>
  </si>
  <si>
    <t>jLIltGrSGgc</t>
  </si>
  <si>
    <t>2014 07 11</t>
  </si>
  <si>
    <t>https://youtu.be/zG0WmhUUdcw</t>
  </si>
  <si>
    <t>Space Station Live  Expedition 40 Science</t>
  </si>
  <si>
    <t>Space Station Live commentator Pat Ryan interviews Expedition 40 lead increment scientist Yuri Guinart-Ramirez at the halfway point of the increment. This interview aired during Space Station Live on July 11, 2014.</t>
  </si>
  <si>
    <t>zG0WmhUUdcw</t>
  </si>
  <si>
    <t>https://youtu.be/XnucfSNn1mU</t>
  </si>
  <si>
    <t>Space Station Live  Preps for Cygnus Cargo Craft</t>
  </si>
  <si>
    <t>Space Station Live commentator Pat Ryan interviews Floyd Booker, the Orbital 2 visiting vehicle lead. The launch of the Cygnus cargo spacecraft to the International Space Station is now scheduled for 12:52 p.m. EDT on Sunday, July 13, from the Mid-Atlantic Regional Spaceport's Pad 0A at NASA's Wallops Flight Facility in Virginia. This interview aired during Space Station Live on July 11, 2014.</t>
  </si>
  <si>
    <t>XnucfSNn1mU</t>
  </si>
  <si>
    <t>https://youtu.be/KhPExpo7-U0</t>
  </si>
  <si>
    <t>Space to Ground  5,000 and Counting  7 11 14</t>
  </si>
  <si>
    <t>KhPExpo7-U0</t>
  </si>
  <si>
    <t>2014 07 10</t>
  </si>
  <si>
    <t>https://youtu.be/7bw-1-55reY</t>
  </si>
  <si>
    <t>Space Station Live  Spaceborne Coastal Imaging</t>
  </si>
  <si>
    <t>Space Station Live commentator Pat Ryan interviews HICO facility manager Mary Kappus.  HICO (Hyperspectral Imager for the Coastal Ocean) is an imaging spectrometer based on the PHILLS airborne imaging spectrometers. HICO is the first spaceborne imaging spectrometer designed to sample the coastal ocean. This interview aired during Space Station Live on July 10, 2014. 
For more information:
http://oceancolor.gsfc.nasa.gov
http://hico.coas.oregonstate.edu</t>
  </si>
  <si>
    <t>7bw-1-55reY</t>
  </si>
  <si>
    <t>2014 07 09</t>
  </si>
  <si>
    <t>https://youtu.be/tpaCAmFUYLg</t>
  </si>
  <si>
    <t>Space Station Live  High Definition Earth Viewing</t>
  </si>
  <si>
    <t>To date there have been millions of viewers looking at the High Definition Earth Viewing, or HDEV camera views. Four cameras are sitting on the exterior of the space station which stream live video of Earth for viewing online. The cameras are enclosed in a temperature specific housing and are exposed to the harsh radiation of space.  Analysis of the effect of space on the video quality may help engineers decide which cameras are the best types to use on future missions. The Associate Program Scientist for Crew Earth Observations, Will Stefanov, tells us more.</t>
  </si>
  <si>
    <t>tpaCAmFUYLg</t>
  </si>
  <si>
    <t>2014 07 08</t>
  </si>
  <si>
    <t>https://youtu.be/i0ATqsNR_xw</t>
  </si>
  <si>
    <t>NASA Flight Controller Connects With Washington Aerospace Scholars</t>
  </si>
  <si>
    <t>From NASA's International Space Station Mission Control Center, PLUTO flight controller Brion Au participated in a Digital Learning Network (DLN) event with Washington Aerospace Scholars at the Museum of Flight in Seattle.
The DLN connects students and teachers with NASA experts and education specialists using online communication technologies like video/web conferencing and webcasting. Register for free, interactive events listed in the catalog or watch the webcasts. http://dln.nasa.gov</t>
  </si>
  <si>
    <t>i0ATqsNR_xw</t>
  </si>
  <si>
    <t>2014 07 07</t>
  </si>
  <si>
    <t>https://youtu.be/qulzwuNTr3w</t>
  </si>
  <si>
    <t>Space Station Live  Astronaut Rick Mastracchio</t>
  </si>
  <si>
    <t>Space Station Live commentator Pat Ryan interviews NASA astronaut Rick Mastracchio about his time aboard the International Space Station as part of ISS Expeditions 38 and 39. This interview aired during Space Station Live on July 7, 2014.</t>
  </si>
  <si>
    <t>qulzwuNTr3w</t>
  </si>
  <si>
    <t>2014 07 03</t>
  </si>
  <si>
    <t>https://youtu.be/VYSNn7YUNU8</t>
  </si>
  <si>
    <t>Monthly ISS research video update for June 2014</t>
  </si>
  <si>
    <t>VYSNn7YUNU8</t>
  </si>
  <si>
    <t>https://youtu.be/OFGQoqLY5bc</t>
  </si>
  <si>
    <t>Space to Ground  Lighting Up the Sky</t>
  </si>
  <si>
    <t>OFGQoqLY5bc</t>
  </si>
  <si>
    <t>https://youtu.be/sdwHT2zP6gw</t>
  </si>
  <si>
    <t>Space Station Live  Japanese Astronaut Koichi Wakata</t>
  </si>
  <si>
    <t>Public Affairs Officer Dan Huot talks with Japan Aerospace Exploration Agency astronaut Koichi Wakata, the first Japanese commander of the International Space Station.</t>
  </si>
  <si>
    <t>sdwHT2zP6gw</t>
  </si>
  <si>
    <t>https://youtu.be/BV3FT8lyRTo</t>
  </si>
  <si>
    <t>Space Station Live  Reentry Breakup Recorder</t>
  </si>
  <si>
    <t>Understanding how vehicles behave during atmospheric reentry gives future spacecraft developers unique information that can enhance design efficiencies and safety. One experiment has had three successful flights to gather this never-before-collected information. Public Affairs Officer Lori Meggs at the Payload Operations Integration Center at the Marshall Space Flight Center in Huntsville, Alabama, talks with Andrew Feistel of the Aerospace Corporation to learn more about the Reentry Breakup Recorder.</t>
  </si>
  <si>
    <t>BV3FT8lyRTo</t>
  </si>
  <si>
    <t>2014 07 01</t>
  </si>
  <si>
    <t>https://youtu.be/qBouo5fW758</t>
  </si>
  <si>
    <t>Space Station Live  Investigating Astronaut Vision Problems</t>
  </si>
  <si>
    <t>Public Affairs Officer Brandi visits the Flight Medicine Optometry Clinic at NASA's Johnson Space Center to talk to Dr. Robert Gibson and learn more about the vision research taking place aboard the International Space Station.</t>
  </si>
  <si>
    <t>qBouo5fW758</t>
  </si>
  <si>
    <t>2014 06 30</t>
  </si>
  <si>
    <t>https://youtu.be/7qxCCz6US9M</t>
  </si>
  <si>
    <t>Fruit Fly Surveillance</t>
  </si>
  <si>
    <t>The International Space Station is an exciting location for scientists to conduct research. One exciting research topic that NASA is currently working is researching the effects of microgravity on the biological processes of fruit flies. Engineers have been working closely with scientists to design and build an optimal observation system for the fruit flies that will help them conduct the research they need. Explore the engineering process in this NASA episode of Spark 101.</t>
  </si>
  <si>
    <t>7qxCCz6US9M</t>
  </si>
  <si>
    <t>https://youtu.be/9fEm0qJoqEo</t>
  </si>
  <si>
    <t>Space Station Live  JAXA Astronaut Commands NEEMO 18</t>
  </si>
  <si>
    <t>JAXA astronaut Aki Hoshide, recently announced as commander of the next NEEMO (NASA Extreme Environment Mission Operations) mission, discusses the exercise with NASA TV commentator Amiko Kauderer. Hoshide, a veteran of one long-duration mission to the International Space Station, will command a crew of three American and European astronauts and two technicians on a nine-day underwater mission starting July 21 that will focus on studies in behavioral health and performance, human health issues and habitability that will inform future ISS and deep space exploration activities.</t>
  </si>
  <si>
    <t>9fEm0qJoqEo</t>
  </si>
  <si>
    <t>https://youtu.be/XJoDtzqBXXw</t>
  </si>
  <si>
    <t>Space Station Live  Space Outfits</t>
  </si>
  <si>
    <t>Public Affairs Officer Dan Huot interviews Evelyne Orndoff, Principal Investigator, IVA Clothing. Orndoff talks about the different outfits a space station crew member wears during various on-orbit activities such as exercise, sleep and daily tasks. She also discusses new fabric technologies and replacing clothes.</t>
  </si>
  <si>
    <t>XJoDtzqBXXw</t>
  </si>
  <si>
    <t>2014 06 27</t>
  </si>
  <si>
    <t>https://youtu.be/Zi2IbWs1vHY</t>
  </si>
  <si>
    <t>U.S. Astronauts Shave Heads Following World Cup Loss to Germany</t>
  </si>
  <si>
    <t>Aboard the International Space Station, Expedition 40 Commander Steve Swanson and Flight Engineer Reid Wiseman of NASA made good on their bet with German crewmate Alexander Gerst of the European Space Agency. The pair shaved their heads late on June 26 to match Gerst's bald pate in the wake of the U.S. soccer team's loss to Germany 1-0 in the team's World Cup showdown earlier in the day in Recife, Brazil. The crew has been following the World Cup matches closely on orbit through the uplink of programming to them. They also have been posting photos of the World Cup stadiums and their reactions to the matches on social media.
Download the HD version:
https://archive.org/details/E40WorldCupHairShave140627720p</t>
  </si>
  <si>
    <t>Zi2IbWs1vHY</t>
  </si>
  <si>
    <t>https://youtu.be/xdj_A-3gEY4</t>
  </si>
  <si>
    <t>Space to Ground  All Bets Are Off</t>
  </si>
  <si>
    <t>xdj_A-3gEY4</t>
  </si>
  <si>
    <t>2014 06 26</t>
  </si>
  <si>
    <t>https://youtu.be/3bZWL9pTZZU</t>
  </si>
  <si>
    <t>Space Station Live  Most Compelling Results of 2013</t>
  </si>
  <si>
    <t>NASA Public Affairs Dan Huot interviews ISS Chief Scientist Julie Robinson about the most compelling results from the International Space Station in 2013. The results were presented at the third annual ISS Research and Development Conference.</t>
  </si>
  <si>
    <t>3bZWL9pTZZU</t>
  </si>
  <si>
    <t>2014 06 25</t>
  </si>
  <si>
    <t>https://youtu.be/UpBwvPeI5VM</t>
  </si>
  <si>
    <t>Out Of This World Cup</t>
  </si>
  <si>
    <t>The International Space Station crew shows off their own World Cup moves in an "Out Of This World Cup" match. Zero-gravity offers a unique environment to explore new ways to enjoy and celebrate the world's most popular sport. International Space Station Expedition 40 crew members Steve Swanson, Reid Wiseman, and Alexander Gerst highlight international cooperation while traveling high and fast above the Earth.
HD video can be downloaded here:
https://archive.org/details/OutOfThisWorldCup140625720p</t>
  </si>
  <si>
    <t>UpBwvPeI5VM</t>
  </si>
  <si>
    <t>https://youtu.be/Dg2kJXlYabw</t>
  </si>
  <si>
    <t>Space Station Live  Bio Canisters in Space</t>
  </si>
  <si>
    <t>NASA Public Affairs Lori Meggs interviews David Reed, Lead Payload Engineer at Kennedy Space Center. Several new experiments studying bacteria were launched and returned on SpaceX 3. Past studies have shown that bacteria becomes more virulent in space, so we need further research to help us understand why, as we venture farther out to places such as Mars. The experiment discussed was BRIC-18 to find out more about the investigations and how the bric canisters work. This segment aired during Space Station Live on June 25, 2014.</t>
  </si>
  <si>
    <t>Dg2kJXlYabw</t>
  </si>
  <si>
    <t>2014 06 24</t>
  </si>
  <si>
    <t>https://youtu.be/no69oljyqPA</t>
  </si>
  <si>
    <t>Space Station Live  Orion Parachute Test</t>
  </si>
  <si>
    <t>Space Station Live commentator Brandi Dean interviews Lara Kearney, the Deputy Manager of the Orion Crew and Service Module. This interview aired during Space Station Live on June 24, 2014.</t>
  </si>
  <si>
    <t>no69oljyqPA</t>
  </si>
  <si>
    <t>2014 06 20</t>
  </si>
  <si>
    <t>https://youtu.be/R4mhT0QtZOs</t>
  </si>
  <si>
    <t>Space to Ground  Out of this World Cup Soccer</t>
  </si>
  <si>
    <t>R4mhT0QtZOs</t>
  </si>
  <si>
    <t>2014 06 18</t>
  </si>
  <si>
    <t>https://youtu.be/ZYUpdG1tKH0</t>
  </si>
  <si>
    <t>Space Station Live  Russian EVA 38 Animation</t>
  </si>
  <si>
    <t>This animation depicts spacewalkers Alexander Skvortsov and Oleg Artemyev working outside the Russian segment of the International Space Station for about 6.5 hours of spacewalking tasks. Narration by EVA Specialist Devan Bolch.</t>
  </si>
  <si>
    <t>ZYUpdG1tKH0</t>
  </si>
  <si>
    <t>https://youtu.be/lTxb43yiDUo</t>
  </si>
  <si>
    <t>Space Station Live  Manufacturing in Space</t>
  </si>
  <si>
    <t>Later this year a 3D printer will be heading to the space station. This was a partnership between a commercial company called Made in Space and NASA's Marshall Space Flight Center. Bill Hubscher spoke with Mike Snyder of Made in Space and Niki Werkheiser from Marshall to find out more about working with small businesses on projects like this and the opportunities in the future. The 3-D printer represents the first step toward realizing a suite of capabilities for in-space manufacturing.</t>
  </si>
  <si>
    <t>lTxb43yiDUo</t>
  </si>
  <si>
    <t>2014 06 17</t>
  </si>
  <si>
    <t>https://youtu.be/MdJRpMK1J7Y</t>
  </si>
  <si>
    <t>Space Station Live  Orion Prepares for First Flight Test</t>
  </si>
  <si>
    <t>NASA Public Affairs Officer Michael Curie interviews Scott Wilson, NASA's Manager of Orion Production Operations about preparations for the upcoming Exploration Flight Test 1 (EFT-1) mission. This interview aired during Space Station Live on June 17, 2014.</t>
  </si>
  <si>
    <t>MdJRpMK1J7Y</t>
  </si>
  <si>
    <t>https://youtu.be/TIZ8V9Hq9H8</t>
  </si>
  <si>
    <t>Preparing America for Deep Space Exploration  Episode 6 Music Video</t>
  </si>
  <si>
    <t>2014 is off to an amazing start as NASA rockets toward this year's launch of Exploration Flight Test-1!</t>
  </si>
  <si>
    <t>TIZ8V9Hq9H8</t>
  </si>
  <si>
    <t>2014 06 13</t>
  </si>
  <si>
    <t>https://youtu.be/Gv479VS97Ao</t>
  </si>
  <si>
    <t>Space to Ground  Progress  June 13, 2014</t>
  </si>
  <si>
    <t>Gv479VS97Ao</t>
  </si>
  <si>
    <t>2014 06 12</t>
  </si>
  <si>
    <t>https://youtu.be/tixSKAAfiiw</t>
  </si>
  <si>
    <t>Space Station Live  Veggie Harvest Shows Promise</t>
  </si>
  <si>
    <t>Space Station Live commentator Brandi Dean talks with Dr. Gioia Massa, Veggie science team lead, about the validation test of the Veggie compact greenhouse aboard the International Space Station.</t>
  </si>
  <si>
    <t>tixSKAAfiiw</t>
  </si>
  <si>
    <t>2014 06 11</t>
  </si>
  <si>
    <t>https://youtu.be/laMmaGFZFZI</t>
  </si>
  <si>
    <t>Astronaut Vision Changes in Microgravity</t>
  </si>
  <si>
    <t>Astronauts' bodies change in a variety of ways during spaceflight, and some experience impaired vision. NASA is working to understand and prevent these changes, which may also help us understand and prevent related vision changes on Earth.</t>
  </si>
  <si>
    <t>laMmaGFZFZI</t>
  </si>
  <si>
    <t>https://youtu.be/sLwW3pdXkFo</t>
  </si>
  <si>
    <t>Astronauts to Watch World Cup Aboard Space Station</t>
  </si>
  <si>
    <t>As fans around the world tune in to World Cup 2014, a few fans out of this world will be watching, too. United States astronauts Reid Wiseman and Steve Swanson and German astronaut Alexander Gerst will be cheering on their teams from some 230 miles above Earth aboard the International Space Station.
Download HD video: https://archive.org/details/E40WorldCup140611720p</t>
  </si>
  <si>
    <t>sLwW3pdXkFo</t>
  </si>
  <si>
    <t>https://youtu.be/rnskwzPFijs</t>
  </si>
  <si>
    <t>Space Station Live  Upgrading Payload Operations</t>
  </si>
  <si>
    <t>Public Affairs Officer Lori Meggs interviews Angela Marsh, branch chief for the Mission Operations Systems at Marshall Space Flight Center. They discuss the upgrades at the Payload Operations Integration Center which operates payloads in space 24 hours a day, seven days a week.</t>
  </si>
  <si>
    <t>rnskwzPFijs</t>
  </si>
  <si>
    <t>2014 06 10</t>
  </si>
  <si>
    <t>https://youtu.be/G6ZWuT-LSIQ</t>
  </si>
  <si>
    <t>Space Station Live  CBS News Interviews Reid Wiseman</t>
  </si>
  <si>
    <t>During an interview with CBS News, Expedition 40 mission specialist Reid Wiseman shared his thoughts about the growing popularity of his Twitter postings from the International Space Station. You can follow Wiseman during his mission on Twitter (@astro_reid). This segment aired during Space Station Live on June 10, 2014.</t>
  </si>
  <si>
    <t>G6ZWuT-LSIQ</t>
  </si>
  <si>
    <t>2014 06 06</t>
  </si>
  <si>
    <t>https://youtu.be/GehurZjIA0w</t>
  </si>
  <si>
    <t>Space to Ground  Tweets From 250 Miles Up  June 6, 2014</t>
  </si>
  <si>
    <t>GehurZjIA0w</t>
  </si>
  <si>
    <t>2014 06 05</t>
  </si>
  <si>
    <t>https://youtu.be/O5asRmTtfpY</t>
  </si>
  <si>
    <t>Space Station Live  Preps for Deep Space Exploration</t>
  </si>
  <si>
    <t>Space Station Live commentator Pat Ryan interviews Bill Gerstenmaier, NASA's Associate Administrator for Human Exploration and Operation Directorate about the work that the agency is doing to prepare for deep space exploration missions of the future. This interview aired during Space Station Live on June 5, 2014.</t>
  </si>
  <si>
    <t>O5asRmTtfpY</t>
  </si>
  <si>
    <t>https://youtu.be/6bQCWkrFBS0</t>
  </si>
  <si>
    <t>Preparing America for Deep Space Exploration  Episode 6</t>
  </si>
  <si>
    <t>2014 is off to an amazing start as NASA rockets toward this year's launch of Exploration Flight Test-1.</t>
  </si>
  <si>
    <t>6bQCWkrFBS0</t>
  </si>
  <si>
    <t>https://youtu.be/Qf6ArVwQ120</t>
  </si>
  <si>
    <t>Space Station Live  Expedition 40 Science Under Way!</t>
  </si>
  <si>
    <t>MSFC's Lori Meggs interviews Payload Operations Director Mike Shell from the Marshall Space Flight Center about the start of Expedition 40 science. Astronauts conduct science daily across a wide variety of fields, including human life sciences, biological science, human physiology, physical and materials science, and Earth and space science. The Payload Operations Integration Center is the heartbeat for ISS research operations. This is the weekly POIC segment from MSFC and aired during Space Station Live on June 4, 2014.</t>
  </si>
  <si>
    <t>Qf6ArVwQ120</t>
  </si>
  <si>
    <t>2014 06 04</t>
  </si>
  <si>
    <t>https://youtu.be/r2GhWt1chYc</t>
  </si>
  <si>
    <t>COTS Highlights</t>
  </si>
  <si>
    <t>Highlights of the Commercial Orbital Transportation Services (COTS) Program include footage from the SpaceX Dragon and Orbital Sciences Cygnus missions to the International Space Station.</t>
  </si>
  <si>
    <t>r2GhWt1chYc</t>
  </si>
  <si>
    <t>https://youtu.be/e8-mITnP2YI</t>
  </si>
  <si>
    <t>Space Station Live  Optical Communication From Space</t>
  </si>
  <si>
    <t>Space Station Live commentator Pat Ryan interviews Matt Abrahamson, the OPALS mission manager at NASA's Jet Propulsion Laboratory. OPALS (Optical PAyload for Lasercomm Science) is a demonstration of optical communication by transferring a video from the OPALS payload on the International Space Station to a ground receiver at JPL's Optical Communications Telescope Laboratory in Wrightwood, California. Optical communications is an emerging technology wherein data is modulated onto laser beams, which offers the promise of much higher data rates than what is achievable with radio-frequency (RF) transmissions. This interview aired during Space Station Live on June 4, 2014.</t>
  </si>
  <si>
    <t>e8-mITnP2YI</t>
  </si>
  <si>
    <t>2014 06 03</t>
  </si>
  <si>
    <t>https://youtu.be/coZRUh_O2S8</t>
  </si>
  <si>
    <t>Space Station Live  Subregional Bone Loss</t>
  </si>
  <si>
    <t>One of the very first studies on board the space station characterized bone loss for crews flying long-duration missions. Results from this experiment may help investigators understand bone loss on Earth as well as in space. Lori Meggs with the station's Payload Operations Integration Center at the Marshall Space Flight Center in Huntsville caught up with Tom Lang, the lead scientist of the SubRegional Bone Investigation. He discussed his findings and what we're doing to counteract the affects of microgravity on bone tissue.</t>
  </si>
  <si>
    <t>coZRUh_O2S8</t>
  </si>
  <si>
    <t>https://youtu.be/vXvjddJ_Xzk</t>
  </si>
  <si>
    <t>Space Station Live  Testing New Communications Systems In Space</t>
  </si>
  <si>
    <t>Space Station Live commentator Pat Ryan interviews Richard Reinhart, the principal investigator of the Space Communications and Navigation (SCaN) test bed. SCaN test bed is an advanced integrated communications system and laboratory facility on the International Space Station. Using a new generation of Software Defined Radio (SDR) technologies, this ISS facility will allow researchers to develop, test, and demonstrate new communications, networking, and navigation capabilities in the actual environment of space.</t>
  </si>
  <si>
    <t>vXvjddJ_Xzk</t>
  </si>
  <si>
    <t>https://youtu.be/CSsSky_8myg</t>
  </si>
  <si>
    <t>Researching Bacteria's Virulence in Space</t>
  </si>
  <si>
    <t>NASA is partnering with Universities and other businesses in scientific research aboard the International Space Station. A scientist from Arizona State University's Biodesign Institute has partnered with NASA to investigate the effect of spaceflight on the genetic responses and disease-causing potential of microbial pathogens. Explore this research in this NASA episode of Spark 101.</t>
  </si>
  <si>
    <t>CSsSky_8myg</t>
  </si>
  <si>
    <t>2014 05 30</t>
  </si>
  <si>
    <t>https://youtu.be/9pRa5X07Vdk</t>
  </si>
  <si>
    <t>Space Station Live  Osteoporosis Research</t>
  </si>
  <si>
    <t>Space Station Live commentator Dan Huot interviews Dr. Scott M. Smith, the manager for Nutritional Biochemistry at Johnson Space Center, about osteoporosis research onboard the International Space Station. This interview aired during Space Station Live on May 30, 2014.</t>
  </si>
  <si>
    <t>9pRa5X07Vdk</t>
  </si>
  <si>
    <t>https://youtu.be/OVKubdxYGFk</t>
  </si>
  <si>
    <t>Space Station Live  Astronaut Reid Wiseman</t>
  </si>
  <si>
    <t>Prior to his launch from the Baikonur Cosmodrome in Kazakhstan, Expedition 40 Mission Specialist Reid Wiseman was interviewed by Space Station Live commentator Pat Ryan about his upcoming mission to the International Space Station. This interview aired during Space Station Live on May 28, 2014.</t>
  </si>
  <si>
    <t>OVKubdxYGFk</t>
  </si>
  <si>
    <t>https://youtu.be/eLYeJXH5n44</t>
  </si>
  <si>
    <t>Space to Ground  New Crew Boards ISS  May 30, 2014</t>
  </si>
  <si>
    <t>eLYeJXH5n44</t>
  </si>
  <si>
    <t>2014 05 29</t>
  </si>
  <si>
    <t>https://youtu.be/h1u2kBuPu2c</t>
  </si>
  <si>
    <t xml:space="preserve">Space Station Live </t>
  </si>
  <si>
    <t>Lori Meggs of the Marshall Payload Operations and Integrations Center discusses protein crystal growth experiments with Dr.  Yoshihiro Urade of the Osaka Biotechnology Institute in Japan.</t>
  </si>
  <si>
    <t>h1u2kBuPu2c</t>
  </si>
  <si>
    <t>https://youtu.be/zqhlzn49_q0</t>
  </si>
  <si>
    <t>Meet the Station's Expedition 40 Crew</t>
  </si>
  <si>
    <t>Meet the six-member Expedition 40 crew of the International Space Station.</t>
  </si>
  <si>
    <t>zqhlzn49_q0</t>
  </si>
  <si>
    <t>https://youtu.be/4yqmhsrfBoQ</t>
  </si>
  <si>
    <t>Welcome Aboard! New Crew Arrives on Space Station</t>
  </si>
  <si>
    <t>After launching earlier in the day in their Soyuz TMA-13M spacecraft from the Baikonur Cosmodrome in Kazakhstan, Expedition 40/41 Soyuz Commander Max Suraev of the Russian Federal Space Agency (Roscosmos), NASA Flight Engineer Reid Wiseman and Flight Engineer Alexander Gerst of the European Space Agency were greeted aboard the International Space Station by station Commander Steve Swanson of NASA and Flight Engineers Alexander Skvortsov and Oleg Artemyev of Roscosmos.</t>
  </si>
  <si>
    <t>4yqmhsrfBoQ</t>
  </si>
  <si>
    <t>https://youtu.be/w0RuyH592S0</t>
  </si>
  <si>
    <t>Expedition 40 Soyuz Docks to Space Station</t>
  </si>
  <si>
    <t>The Soyuz TMA-13M carrying Reid Wiseman of NASA, Maxim Suraev of the Russian Federal Space Agency (Roscosmos) and Alexander Gerst of the European Space Agency docked to the International Space Station 262 miles above Earth and off the coast of northern Peru at 9:44 p.m. EDT on Wednesday, May 28.</t>
  </si>
  <si>
    <t>w0RuyH592S0</t>
  </si>
  <si>
    <t>2014 05 28</t>
  </si>
  <si>
    <t>https://youtu.be/g-NsdyAYO0g</t>
  </si>
  <si>
    <t>New Crew Begins Journey to Space Station</t>
  </si>
  <si>
    <t>Expedition 40/41 Soyuz Commander Max Suraev of the Russian Federal Space Agency (Roscosmos), NASA Flight Engineer Reid Wiseman and Flight Engineer Alexander Gerst of the European Space Agency launched on the Russian Soyuz TMA-13M spacecraft on May 29, Kazakh time from the Baikonur Cosmodrome in Kazakhstan to begin a six-hour journey to the International Space Station.</t>
  </si>
  <si>
    <t>g-NsdyAYO0g</t>
  </si>
  <si>
    <t>https://youtu.be/dobPM34aJs8</t>
  </si>
  <si>
    <t>Alexander Gerst Crew Profile</t>
  </si>
  <si>
    <t>Get to know European Space Agency astronaut Alexander Gerst, Expedition 40/41 Flight Engineer, who is on his first space flight mission.</t>
  </si>
  <si>
    <t>dobPM34aJs8</t>
  </si>
  <si>
    <t>https://youtu.be/T7OcgHp4Zp4</t>
  </si>
  <si>
    <t>Reid Wiseman Crew Profile</t>
  </si>
  <si>
    <t>Get to know NASA astronaut Reid Wiseman, Expedition 40/41 Flight Engineer, who is on his first space flight mission.</t>
  </si>
  <si>
    <t>T7OcgHp4Zp4</t>
  </si>
  <si>
    <t>https://youtu.be/PrOdwo8gU6I</t>
  </si>
  <si>
    <t>Max Suraev Crew Profile</t>
  </si>
  <si>
    <t>Get to know Roscosmos cosmonaut Max Suraev, Expedition 40 Flight Engineer and Expedition 41 Commander, who is on his second space flight mission to the International Space Station. His first being Expedition 21/22 Flight Engineer from September 2009 until March 2010.</t>
  </si>
  <si>
    <t>PrOdwo8gU6I</t>
  </si>
  <si>
    <t>2014 05 27</t>
  </si>
  <si>
    <t>https://youtu.be/0OxoEnzAhFg</t>
  </si>
  <si>
    <t>Expedition 40 41 Mission Overview</t>
  </si>
  <si>
    <t>The International Space Station has been a working science laboratory and exploration outpost for more than 15 years, and fostered advances in science and technology in that time. But it's the possibilities for future discoveries that have the crew members excited about this mission.</t>
  </si>
  <si>
    <t>0OxoEnzAhFg</t>
  </si>
  <si>
    <t>https://youtu.be/SSGhP0aOcAQ</t>
  </si>
  <si>
    <t>Space Station Live  Exploration Flight Test 1 Operations</t>
  </si>
  <si>
    <t>Public Affairs Officer Dan Huot interviews Flight Director Mike Sarafin about EFT-1, or Exploration Flight Test 1. The flight test of the Orion crew module will go from low-Earth orbit to high-Earth orbit on its second orbit and test a high energy re-entry into Earth's atmosphere.</t>
  </si>
  <si>
    <t>SSGhP0aOcAQ</t>
  </si>
  <si>
    <t>https://youtu.be/2v-3Cehq-d4</t>
  </si>
  <si>
    <t>Expedition 40 Crew Profile</t>
  </si>
  <si>
    <t>A brief biography of the crew of Expedition 40, Max Suraev, Alexander Gerst, and Reid Wiseman who will be launching to the International Space Station on May 28, 2014.</t>
  </si>
  <si>
    <t>2v-3Cehq-d4</t>
  </si>
  <si>
    <t>2014 05 23</t>
  </si>
  <si>
    <t>https://youtu.be/Q9Z6-1Lt00o</t>
  </si>
  <si>
    <t>Space Station Live  Short, High-Intensity Exercise to Stay in Space Shape</t>
  </si>
  <si>
    <t>Public Affairs Office Amiko Kauderer interviews Lori L. Ploutz-Snyder, lead investigator of the long-running Sprint VO2 exercise experiment. That study investigates high-intensity, low duration exercise techniques on the space station using a resistance device, an exercise bike and a treadmill.</t>
  </si>
  <si>
    <t>Q9Z6-1Lt00o</t>
  </si>
  <si>
    <t>https://youtu.be/jywPZvL7Vu0</t>
  </si>
  <si>
    <t>Space To Ground  Ready To Fly  May 23, 2014</t>
  </si>
  <si>
    <t>jywPZvL7Vu0</t>
  </si>
  <si>
    <t>2014 05 22</t>
  </si>
  <si>
    <t>https://youtu.be/vgZymJC4a-g</t>
  </si>
  <si>
    <t>Space Station Live  3D Printing in Space</t>
  </si>
  <si>
    <t>NASA and Made in Space, Inc., are working to send a 3-D printer to the International Space Station. The 3-D printing in Zero-G technology demonstration experiment will show that a 3-D printer can work normally in space. A 3-D printer extrudes streams of heated plastic, metal or other material, building layer on top of layer to create three-dimensional objects. Testing a 3-D printer on the space station is the first step towards establishing a working machine shop in space, a critical component for astronaut missions and in-space manufacturing. This is the weekly Payload Operations Integration Center segment from Marshall Space Flight Center in Huntsville, Alabama, and aired during Space Station Live on May 22, 2014.</t>
  </si>
  <si>
    <t>vgZymJC4a-g</t>
  </si>
  <si>
    <t>2014 05 21</t>
  </si>
  <si>
    <t>https://youtu.be/wUgBiEgF138</t>
  </si>
  <si>
    <t>Rodent Research in Microgravity</t>
  </si>
  <si>
    <t>There are components of rodent biology that are directly related to human biology. Almost every gene found in the human so far has been found in a closely related form in the rodent. We can use the rodent research model for understanding human changes in space. Because changes occur more quickly in rodents, we can study these changes more effectively.</t>
  </si>
  <si>
    <t>wUgBiEgF138</t>
  </si>
  <si>
    <t>https://youtu.be/_Hv3WDLqm3Q</t>
  </si>
  <si>
    <t>Space Station Live  CASIS Manages Station U.S. National Laboratory</t>
  </si>
  <si>
    <t>Space Station Live commentator Amiko Kauderer interviews Duane Ratliff, the chief operating officer for the Center for the Advancement of Science in Space (CASIS). In 2011, NASA chose CASIS to be the sole manager of the International Space Station U.S. National Laboratory. This interview aired during Space Station Live on May 21, 2014.</t>
  </si>
  <si>
    <t>_Hv3WDLqm3Q</t>
  </si>
  <si>
    <t>https://youtu.be/EnpPsLf43r4</t>
  </si>
  <si>
    <t>Expedition 40 41 Pre-Launch Activities at Baikonur Cosmodrome</t>
  </si>
  <si>
    <t>At the Baikonur Cosmodrome in Kazakhstan, Expedition 40/41 Soyuz Commander Max Suraev of the Russian Federal Space Agency (Roscosmos), NASA Flight Engineer Reid Wiseman and Flight Engineer Alexander Gerst of the European Space Agency participated in a variety of activities from May 15-21 as they prepared for their launch to the International Space Station on May 29, Kazakh time, in the Soyuz TMA-13M spacecraft.</t>
  </si>
  <si>
    <t>EnpPsLf43r4</t>
  </si>
  <si>
    <t>https://youtu.be/5bqqGcdtLYA</t>
  </si>
  <si>
    <t>Next Station Crew Tours Red Square on May 8</t>
  </si>
  <si>
    <t>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toured Red Square and the Kremlin in Moscow on May 8,  where they laid flowers at the Kremlin Wall where Russian space icons are interred.  Suraev, Wiseman and Gerst are scheduled for a May 29 launch, Kazakh time, in the Soyuz TMA-13M spacecraft to begin a six-month mission on the International Space Station.</t>
  </si>
  <si>
    <t>5bqqGcdtLYA</t>
  </si>
  <si>
    <t>2014 05 19</t>
  </si>
  <si>
    <t>https://youtu.be/zgR5treTe6s</t>
  </si>
  <si>
    <t>Space Station Live  X-Hab Academic Innovation Challenge</t>
  </si>
  <si>
    <t>Space Station Live commentator Amiko Kauderer interviews Lora Bailey, the Exploration Augmentation Module Project Manager regarding the X-Hab Academic Innovation Challenge.  The competition is a university-level challenge, intended to link with senior- and graduate-level design curricula that emphasize hands-on design, research, development, and manufacture of functional prototypical subsystems that enable functionality for space habitats and deep space exploration missions. This interview aired during Space Station Live on May 19, 2014.</t>
  </si>
  <si>
    <t>zgR5treTe6s</t>
  </si>
  <si>
    <t>2014 05 16</t>
  </si>
  <si>
    <t>https://youtu.be/WhGWOQr0m6E</t>
  </si>
  <si>
    <t>Space Station Live  Force Shoes</t>
  </si>
  <si>
    <t>Dr. Andrea Hanson, principal investigator for the Force Shoes experiment, joins Public Affairs Officer Brandi Dean to discuss the demonstration test to measure the static and dynamic loads experienced by astronauts exercising aboard the International Space Station. Researchers will use the measurements made by the XSENS ForceShoe™ system to quantify exercise load data which is needed for support of current and future human research experiments.</t>
  </si>
  <si>
    <t>WhGWOQr0m6E</t>
  </si>
  <si>
    <t>https://youtu.be/90MbOj7lD-Q</t>
  </si>
  <si>
    <t>Space to Ground  Return to Earth  05 16 2014</t>
  </si>
  <si>
    <t>90MbOj7lD-Q</t>
  </si>
  <si>
    <t>2014 05 15</t>
  </si>
  <si>
    <t>https://youtu.be/YeaxbbhOnX4</t>
  </si>
  <si>
    <t>Expedition 40 Departs to Launch Site</t>
  </si>
  <si>
    <t>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participated in traditional ceremonies at the Gagarin Cosmonaut Training Center in Star City, Russia, outside Moscow on May 15. Afterward, they departed for the Baikonur Cosmodrome in Kazakhstan to complete their training for the launch of Suraev, Wiseman and Gerst to the International Space Station in the Soyuz TMA-13M spacecraft on May 29, Kazakh time.
Read more about Expedition 40... http://go.nasa.gov/1sw4lGv</t>
  </si>
  <si>
    <t>YeaxbbhOnX4</t>
  </si>
  <si>
    <t>2014 05 14</t>
  </si>
  <si>
    <t>https://youtu.be/y0gy1WqB1n4</t>
  </si>
  <si>
    <t>Welcome Home Expedition 39!</t>
  </si>
  <si>
    <t>Expedition 39 Commander Koichi Wakata of the Japan Aerospace Exploration Agency, NASA Flight Engineer Rick Mastracchio and Soyuz Commander Mikhail Tyurin of the Russian Federal Space Agency (Roscosmos) were greeted in a traditional ceremony at the airport in Karaganda, Kazakhstan, on May 14, a few hours after landing in their Soyuz TMA-11M spacecraft in Kazakhstan near the town of Dzhezkazgan.. The footage includes interviews conducted with Mastracchio before he began the trip back to Houston.</t>
  </si>
  <si>
    <t>y0gy1WqB1n4</t>
  </si>
  <si>
    <t>https://youtu.be/Tq-mef33XBg</t>
  </si>
  <si>
    <t>The Power of NASA Interns</t>
  </si>
  <si>
    <t>NASA Johnson Space Center's internship program is designed to provide both an inspiring educational opportunity for students and productive help for the JSC team. 
For more information on internships and to apply, visit:
http://go.nasa.gov/1l9AL78</t>
  </si>
  <si>
    <t>Tq-mef33XBg</t>
  </si>
  <si>
    <t>2014 05 13</t>
  </si>
  <si>
    <t>https://youtu.be/rX6lI__Trvw</t>
  </si>
  <si>
    <t>Expedition 39 Soyuz Undocks from Station</t>
  </si>
  <si>
    <t>After spending 188 days aboard the International Space Station, Koichi Wakata, Rick Mastracchio and Mikhail Tyurin undocked from the station's Rassvet module at 6:36 p.m. EDT to begin their voyage home. Tyurin, the Soyuz commander, was at the controls of the Soyuz TMA-11M spacecraft. The crew is scheduled to land at 9:58 p.m. EDT, southeast of Dzhezkazgan, Kazakhstan.</t>
  </si>
  <si>
    <t>rX6lI__Trvw</t>
  </si>
  <si>
    <t>https://youtu.be/dfa6H1oWgEA</t>
  </si>
  <si>
    <t>Station Crewmates Board Soyuz for Journey Home</t>
  </si>
  <si>
    <t>Expedition 39 Commander Koichi Wakata of JAXA, Flight Engineer Rick Mastracchio of NASA, and Flight Engineer Mikhail Tyurin of Roscosmos entered their Soyuz TMA-11M spacecraft and the hatch was closed at 2:26pm central time.   The Soyuz will be undocking from ISS at 5:36pm central with a landing scheduled at 8:58pm central in Kazakhstan.</t>
  </si>
  <si>
    <t>dfa6H1oWgEA</t>
  </si>
  <si>
    <t>https://youtu.be/hxe4JHOFxM0</t>
  </si>
  <si>
    <t>Space Station Live  Latest Science on the Orbital Laboratory</t>
  </si>
  <si>
    <t>Public Affairs Officer Brandi interviews Expedition 39/40 Lead Increment Scientist Yuri Guinart-Ramirez. The International Space Station scientist talks about the advanced science, both complete and new experiments, taking place on the orbital laboratory.</t>
  </si>
  <si>
    <t>hxe4JHOFxM0</t>
  </si>
  <si>
    <t>2014 05 12</t>
  </si>
  <si>
    <t>https://youtu.be/mDekX5D6428</t>
  </si>
  <si>
    <t>Expedition 39 40 Change of Command Ceremony</t>
  </si>
  <si>
    <t>The reins of the International Space Station were passed from Koichi Wakata of the Japan Aerospace Exploration Agency to NASA's Steve Swanson during a ceremony on the orbital outpost on May 12.</t>
  </si>
  <si>
    <t>mDekX5D6428</t>
  </si>
  <si>
    <t>https://youtu.be/Jsa5Etrx3fs</t>
  </si>
  <si>
    <t>Bone Remodeling in Microgravity</t>
  </si>
  <si>
    <t>The bones in our bodies are alive, growing and changing all the time. The constant process of bones growing and changing is known as bone remodeling. While in microgravity, astronauts experience an increased rate of bone loss. This loss is similar to osteoporosis. Understanding bone loss associated with microgravity can help researchers understand the mechanisms of bone loss in a wide range of disorders.</t>
  </si>
  <si>
    <t>Jsa5Etrx3fs</t>
  </si>
  <si>
    <t>2014 05 09</t>
  </si>
  <si>
    <t>https://youtu.be/T-3S248Lqxw</t>
  </si>
  <si>
    <t>Space Station Live  Testing a New Spacesuit for an Asteroid Spacewalk</t>
  </si>
  <si>
    <t>Interview with NASA astronauts Stan Love and Steve Bowen, conducted during a Neutral Buoyancy Lab test run of the MACES spacesuit being developed for spacewalks on an asteroid exploration mission—the astronauts spoke with NASA commentator Pat Ryan live from underwater about NASA's plans for exploring an asteroid and developing the tools needed to support that plan.</t>
  </si>
  <si>
    <t>T-3S248Lqxw</t>
  </si>
  <si>
    <t>https://youtu.be/vJw0cYldD80</t>
  </si>
  <si>
    <t>Asteroid Initiative  Practicing for a Future Mission to an Asteroid</t>
  </si>
  <si>
    <t>Astronauts Stan Love and Steve Bowen practice climbing out of the Orion spacecraft and taking samples from an asteroid in the Neutral Buoyancy Laboratory at Johnson Space Center.</t>
  </si>
  <si>
    <t>vJw0cYldD80</t>
  </si>
  <si>
    <t>https://youtu.be/rvey9CPXdfc</t>
  </si>
  <si>
    <t>Space to Ground - 5 09 2014</t>
  </si>
  <si>
    <t>rvey9CPXdfc</t>
  </si>
  <si>
    <t>2014 05 08</t>
  </si>
  <si>
    <t>https://youtu.be/PPPn55TBnHc</t>
  </si>
  <si>
    <t>Expedition 39 NFL Draft Message</t>
  </si>
  <si>
    <t>NASA Astronauts and Flight Engineers of Expedition 39 Steve Swanson and Rick Mastracchio downlinked a message from the International Space Station to kick off the NFL network's draft night coverage. The International Space Station crew were asked by the NFL to provide this special message, since the Houston Texans are selected for the first draft and Houston is home of the space station astronauts back on Earth.</t>
  </si>
  <si>
    <t>PPPn55TBnHc</t>
  </si>
  <si>
    <t>2014 05 07</t>
  </si>
  <si>
    <t>https://youtu.be/hdEHYRK9Fwo</t>
  </si>
  <si>
    <t>Florida Students Learn About Station Operations</t>
  </si>
  <si>
    <t>JSC Digital Learning Network's Michael Hare introduces NASA Public Affairs Officer Pat Ryan, ISS ETHOS Officer Laura Beachy to students from Endeavour Elementary School, Cocoa, Fla.
The DLN connects students and teachers with NASA experts and education specialists using online communication technologies like video/web conferencing and webcasting. Register for free, interactive events listed in the catalog or watch the webcasts. http://dln.nasa.gov</t>
  </si>
  <si>
    <t>hdEHYRK9Fwo</t>
  </si>
  <si>
    <t>https://youtu.be/HWeGYVeRxxg</t>
  </si>
  <si>
    <t>Space Station Live  Imaging Earth from the Station</t>
  </si>
  <si>
    <t>ISS Commentator Bill Hubscher interviews Burgess Howell, the principal investigator and payload developer for the ISS Environmental Research and Visualization System (ISERV).</t>
  </si>
  <si>
    <t>HWeGYVeRxxg</t>
  </si>
  <si>
    <t>https://youtu.be/EdTl0Lzj93g</t>
  </si>
  <si>
    <t>Expedition 40 41 Final Exams</t>
  </si>
  <si>
    <t>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conducted final qualification training at the Gagarin Cosmonaut Training Center in Star City, Russia May 6 and 7.  Suraev, Wiseman and Gerst are scheduled for a May 29 launch, Kazakh time, in the Soyuz TMA-13M spacecraft to begin a six-month mission on the International Space Station.</t>
  </si>
  <si>
    <t>EdTl0Lzj93g</t>
  </si>
  <si>
    <t>2014 05 06</t>
  </si>
  <si>
    <t>https://youtu.be/6_jVQCx7AGc</t>
  </si>
  <si>
    <t>Space Station Live  Studying How Plants Sense Gravity</t>
  </si>
  <si>
    <t>Among the thousands of pounds of cargo inside that Dragon freight carrier there are a number of new science experiments designed to take advantage of the low Earth orbit environment; one of them, called Biotube MICRO, is focused on how plants sense and respond to gravity.  Space Station Live commentator Pat Ryan talks with Dr. Karl Hasenstein of the University of Louisiana at Lafayette to learn more.</t>
  </si>
  <si>
    <t>6_jVQCx7AGc</t>
  </si>
  <si>
    <t>2014 05 05</t>
  </si>
  <si>
    <t>https://youtu.be/P_eBWWlYgV8</t>
  </si>
  <si>
    <t>Music in Space, May 2, 2014</t>
  </si>
  <si>
    <t>Students from Pearl Hall Elementary school joined Astronaut Cady Coleman, Houston Symphony violinist Sergei Galperin, and Bella Galia founder &amp; violinist Kenji Williams in a live linkup between the Johnson Space Center and the International Space Station. Expedition 39 crew member Koichi Wakata joined Kenji Williams for a space-Earth duet of Gagaku music.</t>
  </si>
  <si>
    <t>P_eBWWlYgV8</t>
  </si>
  <si>
    <t>2014 05 02</t>
  </si>
  <si>
    <t>https://youtu.be/0nZ3lytNWiE</t>
  </si>
  <si>
    <t xml:space="preserve"> Music in Space  Event with Commander Koichi Wakata</t>
  </si>
  <si>
    <t>Expedition 39 commander Koichi Wakata along with students from Pearl Hall Elementary in Pasadena, Texas, performed songs with NASA astronaut Cady Coleman, Houston Symphony violinist Sergei Galperin and violinist Kenji Williams at NASA's Johnson Space Center in Houston.</t>
  </si>
  <si>
    <t>0nZ3lytNWiE</t>
  </si>
  <si>
    <t>https://youtu.be/XGIYrcwcWV4</t>
  </si>
  <si>
    <t>Space Station Live  Commercial Crew Manager Talks Spaceflight Future</t>
  </si>
  <si>
    <t>Public Affairs Officer Kyle Herring talks to Kathy Lueders, Commercial Crew Program Manager, about the private companies designing future spacecraft to take humans to and from low Earth orbit and the International Space Station.</t>
  </si>
  <si>
    <t>XGIYrcwcWV4</t>
  </si>
  <si>
    <t>https://youtu.be/JiMyvj0jsLY</t>
  </si>
  <si>
    <t>Space to Ground - 5 02 2014</t>
  </si>
  <si>
    <t>JiMyvj0jsLY</t>
  </si>
  <si>
    <t>2014 05 01</t>
  </si>
  <si>
    <t>https://youtu.be/mxUgl7Qngxg</t>
  </si>
  <si>
    <t>Space Station Live  Molecular Behavior of Solids, Liquids and Gases</t>
  </si>
  <si>
    <t>Tracy McMahan, a public affairs officer at the Marshall Space Flight Center, spoke with Gabriel Pont, DECLIC's mission manager from the French Space Agency (CNES). Data from the investigation wilkl show how various materials change from solid to liquid to gas and back again on the molecular level.
Read more about the experiment... http://go.nasa.gov/1dTMJ2V</t>
  </si>
  <si>
    <t>mxUgl7Qngxg</t>
  </si>
  <si>
    <t>2014 04 30</t>
  </si>
  <si>
    <t>https://youtu.be/KlRleRABIdg</t>
  </si>
  <si>
    <t>Space Station Live  Studying Plants in Space for Better Medicine</t>
  </si>
  <si>
    <t>Space Station Live commentator interviews Dr. Timothy Hammond, principal investigator for the Advanced Plant Experiments 2 delivered inside the SpaceX Dragon cargo spacecraft. The study investigates cell structures in space to improve new medicine development.</t>
  </si>
  <si>
    <t>KlRleRABIdg</t>
  </si>
  <si>
    <t>2014 04 29</t>
  </si>
  <si>
    <t>https://youtu.be/iDqg74xqZB4</t>
  </si>
  <si>
    <t>Space Station Live  Robotic Cargo Transfers from Dragon</t>
  </si>
  <si>
    <t>Public Affairs Officer Kyle Herring talks to Robotics Officer Troy McCracken about the external cargo being unloaded from the SpaceX Dragon's trunk. The Canadarm2 with the Dextre in its grasp is removing the HDEV and OPALS experiments.
http://www.nasa.gov/mission_pages/station/research/experiments/917.html
http://www.nasa.gov/mission_pages/station/research/experiments/861.html</t>
  </si>
  <si>
    <t>iDqg74xqZB4</t>
  </si>
  <si>
    <t>2014 04 28</t>
  </si>
  <si>
    <t>https://youtu.be/-4KWnWx1q3M</t>
  </si>
  <si>
    <t xml:space="preserve">Space Station Live   The Big Move </t>
  </si>
  <si>
    <t>Space Station Live commentator Kyle Herring interviews Paul Spana, the exhibits manager from Space Center Houston regarding "The Big Move" of the Shuttle Carrier Aircraft from Ellington Field to Space Center Houston.  This interview aired during Space Station Live on April 28, 2014.</t>
  </si>
  <si>
    <t>-4KWnWx1q3M</t>
  </si>
  <si>
    <t>2014 04 25</t>
  </si>
  <si>
    <t>https://youtu.be/QEBkes31Z8U</t>
  </si>
  <si>
    <t>Space Station Live  Adjusting to Life After Space</t>
  </si>
  <si>
    <t>Space Station Live commentator Kyle Herring interviews NASA Astronaut Mike Hopkins about his time aboard the International Space Station. While serving as a flight engineer during Expedition 37/38, Hopkins conducted a pair of U.S. spacewalks or a total of 12 hours and 58 minutes.</t>
  </si>
  <si>
    <t>QEBkes31Z8U</t>
  </si>
  <si>
    <t>https://youtu.be/Y21wlqIKkb0</t>
  </si>
  <si>
    <t>Space to Ground - 4 25 2014</t>
  </si>
  <si>
    <t>Y21wlqIKkb0</t>
  </si>
  <si>
    <t>2014 04 24</t>
  </si>
  <si>
    <t>https://youtu.be/D1B2fwK4vd0</t>
  </si>
  <si>
    <t>Space Station Live  Destination Station  Indianapolis</t>
  </si>
  <si>
    <t>Space Station Live commentator Kyle Herring interviews Megan Sumner, the media lead for Destination Station: Indianapolis. Destination Station is NASA's International Space Station Program national awareness campaign that promotes research opportunities, educates communities about activities performed on the International Space Station, and communicates the real and potential impacts of the station on our everyday lives.</t>
  </si>
  <si>
    <t>D1B2fwK4vd0</t>
  </si>
  <si>
    <t>https://youtu.be/bTNUHsTwq0A</t>
  </si>
  <si>
    <t>Space Station Live  Gardening in Space</t>
  </si>
  <si>
    <t>Paul Zamprelli, Business Director for Orbital Technologies Corp., talks about the VEGGIES experiment. The study will provide the technology to grow vegetables such as lettuce, tomatoes and radishes for astronaut consumption.</t>
  </si>
  <si>
    <t>bTNUHsTwq0A</t>
  </si>
  <si>
    <t>https://youtu.be/ZPATyyn39uM</t>
  </si>
  <si>
    <t>Test Version of Orion is Dropped C-17</t>
  </si>
  <si>
    <t>A test version of Orion is dropped from a C-17, while flying 13,000 feet above the Arizona desert at the U.S. Army's Yuma Proving Ground on April 23. The spacecraft is released from the airplane on a sled that moves it safely away. Then a series of programmer parachutes get it into position for the test before the three massive orange and white main parachutes deploy. This was the first parachute test to simulate a launch abort scenario.</t>
  </si>
  <si>
    <t>ZPATyyn39uM</t>
  </si>
  <si>
    <t>2014 04 23</t>
  </si>
  <si>
    <t>https://youtu.be/WcI1e4KiDv0</t>
  </si>
  <si>
    <t>Shuttle Carrier Aircraft</t>
  </si>
  <si>
    <t>It has been called the world's greatest piggyback ride: a space shuttle, atop a Boeing 747 jet aircraft. But this is no ordinary 747, this is the Shuttle Carrier Aircraft...the SCA. This specially modified jumbo jet was not only a taxi service for the shuttle, but also helped in the development of the shuttle itself. In 30 years of flying, the majestic image of a spacecraft joined to the SCA, became a symbol of American invention and ingenuity.</t>
  </si>
  <si>
    <t>WcI1e4KiDv0</t>
  </si>
  <si>
    <t>2014 04 22</t>
  </si>
  <si>
    <t>https://youtu.be/ioxNYPrn228</t>
  </si>
  <si>
    <t>The Neutral Buoyancy Lab - We're Open for Business!</t>
  </si>
  <si>
    <t>Video presentation describing some of the NBL's features, programs, and facilities available for commercial use at NASA's Sonny Carter Training Facility near Johnson Space Center in Houston.</t>
  </si>
  <si>
    <t>ioxNYPrn228</t>
  </si>
  <si>
    <t>https://youtu.be/0rgshsCRHN0</t>
  </si>
  <si>
    <t>Space Station Live  Earth Observation From Space</t>
  </si>
  <si>
    <t>Space Station Live commentator Kyle Herring interviews Dr. William Stefanov from the Earth Science &amp; Remote Sensing Unit at Johnson Space Center about Earth Observations from space and methods of doing so such as via handheld photography and I-SERV, the ISS Environmental Research and Visualization System.  This interview aired during Space Station Live on Earth Day, April 22, 2014.</t>
  </si>
  <si>
    <t>0rgshsCRHN0</t>
  </si>
  <si>
    <t>2014 04 18</t>
  </si>
  <si>
    <t>https://youtu.be/fIQMdNhpPgQ</t>
  </si>
  <si>
    <t>Space to Ground - 4 18 2014</t>
  </si>
  <si>
    <t>fIQMdNhpPgQ</t>
  </si>
  <si>
    <t>2014 04 16</t>
  </si>
  <si>
    <t>https://youtu.be/PHlcmLQM9Ug</t>
  </si>
  <si>
    <t>Space Station Live  Spacewalk to Replace a Failed Computer</t>
  </si>
  <si>
    <t>Public Affairs Officer Amiko Kauderer and NASA Astronaut Chris Cassidy discussed upcoming EVA 26 to be conducted by Expedition 39 Flight Engineers Steve Swanson and Rick Mastracchio. They will replace a failed backup computer relay box also known as a multiplexer-demultiplexer (MDM).</t>
  </si>
  <si>
    <t>PHlcmLQM9Ug</t>
  </si>
  <si>
    <t>https://youtu.be/rO4apgo_1e4</t>
  </si>
  <si>
    <t>Space Station Live  Satellites Connected to Smartphones</t>
  </si>
  <si>
    <t>Lori Meggs interviews SGT Inc., project manager Chris Provencher, from the Intelligent Robotics Group at Ames Research Center about Smart SPHERES. By connecting a smartphone to SPHERES (Synchronized Position Hold, Engage, Reorient, Experimental Satellites), the volleyball-sized free-flying satellites become Smart SPHERES. They now are more intelligent because they have built-in cameras to take pictures and video, sensors to help conduct inspections, powerful computing units to make calculations and Wi-Fi connections to transfer data in real time to the computers aboard the space station and at mission control. This is the weekly POIC segment from MSFC and aired during Space Station Live on April 16, 2014.</t>
  </si>
  <si>
    <t>rO4apgo_1e4</t>
  </si>
  <si>
    <t>https://youtu.be/LPA4HNFURnU</t>
  </si>
  <si>
    <t>Astronaut Mike Hopkins  Workout in Space 5</t>
  </si>
  <si>
    <t>Astronaut Mike Hopkins, a lifelong athlete, worked closely with his strength and conditioning coach Mark Guilliams to develop these specially-designed workouts in orbit. Shown here, Hopkins is using the Advanced Resistive Exercise Device to perform this challenging workout -- five sets of seven push-ups, seven pull-ups and 21 Sumo-deadlift high-pulls.</t>
  </si>
  <si>
    <t>LPA4HNFURnU</t>
  </si>
  <si>
    <t>2014 04 14</t>
  </si>
  <si>
    <t>https://youtu.be/xTlaGbsHq9A</t>
  </si>
  <si>
    <t>Flying Robots in Space with Megan Levins</t>
  </si>
  <si>
    <t>This is the Digital Learning Network (DLN) Event with Corpus Christi Catholic School, Chambersburg, PA.  This aired on April 10, 2014.</t>
  </si>
  <si>
    <t>xTlaGbsHq9A</t>
  </si>
  <si>
    <t>https://youtu.be/wAogqm7sxoM</t>
  </si>
  <si>
    <t>Space Station Live  Improving Capturing Earth Imagery</t>
  </si>
  <si>
    <t>SSL interview with Burgess Howell, the payload developer and principal investigator of the ISERV experiment on the International Space Station.  The ISS SERVIR Environmental Research and Visualization System, which captures images of Earth through a window in the station's Destiny laboratory, is testing methods of improving automatic image capturing and data transfer, but the images it captures are also useful to environmental scientists, disaster response teams, and other users on Earth.  NASA's SERVIR project operates in partnership with the U.S. Agency for International Development.
Read more about ISERV... http://go.nasa.gov/1kYSZbE</t>
  </si>
  <si>
    <t>wAogqm7sxoM</t>
  </si>
  <si>
    <t>https://youtu.be/BMFB2oudXZc</t>
  </si>
  <si>
    <t>Space Station Live  Walking in Space to Fix a Computer</t>
  </si>
  <si>
    <t>Space Station Live commentator Amiko Kauderer interviews International Space Station Operations and Integration Manager Kenny Todd about the failed Multiplexer Demultiplexer (MDM) on ISS and the spacewalk to fix it. Todd also gave a status for the upcoming SpaceX Dragon-3 launch.  This interview aired during Space Station Live on April 14, 2014.</t>
  </si>
  <si>
    <t>BMFB2oudXZc</t>
  </si>
  <si>
    <t>https://youtu.be/irQHIhwDqGQ</t>
  </si>
  <si>
    <t>Space Station Live  How Do Roots Grow in Space</t>
  </si>
  <si>
    <t>Space Station Live commentator Amiko Kauderer interviews the principal investigator of the CARA experiment, Dr. Anna-Lisa Paul, from the University of Florida. The CARA (Characterizing Arabidopsis Root Attractions) Experiment focuses on the growth and development of Arabidopsis thaliana seedlings in the space flight environment, with a specific focus on how a root knows which direction to grow in when gravity is absent.</t>
  </si>
  <si>
    <t>irQHIhwDqGQ</t>
  </si>
  <si>
    <t>2014 04 11</t>
  </si>
  <si>
    <t>https://youtu.be/Nm2_BwnCL7I</t>
  </si>
  <si>
    <t>Space to Ground - 4 11 2014</t>
  </si>
  <si>
    <t>Nm2_BwnCL7I</t>
  </si>
  <si>
    <t>2014 04 10</t>
  </si>
  <si>
    <t>https://youtu.be/KcAvwEKwScM</t>
  </si>
  <si>
    <t>Space Station Live  Scott Kelly Discusses Year-Long Mission</t>
  </si>
  <si>
    <t>Space Station Live commentator Pat Ryan interviews NASA astronaut Scott Kelly about his upcoming year-long mission to the International Space Station. The mission is set to launch in late March 2015.  This aired during Space Station Live on April 10, 2014.</t>
  </si>
  <si>
    <t>KcAvwEKwScM</t>
  </si>
  <si>
    <t>2014 04 09</t>
  </si>
  <si>
    <t>https://youtu.be/L04fa4JvdAQ</t>
  </si>
  <si>
    <t>Astronaut Mike Hopkins  Workout in Space 4</t>
  </si>
  <si>
    <t>Astronaut Mike Hopkins, a lifelong athlete, worked closely with his strength and conditioning coach Mark Guilliams to develop these specially-designed workouts in orbit. Shown here, Hopkins is using the the station's treadmill and the Advanced Resistive Exercise Device to perform this challenging workout -- four rounds of 200m run, 11 thrusters, 200m run, 11 shoulder presses, 200m run and 11 bench presses.</t>
  </si>
  <si>
    <t>L04fa4JvdAQ</t>
  </si>
  <si>
    <t>https://youtu.be/iEabhqI0i-0</t>
  </si>
  <si>
    <t>Space Station Live  Binary Colloidal Alloy Test</t>
  </si>
  <si>
    <t>Payload Operations Engineer Martin Richard, from the Canadian Space Agency, describes the Binary Colloidal Alloy Test that is aboard the International Space Station. BCAT-C1 will study nano-scale particles dispersed in a liquid, known as a colloidal suspension, commonly found in such commercial commodities as paint, electronic polishing compounds and food products. These suspensions have the unique property that they will phase separate (like oil and water) and the particles will self-assemble into crystals that interact strongly with light (like opal). Photographing these samples in microgravity will allow the measurement of these processes while avoiding the effects of particles sinking due to gravity. This study will allow the development of new insights into this important material process.</t>
  </si>
  <si>
    <t>iEabhqI0i-0</t>
  </si>
  <si>
    <t>2014 04 04</t>
  </si>
  <si>
    <t>https://youtu.be/r7wxiT3lDOU</t>
  </si>
  <si>
    <t>Space Station Live  Story Time From Space</t>
  </si>
  <si>
    <t>Marshall Space Flight Center's Lori Meggs interviews astrophysicist and children's book author Jeffrey Bennett ("Max Goes to the Moon') and astronaut Alvin Drew about the "Story Time from Space" project, where astronauts on the International Space Station read stories to the children of Earth as the world rotates below.</t>
  </si>
  <si>
    <t>r7wxiT3lDOU</t>
  </si>
  <si>
    <t>https://youtu.be/-s09OuW8JPo</t>
  </si>
  <si>
    <t>Space to Ground - 4 4 2014</t>
  </si>
  <si>
    <t>-s09OuW8JPo</t>
  </si>
  <si>
    <t>2014 04 03</t>
  </si>
  <si>
    <t>https://youtu.be/BMmIouNDv6M</t>
  </si>
  <si>
    <t>Space Station Live   Crowdsourced  Microbes Heading to Station</t>
  </si>
  <si>
    <t>NASA Public Affairs Officer Dan Huot talks with Dr. David Coil about Project MERCCURI, which will study a "crowdsourced" collection of microbial samples scheduled to launch to the International Space Station aboard the SpaceX-3 mission.</t>
  </si>
  <si>
    <t>BMmIouNDv6M</t>
  </si>
  <si>
    <t>https://youtu.be/ygvMe7roCaw</t>
  </si>
  <si>
    <t>Animation of Station's Cyclops Satellite Deployer</t>
  </si>
  <si>
    <t>This animation shows how the Cyclops Deployment System launches satellites in the 50 to 100 kg class from the International Space Station. Cyclops is set to launch in mid to late 2014 on a SpaceX-4 resupply mission.</t>
  </si>
  <si>
    <t>ygvMe7roCaw</t>
  </si>
  <si>
    <t>2014 04 02</t>
  </si>
  <si>
    <t>https://youtu.be/xHm075F1yZQ</t>
  </si>
  <si>
    <t>Space Station Live  Hybrid Training</t>
  </si>
  <si>
    <t>Space Station Live commentator Dan Huot interviews JAXA's manager for ISS Life Science Mission Integration, Dr. Masaki Shirakawa, regarding the Hybrid Training experiment on the International Space Station.  This aired during Space Station Live on April 2, 2014.</t>
  </si>
  <si>
    <t>xHm075F1yZQ</t>
  </si>
  <si>
    <t>2014 04 01</t>
  </si>
  <si>
    <t>https://youtu.be/Pr8Aj5rgU_8</t>
  </si>
  <si>
    <t>Space Station Live  Multi-Gas Monitor Device</t>
  </si>
  <si>
    <t>Space Station Live commentator Dan Huot interviews Dr. Paul Mudgett, the principal investigator of the Multi-Gas Monitor device that is aboard the International Space Station.  This aired during Space Station Live on April 1, 2014.</t>
  </si>
  <si>
    <t>Pr8Aj5rgU_8</t>
  </si>
  <si>
    <t>2014 03 31</t>
  </si>
  <si>
    <t>https://youtu.be/20uz55rpYAo</t>
  </si>
  <si>
    <t>Expedition 39 Flight Engineer Steve Swanson</t>
  </si>
  <si>
    <t>Meet NASA astronaut Steve Swanson, Expedition 39 flight engineer and Expedition 40 commander for the crew of the International Space Station.</t>
  </si>
  <si>
    <t>20uz55rpYAo</t>
  </si>
  <si>
    <t>https://youtu.be/fsaIJX_DBWs</t>
  </si>
  <si>
    <t>Expedition 39 Flight Engineer Alexander Skvortsov</t>
  </si>
  <si>
    <t>Meet Roscosmos cosmonaut Alexander Skvortsov, flight engineer for the Expedition 39 crew of the International Space Station.</t>
  </si>
  <si>
    <t>fsaIJX_DBWs</t>
  </si>
  <si>
    <t>https://youtu.be/se6_0AeVPGA</t>
  </si>
  <si>
    <t>Expedition 39 Flight Engineer Oleg Artemyev</t>
  </si>
  <si>
    <t>Meet Roscosmos cosmonaut Oleg Artemyev, flight engineer for the Expedition 39 crew of the International Space Station.</t>
  </si>
  <si>
    <t>se6_0AeVPGA</t>
  </si>
  <si>
    <t>2014 03 28</t>
  </si>
  <si>
    <t>https://youtu.be/-D4osuNnrMc</t>
  </si>
  <si>
    <t>Space Station Live  Expedition 39 Hatch Opening and Crew Greeting</t>
  </si>
  <si>
    <t>Three Expedition 39 Flight Engineers enter the International Space Station for a welcoming ceremony after a two-day mission to the orbital laboratory.</t>
  </si>
  <si>
    <t>-D4osuNnrMc</t>
  </si>
  <si>
    <t>https://youtu.be/4PsY00wNjnQ</t>
  </si>
  <si>
    <t>Space Station Live  Micro-7 Experiment to Launch on SpaceX-3</t>
  </si>
  <si>
    <t>Space Station Live commentator Brandi Dean interviews Dr. Honglu Wu, the principal investigator of the Micro-7 experiment that is set to launch aboard SpaceX-3.  This aired during Space Station Live on March 28, 2014.</t>
  </si>
  <si>
    <t>4PsY00wNjnQ</t>
  </si>
  <si>
    <t>https://youtu.be/u0yumDyPS7U</t>
  </si>
  <si>
    <t>Space to Ground - 3 28 2014</t>
  </si>
  <si>
    <t>NASA's Space to Ground is your weekly update on what's happening aboard the International Space Station. Got a question or comment? Use #spacetoground to talk to us.
Minus Eighty-Degree Laboratory Freezer for ISS...
http://www.nasa.gov/mission_pages/station/research/experiments/58.html</t>
  </si>
  <si>
    <t>u0yumDyPS7U</t>
  </si>
  <si>
    <t>https://youtu.be/7bq_03LEXiA</t>
  </si>
  <si>
    <t>Expedition 39 Docks to Station After Two Day Trip</t>
  </si>
  <si>
    <t>Expedition 39/40 Soyuz Commander Alexander Skvortsov of the Russian Federal Space Agency (Roscosmos), Flight Engineer Steve Swanson of NASA and Flight Engineer Oleg Artemyev of Roscosmos arrived at the International Space Station at 7:53 EDT on March 27. They docked their Soyuz TMA-12M spacecraft to the Poisk module on the Russian segment of the complex.
Read about the docking... http://go.nasa.gov/P8nKk1</t>
  </si>
  <si>
    <t>7bq_03LEXiA</t>
  </si>
  <si>
    <t>2014 03 27</t>
  </si>
  <si>
    <t>https://youtu.be/Yn-ZiAxeUBg</t>
  </si>
  <si>
    <t>Space Station Live  Protein Crystal Growth for Treatment of Immunological Disorders</t>
  </si>
  <si>
    <t>NASA Public Affairs Officer Brandi Dean talks with Paul Reichert of Merck Research Laboratories in N.J. about the Merck PCG study, which looks at the crystallization of monoconal antibodies for use in clinical trials treating immunological disorders. The hardware for Merck PCG is set to fly to the International Space Station during the SpaceX-3 cargo mission.</t>
  </si>
  <si>
    <t>Yn-ZiAxeUBg</t>
  </si>
  <si>
    <t>https://youtu.be/I-QhM18OQZE</t>
  </si>
  <si>
    <t>Jessica Eagan with the station's Payload Operations Integration Center at NASA's Marshall Space Flight Center in Huntsville, Ala., caught up with Matt Abrahamson, the mission manager for the Optical Payload for Lasercomm Science or OPALS. Scheduled to head to the station on the SpaceX-3 cargo mission, OPALS is studying ways to use lasers for communications.</t>
  </si>
  <si>
    <t>I-QhM18OQZE</t>
  </si>
  <si>
    <t>2014 03 26</t>
  </si>
  <si>
    <t>https://youtu.be/IJJk_lYuIGg</t>
  </si>
  <si>
    <t>Soyuz Docking With Station Delayed to Thursday</t>
  </si>
  <si>
    <t>Space Station Mission Operations Integration Manager Kenny Todd talks with Public Affairs Officer Brandi Dean about the postponement of the Soyuz's docking with the International Space Station. 
NASA astronaut Steve Swanson and Russian cosmonauts Alexander Skvortsov and Oleg Artemyev launched aboard the Soyuz TMA-12M on Tuesday at 5:17 p.m. EDT from the Baikonur Cosmodrome in Kazakhstan. The three were expected to dock Tuesday night but reverted to a backup 34-orbit rendezvous, which will result in an arrival and docking on Thursday.</t>
  </si>
  <si>
    <t>IJJk_lYuIGg</t>
  </si>
  <si>
    <t>https://youtu.be/YWzRCbLvIrc</t>
  </si>
  <si>
    <t>Expedition 39 40 Mission Overview</t>
  </si>
  <si>
    <t>More than 15 years after its first element was launched, the International Space Station is now a round-the-clock laboratory that supports a crew of six working on cutting-edge science.</t>
  </si>
  <si>
    <t>YWzRCbLvIrc</t>
  </si>
  <si>
    <t>https://youtu.be/0DUn_N2o9G0</t>
  </si>
  <si>
    <t>Meet the Station's Expedition 39 Crew</t>
  </si>
  <si>
    <t>A profile of the members of the Expedition 39 crew, Commander Koichi Wakata and flight engineers Mikhail Tyurin, Rick Mastracchio, Alexander Skvortsov, Oleg Artemiev and Steve Swanson, covering their educational and professional backgrounds and their reasons for pursuing a career in human space exploration.</t>
  </si>
  <si>
    <t>0DUn_N2o9G0</t>
  </si>
  <si>
    <t>2014 03 25</t>
  </si>
  <si>
    <t>https://youtu.be/E_fZI-Vltrc</t>
  </si>
  <si>
    <t>Expedition 39 40 Launches to the International Space Station</t>
  </si>
  <si>
    <t>Expedition 39/40 Soyuz Commander Alexander Skvortsov of the Russian Federal Space Agency (Roscosmos), Flight Engineer Steve Swanson of NASA and Flight Engineer Oleg Artemyev of Roscosmos launched on the Russian Soyuz TMA-12M spacecraft on March 26, Kazakh time from the Baikonur Cosmodrome in Kazakhstan to begin a six-hour journey to the International Space Station. Once aboard the orbital outpost, the trio will start a six-month mission.</t>
  </si>
  <si>
    <t>E_fZI-Vltrc</t>
  </si>
  <si>
    <t>https://youtu.be/N1zF4BM50Dk</t>
  </si>
  <si>
    <t>Space Station Live  Astronaut Steve Swanson Interview</t>
  </si>
  <si>
    <t>NASA astronaut Steve Swanson talks with NASA Public Affairs Officer Brandi Dean about his upcoming mission to the International Space Station.   Swanson and Russian cosmonauts Alexander Skvortsov and Oleg Artemyev are scheduled to launch aboard the Soyuz TMA-12M spacecraft from Baikonur at 5:17 p.m. EDT Tuesday (3:17 a.m. Wednesday, Kazakh time) to begin a 6-hour trek to the station.</t>
  </si>
  <si>
    <t>N1zF4BM50Dk</t>
  </si>
  <si>
    <t>2014 03 24</t>
  </si>
  <si>
    <t>https://youtu.be/YWnmWGDVsxs</t>
  </si>
  <si>
    <t>Expedition 39 Crew Profile</t>
  </si>
  <si>
    <t>A profile of the newest members of the Expedition 39 crew, NASA astronaut Steve Swanson and cosmonauts Alexander Skvortsov and Oleg Artemiev, covering their educational and professional backgrounds and their reasons for pursuing a career in human space exploration.</t>
  </si>
  <si>
    <t>YWnmWGDVsxs</t>
  </si>
  <si>
    <t>https://youtu.be/Ul3eJ7NT6E8</t>
  </si>
  <si>
    <t>Space Station Live  Astronaut Twins Unique Opportunity for Research</t>
  </si>
  <si>
    <t>Public Affairs Officer Brandi Dean talks with Dr. Craig Kundrot, deputy chief scientist for NASA's Human Research Program, about the scientific studies that were made possible by NASA's decision to fly veteran astronaut Scott Kelly aboard the International Space Station for one year, beginning March 2015, while his identical twin brother, retired astronaut Mark Kelly, remains on Earth.
NASA's Human Research Program will fund 10 short-term, first-of-its-kind investigations into the molecular, physiological and psychological effects of spaceflight in a continuous effort to reduce the health impacts of human space exploration.</t>
  </si>
  <si>
    <t>Ul3eJ7NT6E8</t>
  </si>
  <si>
    <t>2014 03 21</t>
  </si>
  <si>
    <t>https://youtu.be/X_mLDfhDxS8</t>
  </si>
  <si>
    <t>Expedition 39 40 Crew Preps for Launch to Station</t>
  </si>
  <si>
    <t>Expedition 39/40 Soyuz Commander Alexander Skvortsov of the Russian Federal Space Agency (Roscosmos), NASA Flight Engineer Steve Swanson and Flight Engineer Oleg Artemyev of Roscosmos participated in a final "fit check" dress rehearsal in their Soyuz TMA-12M spacecraft and conducted other pre-launch activities at the Baikonur Cosmodrome in Kazakhstan March 21 as they prepared for their launch to the International Space Station on March 26, Kazakh time for a six-month mission on the orbital outpost.</t>
  </si>
  <si>
    <t>X_mLDfhDxS8</t>
  </si>
  <si>
    <t>https://youtu.be/womKV58QTHY</t>
  </si>
  <si>
    <t>Recycling Water on Space Station</t>
  </si>
  <si>
    <t>Japan Aerospace Exploration Agency astronaut Koichi Wakata discusses the the International Space Station's Water Recovery System, which recycles urine and waste water into clean water. Or as Wakata puts it, "Here on board the ISS, we turn yesterday's coffee into tomorrow's coffee."</t>
  </si>
  <si>
    <t>womKV58QTHY</t>
  </si>
  <si>
    <t>https://youtu.be/_6-OhcXD-DQ</t>
  </si>
  <si>
    <t>Space to Ground - 3 21 2014</t>
  </si>
  <si>
    <t>NASA's Space to Ground is your weekly update on what's happening aboard the International Space Station. Got a question or comment? Use #spacetoground to talk to us.
Reversible Figures:
http://www.nasa.gov/mission_pages/station/research/experiments/971.html</t>
  </si>
  <si>
    <t>_6-OhcXD-DQ</t>
  </si>
  <si>
    <t>2014 03 19</t>
  </si>
  <si>
    <t>https://youtu.be/ffJiiceuwok</t>
  </si>
  <si>
    <t>Expedition 39 40 Activities from the Baikonur Cosmodrome</t>
  </si>
  <si>
    <t>At the Baikonur Cosmodrome in Kazakhstan, Expedition 39/40 Soyuz Commander Alexander Skvortsov of the Russian Federal Space Agency (Roscosmos), Flight Engineer Steve Swanson of NASA and Flight Engineer Oleg Artemyev of Roscosmos participated in a variety of activities from March 13-19 as they prepared for launch to the International Space Station on March 26, Kazakh time, in the Soyuz TMA-12M spacecraft. The video includes the crew's arrival in Baikonur and a dress rehearsal fit check in their Soyuz spacecraft.</t>
  </si>
  <si>
    <t>ffJiiceuwok</t>
  </si>
  <si>
    <t>https://youtu.be/fGWM7jAPtJI</t>
  </si>
  <si>
    <t>Space Station Live  Servicing Satellites in Space</t>
  </si>
  <si>
    <t>Goddard Space Flight Center's Jill McGuire, the project manager for the Robotic Refueling Mission and Charles Bacon, Satellite Servicing Capabilities Office Systems Engineer explains the Robotic Refueling Mission. This is the weekly Payload Operations Integration Center segment from Marshall Space Flight Center and aired during Space Station Live on March 19, 2014.</t>
  </si>
  <si>
    <t>fGWM7jAPtJI</t>
  </si>
  <si>
    <t>2014 03 18</t>
  </si>
  <si>
    <t>https://youtu.be/GqurHxFwUcM</t>
  </si>
  <si>
    <t>Space Station Live  Space Garden Launching to Station</t>
  </si>
  <si>
    <t>Dr. Gioia Massa, Veggie Hardware Validation Test Science Team Lead, discusses the Veggie payload set to launch to the International Space Station aboard SpaceX-3 commercial resupply services mission.  The hardware for Veggie will support the largest garden ever aboard the station.</t>
  </si>
  <si>
    <t>GqurHxFwUcM</t>
  </si>
  <si>
    <t>https://youtu.be/8jzKD-nWFfQ</t>
  </si>
  <si>
    <t>Astronaut Karen Nyberg Talks With Minnesota Students</t>
  </si>
  <si>
    <t>From NASA's International Space Station Mission Control Center, NASA astronaut Karen Nyberg participated in a Digital Learning Network (DLN) event with students from Edna I. Murphy Elementary School in Grand Rapids, Minn.
The DLN connects students and teachers with NASA experts and education specialists using online communication technologies like video/web conferencing and webcasting. Register for free, interactive events listed in the catalog or watch the webcasts. http://dln.nasa.gov</t>
  </si>
  <si>
    <t>8jzKD-nWFfQ</t>
  </si>
  <si>
    <t>https://youtu.be/ZxojSJEntBY</t>
  </si>
  <si>
    <t>Introducing the Expedition 40 41 Flight Crew</t>
  </si>
  <si>
    <t>NASA astronaut Reid Wiseman, Russian cosmonaut Maxim Suraev and European Space Agency astronaut Alexander Gerst will launch aboard a Soyuz spacecraft in May 2014 to begin a 6-month mission aboard the International Space Station.</t>
  </si>
  <si>
    <t>ZxojSJEntBY</t>
  </si>
  <si>
    <t>https://youtu.be/Zb46Pv-9feU</t>
  </si>
  <si>
    <t>Family Tradition Continues With Flowers at Mission Control</t>
  </si>
  <si>
    <t>The upcoming launch of the Expedition 39/40 crew is celebrated with the continuation of a tradition that has buoyed the spirits of Houston's Mission Control Center flight teams since the STS-26 shuttle mission in 1988. A bouquet of roses from the Shelton and Murphy families near Dallas, Texas, arrived like clockwork in the flight control center as an ongoing show of support for the upcoming mission. The bouquets always include a rose of a similar color for each astronaut, plus a single white rose in memory of those astronauts whose lives have been lost in NASA's exploration of space.</t>
  </si>
  <si>
    <t>Zb46Pv-9feU</t>
  </si>
  <si>
    <t>2014 03 14</t>
  </si>
  <si>
    <t>https://youtu.be/lJtQNzykPWQ</t>
  </si>
  <si>
    <t>Space to Ground - 3 14 2014</t>
  </si>
  <si>
    <t>lJtQNzykPWQ</t>
  </si>
  <si>
    <t>2014 03 13</t>
  </si>
  <si>
    <t>https://youtu.be/foPpqALlHt4</t>
  </si>
  <si>
    <t>I'm On Board Orion Coloring Sheet How-To</t>
  </si>
  <si>
    <t>NASA's newest spacecraft, Orion will launch this fall on its first trip to space, and on future exploration missions, it will take humans farther than they've ever been before! 
Channel your inner astronaut and artist and unleash your creativity on this Orion coloring sheet, then show the world by sharing a photo with the artwork on social media with the hashtag #ImOnBoard.
Find the coloring sheet at... http://go.nasa.gov/1fAYxZS
Share it at...
http://www.facebook.com/NASAOrion
http://www.twitter.com/NASA_Orion
http://www.instagram.com/ExploreNASA.
Learn more about Orion at http://www.nasa.gov/orion</t>
  </si>
  <si>
    <t>foPpqALlHt4</t>
  </si>
  <si>
    <t>https://youtu.be/KBNx5RzQAv4</t>
  </si>
  <si>
    <t>Space Station Live  Protein Crystallization Experiment Launching on SpaceX</t>
  </si>
  <si>
    <t>Space Station Live commentator Amiko Kauderer interviews CASIS PCG HDPCG-2 Principal Investigator Dr. Stephen Aller regarding the Advancing Membrane Protein Crystallization by Using Microgravity experiment set to launch aboard SpaceX-3.</t>
  </si>
  <si>
    <t>KBNx5RzQAv4</t>
  </si>
  <si>
    <t>https://youtu.be/P33j8iK6u0I</t>
  </si>
  <si>
    <t>Space Station Live  Protein Crystal Growth in Microgravity</t>
  </si>
  <si>
    <t>NASA Public Affairs Officer Amiko Kauderer speaks with Dr. Larry DeLucas of the Center for Structural Biology at the University of Alabama at Birmingham about the CPCG-HM experiment, flying to the International Space Station on the SpaceX Dragon cargo vehicle targeted to launch March 16, 2014.  DeLucas' research seeks to demonstrate the growth in microgravity of high-quality protein crystals of membrane proteins to help researchers determine how those proteins function in the disease processes and thus aid in the development of treatment drugs.</t>
  </si>
  <si>
    <t>P33j8iK6u0I</t>
  </si>
  <si>
    <t>2014 03 12</t>
  </si>
  <si>
    <t>https://youtu.be/5FCk6zBcpsE</t>
  </si>
  <si>
    <t>Space Station Live  Studying Proccesses Behind Planet Formation</t>
  </si>
  <si>
    <t>Planetary scientist Joshua Colwell discusses an International Space Station physics experiment that could help researchers learn more about how planets form.</t>
  </si>
  <si>
    <t>5FCk6zBcpsE</t>
  </si>
  <si>
    <t>2014 03 11</t>
  </si>
  <si>
    <t>https://youtu.be/9XJ1vZKtXjk</t>
  </si>
  <si>
    <t>Preparing America for Deep Space Exploration  Episode 5</t>
  </si>
  <si>
    <t>The Orion, Space Launch System and Ground Systems Development and Operations program are making steady progress toward sending humans farther than they've ever been before.</t>
  </si>
  <si>
    <t>9XJ1vZKtXjk</t>
  </si>
  <si>
    <t>https://youtu.be/sKYGkhwThaw</t>
  </si>
  <si>
    <t>Space Station Live  Upcoming Science on Station</t>
  </si>
  <si>
    <t>NASA Public Affairs Officer Amiko Kauderer talks with Yuri Guinart-Ramirez, the lead increment scientist for Expedition 39/40, about some of the research scheduled to take place aboard the International Space Station.</t>
  </si>
  <si>
    <t>sKYGkhwThaw</t>
  </si>
  <si>
    <t>https://youtu.be/pcj37jkpipU</t>
  </si>
  <si>
    <t>Preparing America for Deep Space Exploration  Episode 5 Music Video</t>
  </si>
  <si>
    <t>A quick look at what's been going on in the Orion, Space Launch System and Ground Systems Development and Operations programs.</t>
  </si>
  <si>
    <t>pcj37jkpipU</t>
  </si>
  <si>
    <t>https://youtu.be/cEpPhTz__4A</t>
  </si>
  <si>
    <t>Expedition 38 Undocks from Station's Poisk Module</t>
  </si>
  <si>
    <t>After spending 166 days aboard the International Space Station, Michael Hopkins, Oleg Kotov and Sergey Ryazanskiy undocked from the station's Poisk module at 8:02 p.m. EDT to begin their voyage home. Kotov, the Soyuz commander, is at the controls of the Soyuz TMA-10M spacecraft.
They will perform a separation burn to increase the distance from the station before executing a 4-minute, 50-second deorbit burn at 10:30 p.m. The crew is scheduled to land at 11:24 p.m. southeast of Dzhezkazgan, Kazakhstan.</t>
  </si>
  <si>
    <t>cEpPhTz__4A</t>
  </si>
  <si>
    <t>2014 03 10</t>
  </si>
  <si>
    <t>https://youtu.be/XKICuB5OdnA</t>
  </si>
  <si>
    <t>Expedition 38 Hatch Closure</t>
  </si>
  <si>
    <t>The hatches closed Monday at 4:58 p.m. EDT between the International Space Station and the docked Soyuz TMA-10M. Expedition 38 crew members Michael Hopkins, Soyuz Commander Oleg Kotov and Sergey Ryazanskiy are preparing to undock from the Poisk module at 8:02 p.m.</t>
  </si>
  <si>
    <t>XKICuB5OdnA</t>
  </si>
  <si>
    <t>2014 03 07</t>
  </si>
  <si>
    <t>https://youtu.be/KLj0lrfan1g</t>
  </si>
  <si>
    <t>Space Station Live  HD Earth-View Cameras Heading to Station</t>
  </si>
  <si>
    <t>Space Station Live commentator Pat Ryan interviews Lori Motes, the lead engineer of the High-Definition Earth Viewing experiment that will fly to station on March 16 aboard the Space-X Dragon spacecraft.</t>
  </si>
  <si>
    <t>KLj0lrfan1g</t>
  </si>
  <si>
    <t>https://youtu.be/gO6DfhxMfaI</t>
  </si>
  <si>
    <t>Space to Ground - 3 7 2014</t>
  </si>
  <si>
    <t>NASA's Space to Ground is your weekly update on what's happening aboard the International Space Station. Got a question or comment? Use #spacetoground to talk to us.
Astronauts congratulate cast and crew of "Gravity"
http://www.youtube.com/watch?v=_3ZhJP8q-Ts
SPHERES-Slosh
http://www.nasa.gov/mission_pages/station/research/experiments/980.html
Microbiome
http://www.nasa.gov/mission_pages/station/research/experiments/1010.html</t>
  </si>
  <si>
    <t>gO6DfhxMfaI</t>
  </si>
  <si>
    <t>2014 03 05</t>
  </si>
  <si>
    <t>https://youtu.be/eFt69uzMUuw</t>
  </si>
  <si>
    <t>Space Station Live  Cold Atom Laboratory Mission</t>
  </si>
  <si>
    <t>Public Affairs Officer Lori Meggs at the Marshall Space Flight Center in Huntsville, Alabama spoke with NASA Jet Propulsion Laboratory scientists Anita Sengupta and Michael Hohensee about the Cold Atom Laboratory and how it could change what we know about fundamental physics.</t>
  </si>
  <si>
    <t>eFt69uzMUuw</t>
  </si>
  <si>
    <t>https://youtu.be/2iV7fElH5h8</t>
  </si>
  <si>
    <t>Expedition 39 40 Crew Undergoes Final Training Outside Moscow</t>
  </si>
  <si>
    <t>Expedition 39/40 Soyuz Commander Alexander Skvortsov of the Russian Federal Space Agency (Roscosmos), NASA Flight Engineer Steve Swanson and Flight Engineer Oleg Artemyev of Roscosmos conducted final qualification training at the Gagarin Cosmonaut Training Center in Star City, Russia March 4 and 5. The three are scheduled for a March 26 launch, Kazakh time, in the Soyuz TMA-12M spacecraft to begin a six-month mission on the International Space Station.</t>
  </si>
  <si>
    <t>2iV7fElH5h8</t>
  </si>
  <si>
    <t>2014 03 04</t>
  </si>
  <si>
    <t>https://youtu.be/9p0czSsawVw</t>
  </si>
  <si>
    <t>International Space Station Protein Crystal Growth</t>
  </si>
  <si>
    <t>This animation explains how protein crystal growth investigations performed in the microgravity environment of the International Space Station enable more perfectly grown crystals, which help researchers to better understand the nature of the proteins through their detailed structures.</t>
  </si>
  <si>
    <t>9p0czSsawVw</t>
  </si>
  <si>
    <t>https://youtu.be/qBtsKBpEyZE</t>
  </si>
  <si>
    <t>Space Station Live  Delivering Drugs in Tiny Balloons</t>
  </si>
  <si>
    <t>Space Station Live commentator Pat Ryan interviews Dr. Dennis Morrison from NuVue Therapeutics, Inc. Morrison is the principal investigator of MEPS (Microencapsulation Electrostatic Processing System).
This experiment sought to deliver drugs stored in tiny balloons, called microcapsules, directly in to tumors or resistant infections. Research on the ground produced positive results and the technology was awarded patents.
Research using MEPS was conducted aboard the International Space Station during Expedition 5. The microgravity environment provided easier control of the production process of the drugs stored in the microcapsule.
Read more about MEPS:
http://www.nasa.gov/mission_pages/station/research/experiments/277.html
Read more about Expedition 5:
http://www.nasa.gov/mission_pages/station/expeditions/expedition05/index.html</t>
  </si>
  <si>
    <t>qBtsKBpEyZE</t>
  </si>
  <si>
    <t>2014 03 03</t>
  </si>
  <si>
    <t>https://youtu.be/psZ6UAFUOT4</t>
  </si>
  <si>
    <t>Space Station Live  Smart SPHERES</t>
  </si>
  <si>
    <t>NASA Public Affairs Officer Brandi Dean talks with Chris Provencher, project manager for Smart SPHERES at NASA Ames Research Center. By connecting smartphones to a trio of free-flying robots known as Synchronized Position Hold, Engage, Reorient, Experimental Satellites, or SPHERES, these International Space Station robots become Smart SPHERES.</t>
  </si>
  <si>
    <t>psZ6UAFUOT4</t>
  </si>
  <si>
    <t>https://youtu.be/KSc_yHCu68o</t>
  </si>
  <si>
    <t>Space Station Live  Treating Huntington's Disease in Space</t>
  </si>
  <si>
    <t>Space Station Live commentator Pat Ryan speaks to Huntington Disease Researcher and Caltech PH.D. Candidate, Gwen Owens. The microgravity environment gives researchers the ability to produce larger, more perfect versions of the Huntington's crystal protein than in Earth. Researchers then use X-ray Crystallography to view detailed 3-D structures of the protein and locate individual molecules and atoms in their quest to design drugs to treat the disease.
Gear specially designed for this research aboard the International Space Station is due for launch March 16 aboard a Falcon rocket for the SpaceX 3 mission. The proteins grown during the experiment will then be returned aboard the SpaceX Dragon capsule for study on Earth.
Read more about Huntington's Disease research aboard the space station...
http://www.nasa.gov/mission_pages/station/research/experiments/1308.html
Read more about SpaceX 3...
http://www.nasa.gov/mission_pages/station/structure/launch/index.html</t>
  </si>
  <si>
    <t>KSc_yHCu68o</t>
  </si>
  <si>
    <t>2014 02 28</t>
  </si>
  <si>
    <t>https://youtu.be/cAaC-fUqS64</t>
  </si>
  <si>
    <t>Space to Ground - 02 28 14</t>
  </si>
  <si>
    <t>NASA's Space to Ground is your weekly update on what's happening aboard the International Space Station. Got a question or comment? Use #spacetoground to talk to us.
Aniso Experiment:
http://www.nasa.gov/mission_pages/station/research/experiments/1013.html
SpaceX 3:
http://www.nasa.gov/spacex
OPALS:
http://www.nasa.gov/mission_pages/station/research/experiments/861.html
http://www.youtube.com/watch?v=efgtXVjKzuw
http://www.nasa.gov/mission_pages/station/research/news/opals.html</t>
  </si>
  <si>
    <t>cAaC-fUqS64</t>
  </si>
  <si>
    <t>2014 02 27</t>
  </si>
  <si>
    <t>https://youtu.be/kIprqsu8C2E</t>
  </si>
  <si>
    <t>Space Station Live  Measuring Body Changes During Spaceflight</t>
  </si>
  <si>
    <t>NASA Public Affairs Officer Brandi Dean talks with Dr. Sudhakar Rajulu, principal investigator for the Body Measures experiment taking place aboard the International Space Station. This study collects anthropometric data to help researchers understand the magnitude and variability of the changes to body measurements during spaceflight. Predicting these changes will maximize crew performance, prevent injury and reduce time spent altering or adjusting spacesuits and workstations. The investigation also could help scientists understand the effects of prolonged bed rest, which produces physiological changes similar to those experienced in microgravity.</t>
  </si>
  <si>
    <t>kIprqsu8C2E</t>
  </si>
  <si>
    <t>https://youtu.be/DFtLlud0-Mk</t>
  </si>
  <si>
    <t>Engineers Continue Pushing Orion Parachute System to Its Limits</t>
  </si>
  <si>
    <t>The parachute system designed for NASA's Orion spacecraft passed another hurdle on Feb. 26, in a test that put extra stress on its drogue parachutes and simulated a failure of one of its three main parachutes.
Engineers dropped a dart-shaped test vehicle that simulates Orion's parachute compartment from a C-17 flying 35,000 feet above the U.S. Army's Yuma Proving Ground in Arizona. Although one test has been conducted from that height before, this was the first using the dart-shaped vehicle at that altitude. Using it along with test configuration parachutes to get it into place for the test put more stress than ever before on the two drogue parachutes that precede the main parachutes and begin the job of slowing Orion down before it lands.
Learn more:
http://www.nasa.gov/content/engineers-continue-pushing-orion-parachute-system-to-its-limits</t>
  </si>
  <si>
    <t>DFtLlud0-Mk</t>
  </si>
  <si>
    <t>2014 02 26</t>
  </si>
  <si>
    <t>https://youtu.be/iht75kq0RrU</t>
  </si>
  <si>
    <t>Space Station Live  Environmental Control and Life Support System</t>
  </si>
  <si>
    <t>Robyn Carrasquillo, the Space Station Technology Demonstrations manager from NASA Headquarters, discusses the Environment Control and Life Support System (ECLSS) aboard the International Space Station. The station's regenerative life support hardware provides the crew with a comfortable environment and minimizes the resupply burden.</t>
  </si>
  <si>
    <t>iht75kq0RrU</t>
  </si>
  <si>
    <t>2014 02 25</t>
  </si>
  <si>
    <t>https://youtu.be/IW0Ay0rmvWk</t>
  </si>
  <si>
    <t>Benefits for Humanity  Farming from Space</t>
  </si>
  <si>
    <t>In this chapter of Benefits for Humanity: In Their Own Words, learn how farmers across the country are using cameras aboard the International Space Station to come up with new and more efficient ways of maintaining their crops. 
This version, with a narrated introduction, replaces the video previously released in Nov. 2013.
For more information on how science and research is benefiting life here on Earth, visit: http://www.nasa.gov/stationbenefits
HD download link: https://archive.org/download/ISSBenefitsforHumanity/Benefits-for-Humanity_Farming-from-Space.mov</t>
  </si>
  <si>
    <t>IW0Ay0rmvWk</t>
  </si>
  <si>
    <t>https://youtu.be/DayWXWbVW4g</t>
  </si>
  <si>
    <t>Benefits for Humanity  Water for the World</t>
  </si>
  <si>
    <t>In this chapter of Benefits for Humanity: In Their Own Words, learn how systems on board the International Space Station that provide clean drinking water to the crews are being used right here on Earth in some of the most remote and impoverished areas. 
This version, with a narrated introduction, replaces the video previously released in Nov. 2013.
For more information on how science and research is benefiting life here on Earth, visit: http://www.nasa.gov/stationbenefits</t>
  </si>
  <si>
    <t>DayWXWbVW4g</t>
  </si>
  <si>
    <t>https://youtu.be/GhHe3oiLCo4</t>
  </si>
  <si>
    <t>Benefits for Humanity  The Sound of Life</t>
  </si>
  <si>
    <t>In this chapter of Benefits for Humanity: In Their Own Words, learn how lives are being saved around the world using ultrasound and remote medicine methods that are in use aboard the International Space Station. 
This version, with a narrated introduction, replaces the video previously released in Nov. 2013.
For more information on how science and research is benefiting life here on Earth, visit: http://www.nasa.gov/stationbenefits</t>
  </si>
  <si>
    <t>GhHe3oiLCo4</t>
  </si>
  <si>
    <t>https://youtu.be/LIWSyyT3w98</t>
  </si>
  <si>
    <t>Benefits for Humanity  Changing Lives</t>
  </si>
  <si>
    <t>In this chapter of Benefits for Humanity: In Their Own Words, learn how a life was drastically changed using the same technology that went into the robotics on board the International Space Station. 
This version, with a narrated introduction, replaces the video previously released in Nov. 2013.
For more information on how science and research is benefiting life here on Earth, visit: http://www.nasa.gov/stationbenefits
HD download link: https://archive.org/details/ISSBenefitsforHumanity</t>
  </si>
  <si>
    <t>LIWSyyT3w98</t>
  </si>
  <si>
    <t>https://youtu.be/yzN9jSDKR8c</t>
  </si>
  <si>
    <t>Benefits for Humanity  Station Inspiration</t>
  </si>
  <si>
    <t>In this chapter of Benefits for Humanity: In Their Own Words, learn how a student in Illinois was inspired to pursue his college education and later career by participating in ARISS (Amateur Radio on the International Space Station) and talking with a crew on the International Space Station. 
This version, with a narrated introduction, replaces the video previously released in Nov. 2013.
For more information on how science and research is benefiting life here on Earth, visit: http://www.nasa.gov/stationbenefits</t>
  </si>
  <si>
    <t>yzN9jSDKR8c</t>
  </si>
  <si>
    <t>2014 02 24</t>
  </si>
  <si>
    <t>https://youtu.be/OHpx2tqA5Qc</t>
  </si>
  <si>
    <t>Space Station Live  Student Science Reaches Higher Orbits</t>
  </si>
  <si>
    <t>NASA Public Affairs Officer Brandi Dean speaks with Michelle Ham, U.S director of ISSET and president and founder of Higher Orbits, about opportunities for students to get involved with science aboard the International Space Station. Mission Discovery, sponsored by ISSET and Higher Orbits, is a five-day program for high school and university students that uses space to get students interested in STEM fields -- science, technology, engineering and math.  Students work in teams to design an experiment, and the winning team's experiment flies to the space station.  The first set of winning experiments recently flew to the station aboard Orbital Sciences' Cygnus cargo ship during its first operational resupply flight.
To learn more about Mission Discovery, visit http://www.mission-discovery.info</t>
  </si>
  <si>
    <t>OHpx2tqA5Qc</t>
  </si>
  <si>
    <t>2014 02 21</t>
  </si>
  <si>
    <t>https://youtu.be/D9DGEiCrsUo</t>
  </si>
  <si>
    <t>NASA Technologies  Opportunities in RFID</t>
  </si>
  <si>
    <t>NASA's Johnson Space Center has a suite of Radio-Frequency Identification (RFID) technologies available to companies and institutions for licensing. These devices are commonly used for autonomous inventory management with special interest in diverse product application and extended ranges.  This technology opportunity video highlights NASA developed RFID technologies originally purposed for the International Space Station that have Earth applications in healthcare, retail, logistics, and many more industries. We invite you to explore these technologies and other NASA developed technologies available for licensing by visiting our website http://technology.jsc.nasa.gov.</t>
  </si>
  <si>
    <t>D9DGEiCrsUo</t>
  </si>
  <si>
    <t>https://youtu.be/tEDLkWSCyrs</t>
  </si>
  <si>
    <t>Space Station Live  NanoRacks Makes Space for CubeSats</t>
  </si>
  <si>
    <t>NASA Public Affairs Officer Lori Meggs talks with Rob Alexander, operations manger for NanoRacks. Small, relatively inexpensive satellites referred to as CubeSats will provide a variety of technology demonstrations on the International Space Station using NanoRacks.</t>
  </si>
  <si>
    <t>tEDLkWSCyrs</t>
  </si>
  <si>
    <t>https://youtu.be/1zwYq-Gecds</t>
  </si>
  <si>
    <t>Space to Ground - 02 21 14</t>
  </si>
  <si>
    <t>NASA's Space to Ground is your weekly update on what's happening aboard the International Space Station. Got a question or comment? Use #spacetoground to talk to us.
Learn more about Orbital Sciences' Cygnus:
http://www.nasa.gov/orbital
Learn more about Spinal Ultrasound:
http://www.nasa.gov/mission_pages/station/research/experiments/944.html
Follow the ISS crew on Twitter:
http://www.twitter.com/NASA_Astronauts
Mike Hopkins: http://www.twitter.com/AstroIllini
Rick Mastracchio: http://www.twitter.com/AstroRM
Koichi Wakata: http://www.twitter.com/Astro_Wakata</t>
  </si>
  <si>
    <t>1zwYq-Gecds</t>
  </si>
  <si>
    <t>2014 02 19</t>
  </si>
  <si>
    <t>https://youtu.be/IFZjEQToE9Q</t>
  </si>
  <si>
    <t>Space Station Live  Orion Recovery Testing</t>
  </si>
  <si>
    <t>NASA Public Affairs Officer Dan Huot talks with Mike Sarafin, lead flight director for Orion Exploration Flight Test-1, about the Orion EFT-1 mission's recovery testing this week in southern California.</t>
  </si>
  <si>
    <t>IFZjEQToE9Q</t>
  </si>
  <si>
    <t>https://youtu.be/k1-eL1ucWPI</t>
  </si>
  <si>
    <t>Astronaut Mike Hopkins  Workout in Space 3</t>
  </si>
  <si>
    <t>Astronaut Mike Hopkins, a lifelong athlete, worked closely with his strength and conditioning coach Mark Guilliams to develop these specially-designed workouts in orbit. Shown here, Hopkins is using the Advanced Resistive Exercise Device to perform this challenging workout -- five pull-ups, 10 push-ups and 15 air squats every minute for 30 minutes.</t>
  </si>
  <si>
    <t>k1-eL1ucWPI</t>
  </si>
  <si>
    <t>https://youtu.be/X1jxUjxWdEQ</t>
  </si>
  <si>
    <t>Astronaut Mike Hopkins  Workout in Space 2</t>
  </si>
  <si>
    <t>Astronaut Mike Hopkins, a lifelong athlete, worked closely with his strength and conditioning coach Mark Guilliams to develop these specially-designed workouts in orbit. Shown here, Hopkins is using the COLBERT treadmill and the Advanced Resistive Exercise Device to perform this challenging workout. (400 meter run and 20 minutes of pull-ups.)</t>
  </si>
  <si>
    <t>X1jxUjxWdEQ</t>
  </si>
  <si>
    <t>2014 02 18</t>
  </si>
  <si>
    <t>https://youtu.be/7-IokHlmul8</t>
  </si>
  <si>
    <t>Space Station Live  Astronauts Test Spacesuits for Orion</t>
  </si>
  <si>
    <t>NASA Public Affairs Officer Dan Huot talks with NASA astronaut Rex Walheim about the development and testing of spacesuits for Orion. Based on the familiar orange Advanced Crew Escape Suit (ACES) worn by space shuttle crews during launch and entry, MACES (Modified ACES) can add the capability to perform a spacewalk with the same suit without the need to fly a second, dedicated spacesuit for that purpose.</t>
  </si>
  <si>
    <t>7-IokHlmul8</t>
  </si>
  <si>
    <t>2014 02 14</t>
  </si>
  <si>
    <t>https://youtu.be/p7LUrsb7yUY</t>
  </si>
  <si>
    <t>Space Station Live  Destination Station  Los Angeles</t>
  </si>
  <si>
    <t>NASA Public Affairs Officer Josh Byerly talks to Tammie Letroise-Brown, Campaign Strategist for Destination Station, to discuss the events taking place in Los Angeles, Calif. from Feb. 15-22.
Astronauts Tracy Caldwell Dyson, Mark Vande Hei and Peggy Whitson will interact with the public throughout the Los Angeles area. NASA International Space Station scientists will also talk about the research taking place on the orbital laboratory.
Visit the Destination Station website... http://www.nasa.gov/destinationstation
Keep up and interact with our Destination Station: Los Angeles events on social media...
http://www.facebook.com/ISS
http://www.twitter.com/NASA_Johnson
http://www.instagram/nasa_destinationstation</t>
  </si>
  <si>
    <t>p7LUrsb7yUY</t>
  </si>
  <si>
    <t>https://youtu.be/7L2Nq49ORYY</t>
  </si>
  <si>
    <t>Space to Ground - 02 14 14</t>
  </si>
  <si>
    <t>7L2Nq49ORYY</t>
  </si>
  <si>
    <t>2014 02 13</t>
  </si>
  <si>
    <t>https://youtu.be/0d_Wi6Mz3rA</t>
  </si>
  <si>
    <t>Flight Director Talks to Texas Students</t>
  </si>
  <si>
    <t>From NASA's International Space Station Mission Control Center, NASA Flight Director Ginger Kerrick participates in a Digital Learning Network (DLN) event with students from  El Paso High School in El Paso, Texas.
The DLN connects students and teachers with NASA experts and education specialists using online communication technologies like video/web conferencing and webcasting. Register for free, interactive events listed in the catalog or watch the webcasts. http://dln.nasa.gov</t>
  </si>
  <si>
    <t>0d_Wi6Mz3rA</t>
  </si>
  <si>
    <t>https://youtu.be/r4rNUBpUPho</t>
  </si>
  <si>
    <t>Space Station Live  Starting Fire in Water</t>
  </si>
  <si>
    <t>Space Station Live commentator Josh Byerly talks to Michael Hicks of the NASA Glenn Research Center, the principal investigator of the Supercritical Water Mixture experiment on the International Space Station.  Hicks discusses his research on orbit into how to control the precipitation of salt from supercritical water—water at extreme pressure and high temperature—in order to prevent corrosion of metallic components of vessels used when supercritical water is mixed with oxygen to eliminate organic wastes.  Using supercritical water to start the process of oxidation is a way to purify waste streams on ships and on land, and could be useful in future space vehicles.</t>
  </si>
  <si>
    <t>r4rNUBpUPho</t>
  </si>
  <si>
    <t>2014 02 07</t>
  </si>
  <si>
    <t>https://youtu.be/Ehvimfl-UfI</t>
  </si>
  <si>
    <t>Russian Female Cosmonaut Prepares for Launch to Station</t>
  </si>
  <si>
    <t>Russian cosmonaut Elena Serova discussed her thoughts on her upcoming launch on the Soyuz TMA-14M spacecraft in September to the International Space Station as part of the Expedition 41/42 crew. Serova will become only the fourth Russian woman to fly in space, joining former cosmonauts Valentina Tereshkova, Svetlana Savitskaya and Elena Kondakova in that exclusive group.</t>
  </si>
  <si>
    <t>Ehvimfl-UfI</t>
  </si>
  <si>
    <t>2014 02 06</t>
  </si>
  <si>
    <t>https://youtu.be/6miv46zeH4Y</t>
  </si>
  <si>
    <t>Space to Ground - 02 07 14</t>
  </si>
  <si>
    <t>Why is Dan Rather hosting this week's episode? The legendary news anchor stopped by our studio to teach NASA's Josh Byerly the finer points of anchoring a newscast. NASA's Space to Ground is your weekly update on what's happening aboard the International Space Station. Got a question or comment? Use #spacetoground to talk to us.
BP-REG (Canadian Space Agency): http://www.nasa.gov/mission_pages/station/research/experiments/66.html
Olympic Torch video: http://www.youtube.com/watch?v=QKMJVRDtcDM</t>
  </si>
  <si>
    <t>6miv46zeH4Y</t>
  </si>
  <si>
    <t>https://youtu.be/QKMJVRDtcDM</t>
  </si>
  <si>
    <t>Olympic Torch Completes Longest Relay in History</t>
  </si>
  <si>
    <t>As the XXII Winter Olympic Games begin in Sochi, Russia, the athletes who compete must turn their eyes to the sky to see how far the torch that is lighting the Olympic flame has traveled. The symbol of peace, friendship, hope and understanding among the nations participating in the Olympic Games traveled by car, plane, reindeer, train and by a Russian Soyuz rocket that ferried it to the International Space Station, itself a symbol of peaceful international cooperation.</t>
  </si>
  <si>
    <t>QKMJVRDtcDM</t>
  </si>
  <si>
    <t>https://youtu.be/_IKDadtIqqI</t>
  </si>
  <si>
    <t>Space Station Live  Investigating  Genius Materials  On the Space Station</t>
  </si>
  <si>
    <t>Space Station Live commentator Pat Ryan talks to Dr. Eric Furst, Principal Investigator for the InSPACE experiment, from the University of Delaware. InSpace, or Investigating the Structure of Paramagnetic Aggregates from Colloidal Emulsions, studies the fundamental behavior of magnetic colloidal fluids under the influence of various magnetic fields.
These fluids are classified as smart materials which transition to a solid-like state by the formation and cross-linking of microstructures in the presence of a magnetic field. This technology has promise to improve the ability to design structures, such as bridges and buildings, and to better withstand earthquake damage.
Furst describes colloids as "really interesting building blocks of matter to assemble other structures from or other useful, functional types of materials - 'genius materials' as some people have called them."
Read more about InSpace...
http://www.nasa.gov/mission_pages/station/research/experiments/213.html
http://www.nasa.gov/mission_pages/station/research/experiments/323.html
http://www.nasa.gov/mission_pages/station/research/experiments/736.html</t>
  </si>
  <si>
    <t>_IKDadtIqqI</t>
  </si>
  <si>
    <t>2014 02 05</t>
  </si>
  <si>
    <t>https://youtu.be/e3qGy4OXGY4</t>
  </si>
  <si>
    <t>Space Station Live  Studying the Immune System In Space</t>
  </si>
  <si>
    <t>An experiment on the International Space Station explores why astronauts' immune systems become suppressed in microgravity. NASA Public Affairs Officer Lori Meggs talks about the experiment, T-Cell Activation in Aging, with Principal Investigator and former shuttle astronaut Millie Hughes Fulford.
Read more...
http://www.nasa.gov/mission_pages/station/research/experiments/857.html
http://www.jsc.nasa.gov/Bios/PS/hughes-fulford.html</t>
  </si>
  <si>
    <t>e3qGy4OXGY4</t>
  </si>
  <si>
    <t>2014 02 04</t>
  </si>
  <si>
    <t>https://youtu.be/GbIcZqwlNak</t>
  </si>
  <si>
    <t>Space Station Live  Space Diet to Prevent Bone Mineral Loss</t>
  </si>
  <si>
    <t>Space Station Live commentator Pat Ryan conducts an interview with Dr. Scott M. Smith, the principal investigator of the Pro K experiment. The experiment is NASA's first evaluation of a dietary countermeasure to lessen bone loss of astronauts. Pro K proposes that a flight diet with a decreased ratio of animal protein to potassium will lead to decreased loss of bone mineral. Read more...
http://www.nasa.gov/mission_pages/station/research/experiments/721.html</t>
  </si>
  <si>
    <t>GbIcZqwlNak</t>
  </si>
  <si>
    <t>2014 01 31</t>
  </si>
  <si>
    <t>https://youtu.be/bM-Ji-pjnk8</t>
  </si>
  <si>
    <t>Space Station Live  Deploying Cubesats from the Station</t>
  </si>
  <si>
    <t>NASA PAO Officer Amiko Kauderer talks to Michael Johnson, NanoRacks Chief Technology Officer, about the installation of the CubeSat deployer in the Japanese Experiment Module Airlock. The installation work is in preparation for the upcoming deployment of several tiny satellites.</t>
  </si>
  <si>
    <t>bM-Ji-pjnk8</t>
  </si>
  <si>
    <t>https://youtu.be/VT_oc_G6irg</t>
  </si>
  <si>
    <t>Space to Ground - 1 31 14</t>
  </si>
  <si>
    <t>NASA's Space to Ground is your weekly update on what's happening aboard the International Space Station. Got a question or comment? Use #spacetoground to talk to us.
For more information on ISERV please visit: 
http://www.nasa.gov/mission_pages/servir/
For more information on ISS Light Microscopy please visit: 
http://www.nasa.gov/mission_pages/station/research/experiments/541.html
For more information on ISS facts and figures please visit
http://www.nasa.gov/mission_pages/station/main/onthestation/facts_and_figures.html</t>
  </si>
  <si>
    <t>VT_oc_G6irg</t>
  </si>
  <si>
    <t>2014 01 30</t>
  </si>
  <si>
    <t>https://youtu.be/QPghbtqKdBg</t>
  </si>
  <si>
    <t>Space Station Live  Designing an Exercise Program for Space</t>
  </si>
  <si>
    <t>NASA Public Affairs Officer Amiko Kauderer conducts an interview with Mark Guilliams, Astronaut Strength, Conditioning and Rehabilitation Specialist. Guilliams worked with Hopkins to design an inflight exercise regimen during his mission on board the International Space Station.
Hopkins preferred a more intense exercise program with less rest and multiple workouts and worked with Guilliams during preflight training. Watch a video showing Hopkins exercising in space using the Advanced Resistive Exercise Device...
https://www.youtube.com/watch?v=EEQyybh617I</t>
  </si>
  <si>
    <t>QPghbtqKdBg</t>
  </si>
  <si>
    <t>2014 01 29</t>
  </si>
  <si>
    <t>https://youtu.be/EEQyybh617I</t>
  </si>
  <si>
    <t>Astronaut Mike Hopkins  Workout in Space 1</t>
  </si>
  <si>
    <t>Astronaut Mike Hopkins, a lifelong athlete, worked closely with his strength and conditioning coach Mark Guilliams to develop these specially-designed workouts in orbit. Shown here, Hopkins is using the Advanced Resistive Exercise Device to perform this challenging workout. (100 Pull Ups, Push Ups, Sit Ups and Air Squats each.)
As part of his mission, Hopkins is a participant in a number of going medical studies and research experiments.
Pro K is one area of research Mike is helping with. For this study, the astronauts eat a low protein diet in an effort to minimize bone mineral loss. This will not only help future astronauts on long duration missions, but given the dietary trends in the U.S., this research will have direct public health significance helping us better understand protein-rich diets. Learn more about Pro K: http://www.nasa.gov/mission_pages/station/research/experiments/721.html
Numerous benefits are already being realized from space station science such as vaccine development research, imagery that aids disaster relief and farming, and education programs that inspire future scientists, and engineers are just some examples. To learn more about benefits from ISS, visit: http://www.nasa.gov/iss-science
Staying healthy is important for all astronauts going to space, but lifelong fitness is particularly important to Mike. To follow along with his workouts and other Astronaut workouts and activities, check out:  http://www.facebook.com/TrainAstronaut
You can follow Astronaut Mike Hopkins on Twitter at: @AstroIllini</t>
  </si>
  <si>
    <t>EEQyybh617I</t>
  </si>
  <si>
    <t>https://youtu.be/y7fFtBqf_B0</t>
  </si>
  <si>
    <t>Space Station Live  Fungal Response to Microgravity</t>
  </si>
  <si>
    <t>You wouldn't think things such as diaper rash or thrush could be studied aboard the International Space Station, but an investigation is looking at a type of microorganism, common to us here on Earth, to see how it reacts to the effects of microgravity. Public Affairs Officer Lori Meggs at the Payload Operations Integration Center at Marshall Space Flight Center in Huntsville, Ala., talks with Sheila Neilsen-Preiss, principal investigator for the Micro-6 study of Candida albicans in microgravity.</t>
  </si>
  <si>
    <t>y7fFtBqf_B0</t>
  </si>
  <si>
    <t>2014 01 24</t>
  </si>
  <si>
    <t>https://youtu.be/-qajQWiHBcU</t>
  </si>
  <si>
    <t>Space to Ground - 1 24 14</t>
  </si>
  <si>
    <t>NASA's Space to Ground is your weekly update on what's happening aboard the International Space Station. Got a question or comment? Use #spacetoground to talk to us.
Ants in Space:
http://www.nasa.gov/mission_pages/station/research/experiments/786.html
Energy experiment:
http://www.nasa.gov/mission_pages/station/research/experiments/397.html</t>
  </si>
  <si>
    <t>-qajQWiHBcU</t>
  </si>
  <si>
    <t>2014 01 23</t>
  </si>
  <si>
    <t>https://youtu.be/uaK-XZfFF7M</t>
  </si>
  <si>
    <t>Space Station Live  Studying The Risk of Visual Impairment in Space</t>
  </si>
  <si>
    <t>Public Affairs Officer Brandi Dean interviews Christian Otto, the principal investigator of the Ocular Health experiment. The research seeks to characterize the physiological changes and risk of visual impairment during a long-term mission in microgravity.
The Ocular Health study will help scientists to understand the changes to an International Space Station crew member's eyesight. The study compares an astronaut's vision during long-term stays in space to their vision before and after a space mission.
Read more about Ocular Health...
http://www.nasa.gov/mission_pages/station/research/experiments/204.html</t>
  </si>
  <si>
    <t>uaK-XZfFF7M</t>
  </si>
  <si>
    <t>https://youtu.be/bKrbMCI4tbM</t>
  </si>
  <si>
    <t>NASA Tests Orion Spacecraft Parachute Jettison Over Arizona</t>
  </si>
  <si>
    <t>The latest Orion parachute test, on Jan. 16, included for the first time the jettison of the forward bay cover. Both the forward bay cover and the test version of the Orion crew module made it safely to the ground at the U.S. Army's Yuma Proving Ground in Arizona.</t>
  </si>
  <si>
    <t>bKrbMCI4tbM</t>
  </si>
  <si>
    <t>https://youtu.be/YNVJOG2bK0w</t>
  </si>
  <si>
    <t>Orion makes its way safely to the ground after jettisoning its forward bay cover and deploying its two drogue parachutes and three massive main parachutes in a test of the parachute system on Jan. 16.</t>
  </si>
  <si>
    <t>YNVJOG2bK0w</t>
  </si>
  <si>
    <t>2014 01 22</t>
  </si>
  <si>
    <t>https://youtu.be/d-wMXRPuPhI</t>
  </si>
  <si>
    <t>Expedition 39 Crew News Conference Introduction</t>
  </si>
  <si>
    <t>Members of the Expedition 39/40 Crew are introduced at the Expedition 39 Crew News Conference on January 22, 2014 from Johnson Space Center. NASA astronaut Steve Swanson, Soyuz commander Alexander Skvortsov and cosmonaut Oleg Artemyev will launch from Baikonur Cosmodrome, Kazakhstan in late March to the International Space Station.</t>
  </si>
  <si>
    <t>d-wMXRPuPhI</t>
  </si>
  <si>
    <t>https://youtu.be/CE7Nz78rkfQ</t>
  </si>
  <si>
    <t>Space Station Live  Studying Fire In Space (FLEX-2)</t>
  </si>
  <si>
    <t>Public Affairs Officer Lori Meggs at Marshall Space Flight Center in Huntsville, Alabama talks about a "cool" flames experiment in space. Meggs speaks to Vedha Nayagam, co-investigator for the FLEX-2 combustion experiment.
You never want to hear about a fire in space, but for this experiment, that's exactly what had to happen. The FLEX-2 experiment burned different types of fuel droplets and showed us how flames behave without gravity, so that we may learn better ways to extinguish flames in space -- information that could lead to improved environmentally friendly fuels on Earth. 
Read more about FLEX-2... http://www.nasa.gov/mission_pages/station/research/experiments/480.html</t>
  </si>
  <si>
    <t>CE7Nz78rkfQ</t>
  </si>
  <si>
    <t>2014 01 17</t>
  </si>
  <si>
    <t>https://youtu.be/Q_AGLeemYPg</t>
  </si>
  <si>
    <t xml:space="preserve">Space Station Live  Alvin Drew Discusses  Storytime From Space </t>
  </si>
  <si>
    <t>NASA Public Affairs Officer Dan Huot and NASA Astronaut Alvin Drew discuss Story Time in Space. The science program features astronauts reading stories from space to children to inspire them to read and learn about space exploration.
The experiment was launched Jan. 9 aboard the Orbital Sciences Corp. Cygnus spacecraft and delivered to the International Space Station Jan. 12.
http://www.storytimefromspace.com
http://www.facebook.com/storytimefromspace
https://twitter.com/StoryTimeSpace</t>
  </si>
  <si>
    <t>Q_AGLeemYPg</t>
  </si>
  <si>
    <t>https://youtu.be/o13ZdnvB8UQ</t>
  </si>
  <si>
    <t>Space to Ground - 1 17 14</t>
  </si>
  <si>
    <t>NASA's Space to Ground is your weekly update on what's happening aboard the International Space Station. Got a question or comment? Use #spacetoground to talk to us.
SPHERES Slosh experiment:
http://www.nasa.gov/mission_pages/station/research/experiments/980.html
AES-1 experiment:
http://www.nasa.gov/mission_pages/station/research/news/orbital_investigations/</t>
  </si>
  <si>
    <t>o13ZdnvB8UQ</t>
  </si>
  <si>
    <t>2014 01 16</t>
  </si>
  <si>
    <t>https://youtu.be/KU53X7O7z7w</t>
  </si>
  <si>
    <t>Astronaut Steve Swanson Profile</t>
  </si>
  <si>
    <t>Get to know NASA astronaut Steve Swanson, slated to fly to the International Space Station in late March to serve first as an Expedition 39 flight engineer and later as commander of the Expedition 40 crew. 
Swanson and cosmonauts Alexander Skvortsov and Oleg Artemyev of the Russian Federal Space Agency will launch to the space station aboard a Soyuz TMA-12M spacecraft March 25 from the Baikonur Cosmodrome in Kazakhstan as part of Expedition 39. Swanson will serve as commander for Expedition 40 beginning in May. They are scheduled to return to Earth in September.
A news conference with the crew members will be carried live on NASA TV on Jan. 22 at 1 p.m. CST. Those following the briefing on social media can ask questions using the hashtag #askNASA.
The Expedition 39-40 crew members will be the first to share their final weeks of mission preparations and their flight experiences on Instagram. Those interested can follow along at: http://instagram.com/iss
Learn more about Steve's mission on the space station and the benefits from space research at http://www.nasa.gov/station.</t>
  </si>
  <si>
    <t>KU53X7O7z7w</t>
  </si>
  <si>
    <t>2014 01 15</t>
  </si>
  <si>
    <t>https://youtu.be/9gbfL590Fgg</t>
  </si>
  <si>
    <t>Robonaut Supports Telemedicine Advances</t>
  </si>
  <si>
    <t>NASA is always investigating new uses for one of the world's most advanced humanoid robots, Robonaut 2 (R2.) Working with Dr. Zsolt Garami from Houston Methodist Research Institute, R2 was put through the paces to prove its use as a device enabling telemedicine, or the use of electronic communications to conduct medical procedures. After some quick training, an R2 teleoperator was able to guide the robot and perform an ultrasound scan on a medical mannequin. Humans at the controls are able to perform the task correctly and efficiently by using R2's dexterity to apply the appropriate level of force and can track their progress using R2's vision system. The teleoperated R2 also experimented using a syringe as part of a procedure further demonstrating the robot's capabilities for telemedicine. This demonstration of robotic capabilities could one day result in the ability for physicians to conduct complex medical procedures on humans in remote locations, whether on the Earth's surface or even in low Earth orbit.</t>
  </si>
  <si>
    <t>9gbfL590Fgg</t>
  </si>
  <si>
    <t>https://youtu.be/TASn98HkJfk</t>
  </si>
  <si>
    <t>Space Station Live  Space Imagery for Environmental Monitoring</t>
  </si>
  <si>
    <t>A recent International Space Station experiment called HICO used a hyperspectral imaging camera to study the Earth's waterways a little more closely. At the Marshall Space Flight Center, NASA Public Affairs Officer Lori Meggs talked with Darryl Keith to find out how the Environmental Protection agency is taking that data and using it to develop Earth applications.</t>
  </si>
  <si>
    <t>TASn98HkJfk</t>
  </si>
  <si>
    <t>https://youtu.be/hfJ5SI0ee-M</t>
  </si>
  <si>
    <t>Space Station Live  Ants in Space</t>
  </si>
  <si>
    <t>NASA Public Affairs Officer Dan Huot talks with Professor Deborah M. Gordon of  Stanford University, who is the principal investigator for the Ants in Space experiment aboard the International Space Station. This experiment arrived at the space station Sunday aboard Orbital Sciences' Cygnus cargo spacecraft. 
The Ants in Space study examines the behavior of ants by comparing groups living on Earth to those in space. The idea is that ant interactions are dependent upon the number of ants in an area. Measuring these interactions may be important in determining behavior of ants in groups. This insight may add to existing knowledge of swarm intelligence, or how the complex behavior of a group is influenced by the actions of individuals. Developing a better understanding of swarm intelligence may lead to more refined mathematical procedures for solving complex problems, like routing trucks, scheduling airlines or telecommunications efficiency.</t>
  </si>
  <si>
    <t>hfJ5SI0ee-M</t>
  </si>
  <si>
    <t>https://youtu.be/B2vAK6qlNaw</t>
  </si>
  <si>
    <t>Preparing America for Deep Space Exploration  Episode 4</t>
  </si>
  <si>
    <t>B2vAK6qlNaw</t>
  </si>
  <si>
    <t>2014 01 13</t>
  </si>
  <si>
    <t>https://youtu.be/76KN-AUUd1w</t>
  </si>
  <si>
    <t>The ISS SPHERES Facility</t>
  </si>
  <si>
    <t>Alvar Saenz Otero, Ph.D., associate director and SPHERES lead scientist at the Massachusetts Institute of Technology Space Systems Laboratory, presents an overview of the Synchronized Position Hold, Engage, Reorient, Experimental Satellites (SPHERES) used for multiple robotics research investigations aboard the International Space Station. The SPHERES help researchers learn how to control bowling-ball sized satellites in a microgravity environment. Specifically, the research team is looking at how to control multiple satellites so that they work together. Planned uses for SPHERES include in space robotic assembly and refurbishing and repairing existing satellites in orbit.</t>
  </si>
  <si>
    <t>76KN-AUUd1w</t>
  </si>
  <si>
    <t>2014 01 10</t>
  </si>
  <si>
    <t>https://youtu.be/qX4M37GKd5A</t>
  </si>
  <si>
    <t>Space Station Live  Science Aboard Cygnus</t>
  </si>
  <si>
    <t>Associate International Space Station Program Scientist Tara Ruttley talks with NASA Public Affairs Officer Josh Byerly about the science being carried to the station aboard Orbital Sciences' Cygnus spacecraft.</t>
  </si>
  <si>
    <t>qX4M37GKd5A</t>
  </si>
  <si>
    <t>https://youtu.be/7xdVjbQJowc</t>
  </si>
  <si>
    <t>Space to Ground - 1 10 14</t>
  </si>
  <si>
    <t>NASA's Space to Ground is your weekly update on what's happening aboard the International Space Station. Got a question or comment? Use #spacetoground to talk to us.
Orbital Sciences' Cygnus info:
http://www.nasa.gov/orbital
Cardio Ox experiment:
http://www.nasa.gov/mission_pages/station/research/experiments/931.html
Sprint experiment:
http://www.nasa.gov/mission_pages/station/research/experiments/972.html</t>
  </si>
  <si>
    <t>7xdVjbQJowc</t>
  </si>
  <si>
    <t>2014 01 09</t>
  </si>
  <si>
    <t>https://youtu.be/12iayXdNTdM</t>
  </si>
  <si>
    <t>Robonaut Legs In Motion</t>
  </si>
  <si>
    <t>NASA engineers are developing climbing legs for the International Space Station's robotic crew member Robonaut 2 (R2), marking another milestone in space humanoid robotics.
The legless R2, currently attached to a support post, is undergoing experimental trials with astronauts aboard the orbiting laboratory. Since its arrival at the station in February 2011, R2 has performed a series of tasks to demonstrate its functionality in microgravity.
These new legs, funded by NASA's Human Exploration and Operations and Space Technology mission directorates, will provide R2 the mobility it needs to help with regular and repetitive tasks inside and outside the space station. The goal is to free up the crew for more critical work, including scientific research.
To learn more about Robonaut, visit http://www.nasa.gov/robonaut</t>
  </si>
  <si>
    <t>12iayXdNTdM</t>
  </si>
  <si>
    <t>https://youtu.be/A_XRPNRySJg</t>
  </si>
  <si>
    <t>Space Station Live  Student Science Heading to Space Aboard Cygnus</t>
  </si>
  <si>
    <t>Dr. Jeff Goldstein, Director of the National Center for Earth and Space Science Education, discusses the student experiments being flown to the International Space Station aboard the Orbital Sciences Cygnus vehicle.</t>
  </si>
  <si>
    <t>A_XRPNRySJg</t>
  </si>
  <si>
    <t>2014 01 07</t>
  </si>
  <si>
    <t>https://youtu.be/JZ7n24CtEFw</t>
  </si>
  <si>
    <t>Crew Quarters Tour Inside the Space Station</t>
  </si>
  <si>
    <t>Japanese astronaut and Expedition 38 Flight Engineer Koichi Wakata narrates a video tour of the crew quarters inside the International Space Station's Harmony node.
Read more about Expedition 38, http://go.nasa.gov/K2iyvd
There are crew quarters for four crew members inside Harmony. The individual living spaces are about the size of a telephone booth and include a sleeping bag, laptop computers and gear for communicating with family members.
To learn more about the station, visit http://www.nasa.gov/station
HD download link: https://archive.org/details/KoichiWakataISSCrewQuartersTour</t>
  </si>
  <si>
    <t>JZ7n24CtEFw</t>
  </si>
  <si>
    <t>2014 01 06</t>
  </si>
  <si>
    <t>https://youtu.be/sMRD5cwW9Mk</t>
  </si>
  <si>
    <t>Johnson Space Center 2013 Highlights</t>
  </si>
  <si>
    <t>2013 brought many memorable moments to NASA's Johnson Space Center, Houston in the realm of human spaceflight exploration, international and commercial partnerships, and research and technology development.
This video showcases the work and research being done by crews at the International Space Station; milestones in the Orion and Commercial Crew Programs, as well as Commercial Orbital Transportation Services; advancements in technology with Morpheus and Robonaut; developments for a future human mission to an asteroid; selection of new astronaut candidates and educational outreach activities.</t>
  </si>
  <si>
    <t>sMRD5cwW9Mk</t>
  </si>
  <si>
    <t>2014 01 03</t>
  </si>
  <si>
    <t>https://youtu.be/22I7XzXCTr4</t>
  </si>
  <si>
    <t>Space Station Live  Orion Update From Astronaut Lee Morin</t>
  </si>
  <si>
    <t>Astronaut Lee Morin, the head of the Rapid Prototyping Lab, talks with NASA Public Affairs Officer Amiko Kauderer about the latest development milestones for the Orion MPCV, including recent ascent and abort sims, in advance of EFT-1 in 2014.</t>
  </si>
  <si>
    <t>22I7XzXCTr4</t>
  </si>
  <si>
    <t>2014 01 02</t>
  </si>
  <si>
    <t>https://youtu.be/zoUEhbEGLiQ</t>
  </si>
  <si>
    <t>Space Station Live  Science for 2014</t>
  </si>
  <si>
    <t>International Space Station Chief Scientist Julie Robinson discusses some of the technology and research activity on tap for the orbital laboratory in 2014.</t>
  </si>
  <si>
    <t>zoUEhbEGLiQ</t>
  </si>
  <si>
    <t>2013 12 27</t>
  </si>
  <si>
    <t>https://youtu.be/HkdpC3ehIpk</t>
  </si>
  <si>
    <t>Space to Ground - 12 27 13</t>
  </si>
  <si>
    <t>NASA's Space to Ground is your weekly update on what's happening aboard the International Space Station. Got a question or comment? Use #spacetoground to talk to us.
The ISS "Benefits for Humanity" video series:
http://www.nasa.gov/stationbenefits
See the station from your own backyard:
http://spotthestation.nasa.gov/
"Train Like an Astronaut" Facebook page:
http://www.facebook.com/trainastronaut
To learn more about the station, visit http://www.nasa.gov/station</t>
  </si>
  <si>
    <t>HkdpC3ehIpk</t>
  </si>
  <si>
    <t>https://youtu.be/a9cgSDGlzgA</t>
  </si>
  <si>
    <t>Russian Spacewalk at Space Station</t>
  </si>
  <si>
    <t>Spacewalk Increment Manager Marc Ciupitu narrates a computer animated video of the activities planned for the Dec. 27 Russian spacewalk outside the International Space Station.</t>
  </si>
  <si>
    <t>a9cgSDGlzgA</t>
  </si>
  <si>
    <t>2013 12 24</t>
  </si>
  <si>
    <t>https://youtu.be/TBPjod1F3M8</t>
  </si>
  <si>
    <t>Space Station Research  Top Ten Results (Part 2)</t>
  </si>
  <si>
    <t>There have been hundreds of science experiments and technology research projects onboard the International Space Station since the first modules of that station were launched 15 years ago. The research has covered things like human life sciences, in order to find out how being in that environment impacts people, and to find out ways to mitigate the negative effects of that, as well as research in biology and physical sciences, and astronomical sciences and technology development, and research to support future human exploration beyond low earth orbit. And much of this has been done with an eye toward how what we've learned in space can be applied to help people here on earth. For a recent international conference, the International Space Station Chief Scientist, Dr. Julie Robinson, was asked to put together a list of the top 10 research results from the space station, and she joins Pat Ryan of NASA Public Affairs to talk about some of those.
Read Dr. Robinson's Blog, A Lab Aloft: 
http://blogs.nasa.gov/ISS_Science_Blog/
Follow us on Twitter: https://twitter.com/ISS_Research
Follow us on Facebook: http://www.facebook.com/ISS
See the International Space Station as it orbits above your location: 
http://SpotTheStation.nasa.gov. 
To follow the mission, watch Space Station Live weekdays on NASA Television and get weekly updates every Friday on Space to Ground at http://www.youtube.com/playlist?list=PLTXQuaxXBKKxRSGdbqMClH0SjTq4hnTC2
To learn more about the station, visit http://www.nasa.gov/station</t>
  </si>
  <si>
    <t>TBPjod1F3M8</t>
  </si>
  <si>
    <t>https://youtu.be/aVjvhbkYwkA</t>
  </si>
  <si>
    <t>Space Station Research  Top Ten Results (Part 1)</t>
  </si>
  <si>
    <t>NASA has been observing the 15th Anniversary of the launch of the first few modules of the International Space Station back in November of 1998. In this coming February, we'll mark the 13th Anniversary of the arrival of the U.S. Laboratory Destiny to the International Space Station on a space shuttle mission during Expedition One. Science research has been going on on board the space station throughout the assembly process, but now that the assembly is essentially complete the science activity both inside and outside the space station is taking the primary focus of the activity on orbit. A few months ago, the International Astronautical Federation asked International Space Station Chief Scientist, Julie Robinson, to share the top 10 research results from the station at the International Astronautical Congress in Beijing, and she joins Pat Ryan of NASA Public Affairs to talk about some of those.
Read Dr. Robinson's Blog, A Lab Aloft: 
http://blogs.nasa.gov/ISS_Science_Blog/
Follow us on Twitter: https://twitter.com/ISS_Research
Follow us on Facebook: http://www.facebook.com/ISS
See the International Space Station as it orbits above your location: 
http://SpotTheStation.nasa.gov. 
To follow the mission, watch Space Station Live weekdays on NASA Television and get weekly updates every Friday on Space to Ground at http://www.youtube.com/playlist?list=PLTXQuaxXBKKxRSGdbqMClH0SjTq4hnTC2
To learn more about the station, visit http://www.nasa.gov/station</t>
  </si>
  <si>
    <t>aVjvhbkYwkA</t>
  </si>
  <si>
    <t>2013 12 23</t>
  </si>
  <si>
    <t>https://youtu.be/jwMZ43StsTY</t>
  </si>
  <si>
    <t>Space Station Live  Doug Wheelock Talks About Repair Spacewalks</t>
  </si>
  <si>
    <t>Public Affairs Officer Dan Huot talks to astronaut Doug Wheelock talks about the spacewalks by Expedition 38 crew members Rick Mastracchio and Mike Hopkins to repair a faulty pump module.
During Expedition 24, Wheelock and fellow astronaut Tracy Caldwell-Dyson, worked during a set of spacewalks to remove and replace an ammonia pump module.</t>
  </si>
  <si>
    <t>jwMZ43StsTY</t>
  </si>
  <si>
    <t>https://youtu.be/mbA2j3UwIhc</t>
  </si>
  <si>
    <t>TLA 12 Days of Astronaut Fitness</t>
  </si>
  <si>
    <t>During this busy holiday season, even astronauts find a way to squeeze in fitness activities during their busy days while also making them fun! 
The NASA Train Like An Astronaut team created this special holiday-themed video for space and fitness fans everywhere! 
Remember you can "Train Like An Astronaut!" Find astronaut workouts, videos and more at Facebook.com/TrainAstronaut or follow on Twitter @TrainAstronaut</t>
  </si>
  <si>
    <t>mbA2j3UwIhc</t>
  </si>
  <si>
    <t>https://youtu.be/LxLrP8KPfPg</t>
  </si>
  <si>
    <t>Space Station Live  Flight Director Judd Frieling Discusses Repair Spacewalks</t>
  </si>
  <si>
    <t>Public Affairs Officer Rob Navias interviews Flight Director Judd Frieling about the series of spacewalks to install a spare ammonia pump module on the International Space Station's S1 truss. Spacewalkers Rick Mastracchio and Mike Hopkins are performing the repair work while Japanese astronaut Koichi Wakata operates the Canadarm2.</t>
  </si>
  <si>
    <t>LxLrP8KPfPg</t>
  </si>
  <si>
    <t>2013 12 20</t>
  </si>
  <si>
    <t>https://youtu.be/8DZ2DS8O4pU</t>
  </si>
  <si>
    <t>Space to Ground - 12 20 13</t>
  </si>
  <si>
    <t>NASA's Space to Ground is your weekly update on what's happening aboard the International Space Station. Got a question or comment? Use #spacetoground to talk to us.
Links mentioned this week:
Spacewalk info: http://www.nasa.gov/station
Synchronized Position Hold, Engage, Reorient, Experimental Satellites: http://www.nasa.gov/mission_pages/station/research/experiments/311.html
Alpha Magnetic Spectrometer: http://ams.nasa.gov
Train Like An Astronaut: http://www.facebook.com/trainastronaut</t>
  </si>
  <si>
    <t>8DZ2DS8O4pU</t>
  </si>
  <si>
    <t>2013 12 18</t>
  </si>
  <si>
    <t>https://youtu.be/8oAW_uDSdFE</t>
  </si>
  <si>
    <t>Station Spacewalks to Replace Pump Module</t>
  </si>
  <si>
    <t>Lead U.S. Spacewalk Officer Allison Bolinger discusses the details of the three spacewalks the Expedition 38 crew will conduct to replace a faulty pump module on the International Space Station.  Flight Engineers Rick Mastracchio and Mike Hopkins will venture out of the station's Quest airlock on Dec. 21, 23 and 25 to remove a pump module that has a failed valve and replace it with an existing spare that is stored on an external stowage platform. The pump is associated with one of the station's two external cooling loops, which circulate ammonia outside the station to keep both internal and external equipment cool.</t>
  </si>
  <si>
    <t>8oAW_uDSdFE</t>
  </si>
  <si>
    <t>2013 12 17</t>
  </si>
  <si>
    <t>https://youtu.be/bgrcF04_2KA</t>
  </si>
  <si>
    <t>Station Cooling System Update From Flight Director</t>
  </si>
  <si>
    <t>Expedition 38 Lead Flight Director Judd Frieling joins NASA Public Affairs Officer Dan Huot for an update on the International Space Station's ammonia pump module and the efforts by the Flight Control Team to resolve the issue with a software upload.</t>
  </si>
  <si>
    <t>bgrcF04_2KA</t>
  </si>
  <si>
    <t>2013 12 16</t>
  </si>
  <si>
    <t>https://youtu.be/E_aXUVrDcnk</t>
  </si>
  <si>
    <t>Work Continues on Station Cooling Issue</t>
  </si>
  <si>
    <t>Kenny Todd, ISS Mission Operations Integration Manager, provides an update on the efforts to regulate temperatures in one of two cooling loops on the International Space Station affected by the malfunction last week of a flow control valve in a cooling pump on the station's starboard truss.</t>
  </si>
  <si>
    <t>E_aXUVrDcnk</t>
  </si>
  <si>
    <t>2013 12 13</t>
  </si>
  <si>
    <t>https://youtu.be/KDIk4jAkZ9U</t>
  </si>
  <si>
    <t>Space Station Live  Antibiotic Effectiveness in Space</t>
  </si>
  <si>
    <t>NASA Public Affairs Officer Brandi Dean talks with Dr. David Klaus, principal investigator for Antibiotic Effectiveness in Space from BioServe Space Technologies, University of Colorado. Klaus discusses the NPL Vacccine-21 experiment that is being sent to the International Space Station aboard the Cygnus commercial cargo craft this month.</t>
  </si>
  <si>
    <t>KDIk4jAkZ9U</t>
  </si>
  <si>
    <t>https://youtu.be/xKNLLoMHDY4</t>
  </si>
  <si>
    <t>Space to Ground - 12 13 13</t>
  </si>
  <si>
    <t>NASA's Space to Ground is your weekly update on what's happening aboard the International Space Station. Got a question or comment? Use #spacetoground to talk to us.
Links mentioned this week:
Orbital launch info: http://www.nasa.gov/station
Circadian rhythm experiment: http://www.nasa.gov/mission_pages/station/research/experiments/892.html
Astronaut eyes study: http://www.nasa.gov/mission_pages/station/research/experiments/204.html
Train Like An Astronaut: http://www.facebook.com/trainastronaut</t>
  </si>
  <si>
    <t>xKNLLoMHDY4</t>
  </si>
  <si>
    <t>2013 12 12</t>
  </si>
  <si>
    <t>https://youtu.be/Jk9CuAB8rE0</t>
  </si>
  <si>
    <t>Train Like an Astronaut  Fit Explorer Series</t>
  </si>
  <si>
    <t>https://www.facebook.com/#!/trainastronaut
The next phase of Astronaut Mike Hopkin's mission is well underway and we have some exciting new downlink footage of his training that we will be sharing in the next few weeks...Curious?  Check out this sneak peak at what's to come!</t>
  </si>
  <si>
    <t>Jk9CuAB8rE0</t>
  </si>
  <si>
    <t>https://youtu.be/lB4EL8sYNeY</t>
  </si>
  <si>
    <t>Station Flight Controller Talks to Pennsylvania High School Students</t>
  </si>
  <si>
    <t>From NASA's International Space Station Mission Control Center, Joe Pascucci, Trajectory Operations Officer (TOPO), participates in a Digital Learning Network (DLN) event with students from East Stroudsburg High School, East Stroudsburg, Pa.
The DLN connects students and teachers with NASA experts and education specialists using online communication technologies like video/web conferencing and webcasting. Register for free, interactive events listed in the catalog or watch the webcasts. http://dln.nasa.gov</t>
  </si>
  <si>
    <t>lB4EL8sYNeY</t>
  </si>
  <si>
    <t>https://youtu.be/RWQGagWEabw</t>
  </si>
  <si>
    <t>Space Station Cooling Loop Update</t>
  </si>
  <si>
    <t>Kenny Todd, ISS Mission Operations Integration Manager, provides an update on the issue with one of the International Space Station's cooling loops that began Wednesday and discusses efforts to resolve the issue.</t>
  </si>
  <si>
    <t>RWQGagWEabw</t>
  </si>
  <si>
    <t>2013 12 11</t>
  </si>
  <si>
    <t>https://youtu.be/KU5iLrv3sHo</t>
  </si>
  <si>
    <t>Space Station Live  Growing a Garden for a Future Space Harvest</t>
  </si>
  <si>
    <t>NASA Public Affairs officer Lori Meggs interviews Paul Zamprelli, Orbital Technologies Corporation, about the VEGGIE (Vegetable Production System) experiment. Researchers are exploring the possibility of growing a garden in space with crew interaction and exposure to the cabin air.
Astronauts won't get to enjoy the fresh vegetables right away. The garden will be harvested but the vegetables will be sent back to Earth for analysis. If scientists determine the vegetables grown in space are safe for consumption a space crew could soon be growing their own food. Read more...
http://www.nasa.gov/mission_pages/station/research/experiments/863.html</t>
  </si>
  <si>
    <t>KU5iLrv3sHo</t>
  </si>
  <si>
    <t>https://youtu.be/rsc-v3WoroU</t>
  </si>
  <si>
    <t>Space Station Live  Studying Combustion to Make Space Exploration Safe</t>
  </si>
  <si>
    <t>NASA Public Affairs officer Brandi Dean interviews Dr. Sandra Olson, Spacecraft Fire Safety Researcher at NASA Glenn Research Center, about BASS-II (Burning and Suppression of Solids) in advance of its launch aboard the Orbital Sciences' Cygnus spacecraft. BASS-II, a combustion science experiment, will study air flow on combustion in space and observe how materials ignite and their flammability.
Results could help designers create safer materials and fabrics and improve fire prevention techniques. The safety of a vehicle and crew is extremely important as NASA plans missions beyond low-Earth orbit. BASS-II is the second version of the BASS experiment that began September 2011. Read more about BASS...
http://www.nasa.gov/mission_pages/station/research/experiments/735.html</t>
  </si>
  <si>
    <t>rsc-v3WoroU</t>
  </si>
  <si>
    <t>2013 12 09</t>
  </si>
  <si>
    <t>https://youtu.be/BluJ7do0QOI</t>
  </si>
  <si>
    <t>Space Station Live  Fluid Motion Study Using Mini-Satellites</t>
  </si>
  <si>
    <t>NASA Public Affairs Officer Brandi Dean talks with Dr. Paul Schallhorn, the principal investigator for the SPHERES-Slosh experiment. This study, which takes a look at fluid motion in microgravity, will use the International Space Station's free-flying satellites known as Synchronized Position Hold, Engage, Reorient, Experimental Satellites, or SPHERES. 
The hardware for SPHERES-Slosh will be launching to the station Dec. 18 aboard the Cygnus cargo craft during the Orbital 1 commercial resupply mission.</t>
  </si>
  <si>
    <t>BluJ7do0QOI</t>
  </si>
  <si>
    <t>2013 12 06</t>
  </si>
  <si>
    <t>https://youtu.be/5ukl5ySa6ZA</t>
  </si>
  <si>
    <t>Science on the Shuttle's Spacelab</t>
  </si>
  <si>
    <t>NASA Public Affairs Officer Lori Meggs talks about the 30th anniversary of the Spacelab Program with Marshall Space Flight Center Deputy Director Teresa Vanhooser. 
Spacelab was a module inside the shuttle's payload bay where numerous science experiments were conducted. Vanhooser discusses how the missions were managed from Marshall and how it has paved the way for science on station today.</t>
  </si>
  <si>
    <t>5ukl5ySa6ZA</t>
  </si>
  <si>
    <t>https://youtu.be/hOkzlV72vUU</t>
  </si>
  <si>
    <t>Space to Ground - 12 6 13</t>
  </si>
  <si>
    <t>NASA's Space to Ground is your weekly update on what's happening aboard the International Space Station. Got a question or comment? Use #spacetoground to talk to us.
Links mentioned this week:
Expedition 38 Photo Gallery: http://go.nasa.gov/1cdkaJL 
Capillary Flow Experiment: http://go.nasa.gov/1cdkhVQ 
SLAMM-D: http://go.nasa.gov/1cdkpV8 
Spot The Station: http://spotthestation.nasa.gov</t>
  </si>
  <si>
    <t>hOkzlV72vUU</t>
  </si>
  <si>
    <t>https://youtu.be/ix7vHTEdSPg</t>
  </si>
  <si>
    <t>Textron Team Readies Orion Heat Shield for Shipment to Kennedy Space Center</t>
  </si>
  <si>
    <t>NASA's Orion spacecraft is just about ready to turn up the heat. The spacecraft's heat shield arrived at the agency's Kennedy Space Center in Florida Wednesday night aboard the agency's Super Guppy aircraft. 
The heat shield, the largest of its kind ever built, is to be unloaded Thursday and is scheduled for installation on the Orion crew module in March, in preparation for Orion's first flight test in September 2014.
The heat shield began its journey in January 2012 in Colorado, at Orion prime contractor Lockheed Martin's Waterton Facility near Denver. That was the manufacturing site for a titanium skeleton and carbon fiber skin that give the heat shield its shape and provide structural support during landing. They were shipped in March to Textron Defense Systems near Boston, where they were used in construction of the heat shield itself.
Textron installed a fiberglass-phenolic honeycomb structure on the skin, filled each of the honeycomb's 320,000 cells with the ablative material Avcoat, then X-rayed and sanded each cell to match Orion's design specifications. The Avcoat-treated shell will shield Orion from the extreme heat it will experience as it returns to Earth. The ablative material will wear away as it heats up during Orion's re-entry into the atmosphere, preventing heat from being transferred to the rest of the capsule.
The heat shield delivered to Kennedy will be used during Exploration Flight Test-1, a two-orbit flight that will take an uncrewed Orion capsule to an altitude of 3,600 miles. The returning capsule is expected to encounter temperatures of almost 4,000 degrees Fahrenheit as it travels through Earth's atmosphere at up to 20,000 mph, faster than any spacecraft in the last 40 years.
00:00 - 04:45 Removal of heat shield from the oven
04:46 - 06:10 Visual inspection of heat shield
06:11 - 11:00 Transport of heat shield for x-ray testing
11:01 - 17:58 X-ray testing
17:58 - 19:01 Drilling repair openings for repair plugs
19:02 - 19:34 Final Sanding
19:35 - Transport of heat shield into paint booth
To learn more about Orion, visit: http://www.nasa.gov/orion</t>
  </si>
  <si>
    <t>ix7vHTEdSPg</t>
  </si>
  <si>
    <t>2013 12 05</t>
  </si>
  <si>
    <t>https://youtu.be/5Z1K8g8Bzz8</t>
  </si>
  <si>
    <t>Space Station Live  Orion Heat Shield Delivered to Kennedy Space Center</t>
  </si>
  <si>
    <t>NASA Public Affairs Officer Josh Byerly talks with Rose Flores, Orion Crew &amp; Service Module Chief Engineer, about the delivery of Orion's heat shield to the Kennedy Space Center in Florida.  The heat shield, the largest of its kind ever built, is to be unloaded Thursday and is scheduled for installation on the Orion crew module in March, in preparation for Orion's first flight test in September 2014.
To learn more about Orion, visit: http://www.nasa.gov/orion</t>
  </si>
  <si>
    <t>5Z1K8g8Bzz8</t>
  </si>
  <si>
    <t>2013 12 04</t>
  </si>
  <si>
    <t>https://youtu.be/HEcOjAJ_iyM</t>
  </si>
  <si>
    <t>Space Station Live  Astronaut Cardiovascular Health</t>
  </si>
  <si>
    <t>NASA Public Affairs Officer Lori Meggs talks with Steve Platts, principal investigator for the Cardio Ox experiment taking place aboard the International Space Station. This study takes a look at how long-duration spaceflight may induce oxidative and inflammatory stress in astronauts.</t>
  </si>
  <si>
    <t>HEcOjAJ_iyM</t>
  </si>
  <si>
    <t>https://youtu.be/XiyViTYNyRA</t>
  </si>
  <si>
    <t>Kennedy Director Bob Cabana Recalls First Station Assembly Mission</t>
  </si>
  <si>
    <t>NASA Public Affairs Officer Josh Byerly talks with Kennedy Space Center Director Bob Cabana, who in December 1998 was the commander of the first International Space Station assembly flight -- the STS-88 mission aboard space shuttle Endeavour. The STS-88 crew attached the first U.S. segment of the station, the Unity node, to the Zarya module that had launched into space just a few weeks earlier. 
Since that first meeting of Zarya and Unity, the space station grew piece by piece with additions from each of the international partners built across three continents and leading to the largest and most complex spacecraft ever constructed.</t>
  </si>
  <si>
    <t>XiyViTYNyRA</t>
  </si>
  <si>
    <t>2013 12 02</t>
  </si>
  <si>
    <t>https://youtu.be/Q9EGnxrLXiU</t>
  </si>
  <si>
    <t>Former Shuttle Flight Director Recalls Hubble Servicing Mission</t>
  </si>
  <si>
    <t>NASA Public Affairs Officer Josh Byerly talks with Milt Heflin, the lead flight director for the STS-61 shuttle mission to service the Hubble Space Telescope. Twenty years ago, the space shuttle Endeavour crew launched on the first servicing mission to correct a problem with Hubble's mirror and install additional upgrades to the space telescope.</t>
  </si>
  <si>
    <t>Q9EGnxrLXiU</t>
  </si>
  <si>
    <t>2013 11 27</t>
  </si>
  <si>
    <t>https://youtu.be/Ph9g9Cc6q4Y</t>
  </si>
  <si>
    <t>Space Station Live  Circadian Rhythms</t>
  </si>
  <si>
    <t>NASA Public Affairs Officer Dan Huot talks with Dr. Hans-Christian Gunga, the principal investigator for the Circadian Rhythms study aboard the International Space Station. This experiment examines the role of synchronized circadian rhythms (the human body's 24-hour light-dark cycle) and its maintenance during long duration spaceflight, and addresses its impact and importance relative to crew health and well-being.</t>
  </si>
  <si>
    <t>Ph9g9Cc6q4Y</t>
  </si>
  <si>
    <t>https://youtu.be/fnmA35ibSMY</t>
  </si>
  <si>
    <t xml:space="preserve">Train Like an Astronaut  You are what you eat...so what do Astronauts eat </t>
  </si>
  <si>
    <t>https://www.facebook.com/#!/trainastronaut
As we approach Thanksgiving Day, Astronaut Mike Hopkins and Monica Leong from our Space Food Systems Laboratory help explain the importance of the U.S. food menu compliment and how it supports the nutritional and physical needs of our astronauts while living, working and, of course, exercising in space!  They provide an inside look at some of the actual food items that the crew usually has onboard the space station, and special items provided to help create a Thanksgiving feast that's just like home.  Looking to the future of space food nutrition and longer duration missions, Monica Leong shares some of the exciting new research being conducted on meal replacement options for the crew.  Bon Appetite!</t>
  </si>
  <si>
    <t>fnmA35ibSMY</t>
  </si>
  <si>
    <t>2013 11 26</t>
  </si>
  <si>
    <t>https://youtu.be/HhsaKTFz0TM</t>
  </si>
  <si>
    <t>Benefits for Humanity  In Their Own Words</t>
  </si>
  <si>
    <t>For generations, we have dreamed about a place to live and work in space...a space station. And right now, 260 miles above us, moving 5 miles a second...that dream is a reality. We dreamed that life up there would benefit life down here. That dream has come true. 
Can the research on board the space station lead to cleaner drinking water on Earth? Can it help farmers produce better crops? Can it inspire a generation of students? Can it even save a life?
It already has. As the work aboard the International Space Station begins to reach its potential, the benefits to humanity are becoming evident. These are just a few of the stories from people who have benefitted....told in their own words.</t>
  </si>
  <si>
    <t>HhsaKTFz0TM</t>
  </si>
  <si>
    <t>https://youtu.be/4QZy01o2eZE</t>
  </si>
  <si>
    <t>Space Station Live  Testing a New Progress Rendezvous System</t>
  </si>
  <si>
    <t>Public Affairs Officer Rob Navias interviews Tom Erkenswick, Visiting Vehicle Officer, about Russia's Progess 53 resupply craft and its new Kurs automated rendezvous system. The Progress 53 will take a longer route to the International Space Station so mission controllers can test the updated Kurs which will save fuel and take up less mass inside the spacecraft.
The Progress 53 launched Monday and will "flyby" the station Wednesday allowing Russian mission controllers to test the new Kurs system. They will review the telemetry downlinked from Progress on Thursday before giving the final go for its docking on Friday.
Read more about the launch...
http://www.nasa.gov/content/russian-cargo-ship-heading-to-space-station/</t>
  </si>
  <si>
    <t>4QZy01o2eZE</t>
  </si>
  <si>
    <t>https://youtu.be/u-wjWAmp8To</t>
  </si>
  <si>
    <t>Space Station Live  Nov. 26, 2013</t>
  </si>
  <si>
    <t>The Space Station Live recap video for Nov. 26, 2013. Watch the full Space Station Live broadcast weekdays on NASA TV at 10 a.m. CST. http://www.nasa.gov/ntv</t>
  </si>
  <si>
    <t>u-wjWAmp8To</t>
  </si>
  <si>
    <t>https://youtu.be/1HF9jOpM_wI</t>
  </si>
  <si>
    <t>Thanksgiving Message from Station's Expedition 38 Crew</t>
  </si>
  <si>
    <t>Aboard the Earth-orbiting International Space Station, NASA astronauts Rick Mastracchio and Mike Hopkins, both Expedition 38 flight engineers, send down their best wishes for a happy Thanksgiving.</t>
  </si>
  <si>
    <t>1HF9jOpM_wI</t>
  </si>
  <si>
    <t>2013 11 25</t>
  </si>
  <si>
    <t>https://youtu.be/HuD_tkjiTeQ</t>
  </si>
  <si>
    <t>Space Station Live  Nov. 22, 2013</t>
  </si>
  <si>
    <t>The Space Station Live recap video for Nov. 22, 2013. Watch the full Space Station Live broadcast weekdays on NASA TV at 10 a.m. CST. http://www.nasa.gov/ntv</t>
  </si>
  <si>
    <t>HuD_tkjiTeQ</t>
  </si>
  <si>
    <t>https://youtu.be/3dk_RIDsN2w</t>
  </si>
  <si>
    <t>Space Station Live  Nov. 25, 2013</t>
  </si>
  <si>
    <t>The Space Station Live recap video for Nov. 25, 2013. Watch the full Space Station Live broadcast weekdays on NASA TV at 10 a.m. CST. http://www.nasa.gov/ntv</t>
  </si>
  <si>
    <t>3dk_RIDsN2w</t>
  </si>
  <si>
    <t>2013 11 21</t>
  </si>
  <si>
    <t>https://youtu.be/wBtUwBsfy90</t>
  </si>
  <si>
    <t>Station Crew Sends Thanksgiving Message, Shows Off Selection of Food</t>
  </si>
  <si>
    <t>Aboard the Earth-orbiting International Space Station, NASA astronauts Rick Mastracchio and Mike Hopkins, both Expedition 38 flight engineers, send down their best wishes for a happy Thanksgiving.  Their Russian crewmates, Commander Oleg Kotov and Flight Engineers Sergey Ryazanskiy and Mikhail Tyurin, show off the station's galley where the crew will be preparing and enjoying a Thanksgiving meal.</t>
  </si>
  <si>
    <t>wBtUwBsfy90</t>
  </si>
  <si>
    <t>https://youtu.be/gTkhNcncVZ8</t>
  </si>
  <si>
    <t>Space Station Live  Nov. 21, 2013</t>
  </si>
  <si>
    <t>The Space Station Live recap video for Nov. 21, 2013. Watch the full Space Station Live broadcast weekdays on NASA TV at 10 a.m. CST. http://www.nasa.gov/ntv</t>
  </si>
  <si>
    <t>gTkhNcncVZ8</t>
  </si>
  <si>
    <t>2013 11 20</t>
  </si>
  <si>
    <t>https://youtu.be/WMnCEnTWVwo</t>
  </si>
  <si>
    <t>Space Station Live  Commemorating 15 Years on Orbit</t>
  </si>
  <si>
    <t>Public Affairs Officer Dan Huot talks to Mike Lammers, International Space Station flight director, about his experience at the beginning of the space station assembly era in 1998. Lammers built shuttle and station simulators during this period and also trained the first space shuttle crew, STS-88, to deliver a space station element.
The first space station module in orbit was Russia's Zarya cargo module launched aboard a Proton rocket on Nov. 20, 1998. The second module was the United States' Unity node launched Dec. 4, 1998, aboard space shuttle Endeavour on the STS-88 mission.</t>
  </si>
  <si>
    <t>WMnCEnTWVwo</t>
  </si>
  <si>
    <t>https://youtu.be/njaBLEFSzRM</t>
  </si>
  <si>
    <t>Space Station Live  Nov. 20, 2013</t>
  </si>
  <si>
    <t>The Space Station Live recap video for Nov. 20, 2013. Watch the full Space Station Live broadcast weekdays on NASA TV at 10 a.m. CST. http://www.nasa.gov/ntv</t>
  </si>
  <si>
    <t>njaBLEFSzRM</t>
  </si>
  <si>
    <t>https://youtu.be/zVzRrPRJQao</t>
  </si>
  <si>
    <t>Space Station Live  Marshall's Contributions to Station Hardware</t>
  </si>
  <si>
    <t>While the team at the Payload Operations Integration Center at NASA's Marshall Space Flight Center makes science happen every day aboard the International Space Station, Marshall also played a key role in some of the station's major hardware components. NASA Public Affairs Officer Lori Meggs talks with some of the folks who helped make that hardware happen. 
Brian Mitchell, who was the element project manager for Node 1, discusses development and construction of this crucial station component at Marshall. Also known as the Unity node, Node 1 was the first U.S. piece of the station. 
Mike Cole, Deputy Manager for the ISS Office at Marshall, discusses the station's science hardware. Cole was the project manager when the Microgravity Science Glovebox, one of the dedicated science facilities inside the Destiny laboratory, was delivered to the station.</t>
  </si>
  <si>
    <t>zVzRrPRJQao</t>
  </si>
  <si>
    <t>https://youtu.be/dk6cQC9QP-g</t>
  </si>
  <si>
    <t>Space Station Live  From Zarya to Orion</t>
  </si>
  <si>
    <t>To mark the anniversary of the launch of the first component of the International Space Station, the Zarya module, Public Affairs Officer Dan Huot talks with Mark Geyer, program manager for Orion MPCV, NASA's next-generation space vehicle.  15 years ago, Geyer was the manager for the Russian Elements Integration Team, working to integrate the Russian contributions into the space station. Geyer discusses the lessons learned from the development of the station and its importance to the next step of human space exploration, sending astronauts farther into space than ever before.</t>
  </si>
  <si>
    <t>dk6cQC9QP-g</t>
  </si>
  <si>
    <t>https://youtu.be/zmULpvofSjA</t>
  </si>
  <si>
    <t>Emerge - The Next Generation of JSC</t>
  </si>
  <si>
    <t>Emerge is an Employee Resource Group at NASA's Johnson Space Center. Emerge's mission is to leverage the unique perspective of the Next Generation to evolve the JSC onboarding experience, foster cross-center collaboration, engage the community in JSC's mission, and develop the leaders of tomorrow. 
Emerge will support the mission of JSC in the following ways:
1. Create a community of the Next Generation
2. Develop future leaders of JSC
3. Promote consistent onboarding
4. Aid in recruitment of future employees
5. Positively engage the community in JSC's mission
6. Enhance multi-generational relationships
7. Provide an outlet for the Next Generation's voice
This video was created as part of Emerge's business proposal to highlight the unique ways in which the Next Generation can benefit JSC.
For more information about Emerge please contact Elena Buhay at elena.buhay@nasa.gov</t>
  </si>
  <si>
    <t>zmULpvofSjA</t>
  </si>
  <si>
    <t>2013 11 19</t>
  </si>
  <si>
    <t>https://youtu.be/Z8fE-OwpF4E</t>
  </si>
  <si>
    <t>Space Station Live  Deploying Tiny Satellites from the Station</t>
  </si>
  <si>
    <t>Public Affairs Officer Dan Huot interviews Masazumi Miyake, the International Space Station Program Manager for the Japan Aerospace Exploration Agency (JAXA). Japan's main contribution to the space station is the "Kibo" Japanese Experiment Module. Kibo contains a laboratory module, a stowage module, an airlock, a robotic arm and an external platform.
Miyake talks about the nanosatellites, known as Cubesats, three of which were deployed from Kibo Tuesday at 7:10 a.m. EST; a fourth will be released Wednesday at 2:50 a.m. Japanese astronaut Koichi Wakata operated Kibo's robotic arm to maneuver a deployer mechanism containing all four satellites from inside Kibo's airlock.</t>
  </si>
  <si>
    <t>Z8fE-OwpF4E</t>
  </si>
  <si>
    <t>https://youtu.be/o60k1n2VAHE</t>
  </si>
  <si>
    <t>Monthly ISS research video update for November 1, 2013</t>
  </si>
  <si>
    <t>This video highlights the ISS Program Scientist's Top 10 research results from space station research thus far.</t>
  </si>
  <si>
    <t>o60k1n2VAHE</t>
  </si>
  <si>
    <t>https://youtu.be/iBGJi_lk1r8</t>
  </si>
  <si>
    <t>Space Station Live  Nov. 19, 2013</t>
  </si>
  <si>
    <t>The Space Station Live recap video for Nov. 19, 2013. Watch the full Space Station Live broadcast weekdays on NASA TV at 10 a.m. CST. http://www.nasa.gov/ntv</t>
  </si>
  <si>
    <t>iBGJi_lk1r8</t>
  </si>
  <si>
    <t>2013 11 18</t>
  </si>
  <si>
    <t>https://youtu.be/sgJk8_glGxY</t>
  </si>
  <si>
    <t>Space Station Live  Repairing and Testing a Spacesuit on Orbit</t>
  </si>
  <si>
    <t>Public Affairs Officer Dan Huot interviews Alex Kanelakos, EVA Flight Controller and Crew Instructor, about a leaky spacesuit. Expedition 37 Flight Engineer Luca Parmitano wore that spacesuit during a July 16 spacewalk that ended early due to a water leak. Read more about the spacewalk...
http://www.nasa.gov/content/tuesday-spacewalk-ended-early/
Ground controllers in conjunction with Expedition 38 Flight Engineer Mike Hopkins have been working to repair the spacesuit and determine the leak's cause. A test will take place Nov. 19 to check the spacesuit's functionality and telemetry. Engineers will take a close look at the spacesuit's cooling loop and water separator then perform a water and gas leak check.
There are currently four U.S. spacesuits on orbit but only three are operable. Space station managers would like all four spacesuits in operating condition in the event an unplanned spacewalk from the U.S. segment should be necessary.</t>
  </si>
  <si>
    <t>sgJk8_glGxY</t>
  </si>
  <si>
    <t>https://youtu.be/rmnpRJqWPfc</t>
  </si>
  <si>
    <t>Space Station Live  Nov. 18, 2013</t>
  </si>
  <si>
    <t>The Space Station Live recap video for Nov. 18, 2013. Watch the full Space Station Live broadcast weekdays on NASA TV at 10 a.m. CST. http://www.nasa.gov/ntv</t>
  </si>
  <si>
    <t>rmnpRJqWPfc</t>
  </si>
  <si>
    <t>2013 11 15</t>
  </si>
  <si>
    <t>https://youtu.be/XeBqyV2t190</t>
  </si>
  <si>
    <t>Space Station Live  Nov. 15, 2013</t>
  </si>
  <si>
    <t>The Space Station Live recap video for Nov. 15, 2013. Watch the full Space Station Live broadcast weekdays on NASA TV at 10 a.m. CST. http://www.nasa.gov/ntv</t>
  </si>
  <si>
    <t>XeBqyV2t190</t>
  </si>
  <si>
    <t>2013 11 14</t>
  </si>
  <si>
    <t>https://youtu.be/3RW8stH7GhA</t>
  </si>
  <si>
    <t>Space Station Live  Nov. 14, 2013</t>
  </si>
  <si>
    <t>The Space Station Live recap video for Nov. 14, 2013. Watch the full Space Station Live broadcast weekdays on NASA TV at 10 a.m. CST. http://www.nasa.gov/ntv</t>
  </si>
  <si>
    <t>3RW8stH7GhA</t>
  </si>
  <si>
    <t>https://youtu.be/5Ox3dQN_AO4</t>
  </si>
  <si>
    <t>Space Station Live  Robotic Arm Works  Hand in Hand  With Surgeons</t>
  </si>
  <si>
    <t>NASA Public Affairs Officer Lori Meggs talks with Dr. Garnette Sutherland, a professor of neurosurgery at the University of Calgary, about NeuroArm. A clinical research project where a robotic arm is working "hand in hand" with brain surgeons, NeuroArm works much like the Canadarm robotic arm on station...although on a much smaller scale. Dr. Sutherland shares how this technology has changed things in the operating room.
Watch the full Space Station Live broadcast weekdays on NASA TV at 10 a.m. CST. http://www.nasa.gov/ntv</t>
  </si>
  <si>
    <t>5Ox3dQN_AO4</t>
  </si>
  <si>
    <t>2013 11 13</t>
  </si>
  <si>
    <t>https://youtu.be/8PLFVX-tE94</t>
  </si>
  <si>
    <t>Expedition 38 Crew Profile, Version 2</t>
  </si>
  <si>
    <t>The members of the International Space Station's crew are now all veteran space flyers, and all eager for the opportunity to make a contribution to the future of human exploration.</t>
  </si>
  <si>
    <t>8PLFVX-tE94</t>
  </si>
  <si>
    <t>https://youtu.be/BNL8a-nudIQ</t>
  </si>
  <si>
    <t>Space Station Live  Nov. 13, 2013</t>
  </si>
  <si>
    <t>The Space Station Live recap video for Nov. 13, 2013. Watch the full Space Station Live broadcast weekdays on NASA TV at 10 a.m. CST. http://www.nasa.gov/ntv</t>
  </si>
  <si>
    <t>BNL8a-nudIQ</t>
  </si>
  <si>
    <t>https://youtu.be/wjee_JOCn7A</t>
  </si>
  <si>
    <t>Typhoon Haiyan</t>
  </si>
  <si>
    <t>This orbital pass over Typhoon Haiyan was viewed from the International Space Station on Nov. 9, 2013.</t>
  </si>
  <si>
    <t>wjee_JOCn7A</t>
  </si>
  <si>
    <t>2013 11 12</t>
  </si>
  <si>
    <t>https://youtu.be/aoHwFCObkzo</t>
  </si>
  <si>
    <t>NASA's Orion Sees Flawless Fairing Separation in Second Test</t>
  </si>
  <si>
    <t>The three massive panels protecting a test version of NASA's Orion multipurpose crew vehicle successfully fell away from the spacecraft Wednesday in a test of a system that will protect Orion during its first trip to space next year.
Learn more: http://www.nasa.gov/content/nasas-orion-sees-flawless-fairing-separation-in-second-test/</t>
  </si>
  <si>
    <t>aoHwFCObkzo</t>
  </si>
  <si>
    <t>https://youtu.be/nAxY2v9aOrk</t>
  </si>
  <si>
    <t>Expedition 38 39 Mission Overview</t>
  </si>
  <si>
    <t>Commander Oleg Kotov, veteran of two previous station missions, leads Expedition 38 as the six-member crew conducts advanced microgravity research aboard the International Space Station. Flight Engineers Mike Hopkins and Sergey Ryazanskiy, who launched with Kotov Sept. 25, are both on their first spaceflight missions.
Flight Engineers Rick Mastracchio, Koichi Wakata and Mikhail Tyurin delivered the Olympic torch to the station Nov. 6. Kotov and Ryazanskiy carried the torch outside the station during a spacewalk Nov. 9.
Expedition 36/37 crew members Fyodor Yurchikhin, Karen Nyberg and Luca Parmitano returned the torch when they landed in Kazakhstan Nov. 10 as part of the traditional relay leading up to to the 2014 Winter Olympics in Sochi, Russia.
http://www.nasa.gov/content/olympic-torch-highlights-station-spacewalk/
http://www.nasa.gov/mission_pages/station/expeditions/expedition38/index.html</t>
  </si>
  <si>
    <t>nAxY2v9aOrk</t>
  </si>
  <si>
    <t>https://youtu.be/4A8kx-EWWBk</t>
  </si>
  <si>
    <t>Space Station Live  Nov. 12, 2013</t>
  </si>
  <si>
    <t>The Space Station Live recap video for Nov. 12, 2013. Watch the full Space Station Live broadcast weekdays on NASA TV at 10 a.m. CST. http://www.nasa.gov/ntv</t>
  </si>
  <si>
    <t>4A8kx-EWWBk</t>
  </si>
  <si>
    <t>https://youtu.be/S-ARsgLWSt4</t>
  </si>
  <si>
    <t>Expedition 37 Crew Welcomed Back to Earth</t>
  </si>
  <si>
    <t>The Expedition 37 crew is welcomed back to Earth following the Soyuz TMA-09M spacecraft landing in the steppe of Kazakhstan.  Flight Engineer Luca Parmitano shares his thoughts about the 166 day mission aboard the International Space Station.</t>
  </si>
  <si>
    <t>S-ARsgLWSt4</t>
  </si>
  <si>
    <t>2013 11 11</t>
  </si>
  <si>
    <t>https://youtu.be/GKwNSLkov6o</t>
  </si>
  <si>
    <t>Expedition 37 Crew Heads Back to Earth</t>
  </si>
  <si>
    <t>Soyuz Commander Fyodor Yurchikhin and Flight Engineers Karen Nyberg and Luca Parmitano undocked their Soyuz TMA-09M spacecraft from aft end the International Space Station's Zvezda service module at 6:26 p.m. EST Sunday to begin the journey home.  At the time of the undocking, the complex was orbiting 262 miles over northeast Mongolia.
A deorbit burn at 8:55 p.m. will put the Soyuz on track for a parachute-assisted landing in the steppe of Kazakhstan southeast of Dzhezkazgan at 9:49 p.m. (8:49 a.m. Monday, Kazakh time).
Returning to Earth along with Yurchikhin, Nyberg and Parmitano is the torch that will be used to light the Olympic flame at the Feb. 7 opening ceremonies of the 2013 Winter Olympic Games in Sochi, Russia.</t>
  </si>
  <si>
    <t>GKwNSLkov6o</t>
  </si>
  <si>
    <t>2013 11 10</t>
  </si>
  <si>
    <t>https://youtu.be/Z-l3QFEmL5M</t>
  </si>
  <si>
    <t>Expedition 37 Bids Farewell to Station Crewmates</t>
  </si>
  <si>
    <t>Expedition 37 Commander Fyodor Yurchikhin and Flight Engineers Karen Nyberg and Luca Parmitano bid farewell to their International Space Station crewmates and closed the hatch to their Soyuz TMA-09M spacecraft docked at the aft end of the Zvezda service module at 3 p.m. EST. 
When their Soyuz undocks at 6:26 p.m., it will mark the end of Expedition 37 and the start of Expedition 38 under the command of Oleg Kotov. Yurchikhin passed the helm of the station over to Kotov during a change of command ceremony Sunday. 
A deorbit burn at 8:55 p.m. will put the Soyuz on track for a parachute-assisted landing in the steppe of Kazakhstan southeast of Dzhezkazgan at 9:49 p.m. (8:49 a.m. Monday, Kazakh time).</t>
  </si>
  <si>
    <t>Z-l3QFEmL5M</t>
  </si>
  <si>
    <t>2013 11 08</t>
  </si>
  <si>
    <t>https://youtu.be/UOQRIPAE3Ko</t>
  </si>
  <si>
    <t>Space Station Live  Advanced Eye Exams in Space</t>
  </si>
  <si>
    <t>Public Affairs Officer Kelly Humphries interviews NASA astronaut Mike Barratt about vision and how it changes during long term missions in space. Barratt, a medical doctor, served as an Expedition 19/20 flight engineer in 2009 and an STS-133 mission specialist aboard space shuttle Discovery in 2011.
During his stay in space as a flight engineer, Barratt noticed his vision changing and performed an eye exam with input from space medicine specialists on the ground. Using special gear they discovered anatomical changes to his eye. Upon further study, doctors found the majority of space flyers also experienced far-sighted vision changes.
He and fellow doctors and scientists are testing astronaut's vision using the latest research and gear (i.e. Optical Coherence Tomography). Manager of the Human Research Program at Johnson Space Center, Barratt is studying the long term effects of living and working in space to improve health and reduce risk during human spaceflight.
http://www.jsc.nasa.gov/Bios/htmlbios/barratt-mr.html
http://www.nasa.gov/mission_pages/station/research/index.html</t>
  </si>
  <si>
    <t>UOQRIPAE3Ko</t>
  </si>
  <si>
    <t>https://youtu.be/gvhGjLkNejw</t>
  </si>
  <si>
    <t>Space Station Live  Nov. 8, 2013</t>
  </si>
  <si>
    <t>The Space Station Live recap video for Nov. 8, 2013. Watch the full Space Station Live broadcast weekdays on NASA TV at 10 a.m. CST. http://www.nasa.gov/ntv</t>
  </si>
  <si>
    <t>gvhGjLkNejw</t>
  </si>
  <si>
    <t>https://youtu.be/ORsUo2eXHtc</t>
  </si>
  <si>
    <t>Expedition 37 38 39 Joint Crew News Conference</t>
  </si>
  <si>
    <t>Nine International Space Station crew members gathered inside the Destiny laboratory for a joint crew news conference Friday morning. This is the first time since October 2009 that nine people have resided on the station without the presence of a space shuttle.
Expedition 38/39 crew members Mikhail Tyurin, Koichi Wakata and Rick Mastracchio took a six-hour trip to the station Wednesday after launching in a Soyuz TMA-11M spacecraft from the Baikonur Cosmodrome, Kazakhstan. The new trio delivered the Olympic torch that will light the flame at the opening of the 2014 Winter Olympic Games in Sochi, Russia.
Expedition 37/38 crew members Mike Hopkins, Oleg Kotov and Sergey Ryazansky launched Sept. 25 aboard a Soyuz TMA-10M spacecraft. Kotov and Ryazanskiy will conduct a spacewalk Saturday morning carrying the Olympic torch outside the station.
Expedition 36/37 crew members Fyodor Yurchikhin, Karen Nyberg and Luca Parmitano arrived at the station May 28. They will return home Sunday inside a Soyuz TMA-09M spacecraft after a 5-1/2 month stay in space bringing back the Olympic torch.</t>
  </si>
  <si>
    <t>ORsUo2eXHtc</t>
  </si>
  <si>
    <t>2013 11 07</t>
  </si>
  <si>
    <t>https://youtu.be/JDellw1knhk</t>
  </si>
  <si>
    <t>Space Station Live  Astronaut Peggy Whitson Talks Micro-Encapsulation Experiments</t>
  </si>
  <si>
    <t>Astronaut Peggy Whitson joins NASA Public Affairs Officer Kelly Humphries for a discussion of micro-encapsulation experiments in space.</t>
  </si>
  <si>
    <t>JDellw1knhk</t>
  </si>
  <si>
    <t>https://youtu.be/w9G0p4H3bcc</t>
  </si>
  <si>
    <t>Space Station Live  SPHERES-RINGS</t>
  </si>
  <si>
    <t>Ray Sedwick, Principal Investigator for the SPHERES-RINGS experiment aboard the International Space Station talks via phone with Public Affairs Officer Kelly Humphries. 
For this investigation, a set of soccer-ball-sized, free-flying satellites known as Synchronized Position Hold, Engage, Reorient, Experimental Satellites, or SPHERES, are equipped with ring-shaped hardware known as the Resonant Inductive Near-field Generation System, or RINGS, to demonstrate how power can be transferred between satellites without physical contact.</t>
  </si>
  <si>
    <t>w9G0p4H3bcc</t>
  </si>
  <si>
    <t>https://youtu.be/5S5kP1K1FgM</t>
  </si>
  <si>
    <t>Space Station Live  Nov. 7, 2013</t>
  </si>
  <si>
    <t>The Space Station Live recap video for Nov. 7, 2013. Watch the full Space Station Live broadcast weekdays on NASA TV at 10 a.m. CST. http://www.nasa.gov/ntv</t>
  </si>
  <si>
    <t>5S5kP1K1FgM</t>
  </si>
  <si>
    <t>https://youtu.be/xVuB5cuwB1w</t>
  </si>
  <si>
    <t>Welcome Aboard!</t>
  </si>
  <si>
    <t>Soyuz Commander Mikhail Tyurin and Flight Engineers Rick Mastracchio and Koichi Wakata are welcomed aboard the International Space Station by the crew of Expedition 37.</t>
  </si>
  <si>
    <t>xVuB5cuwB1w</t>
  </si>
  <si>
    <t>https://youtu.be/wmx28XW2c7Y</t>
  </si>
  <si>
    <t>New Crew Arrives at Space Station</t>
  </si>
  <si>
    <t>NASA's Richard Mastracchio, Russia's Mikhail Tyurin and Japan's Koichi Wakata arrived at the International Space Station early Thursday morning, just a little over six hours after launching in their Soyuz rocket from Kazakhstan.
The crew is carrying the Olympic torch that will be used to light the Olympic flame in Sochi, Russia, for the 2014 Winter Games.</t>
  </si>
  <si>
    <t>wmx28XW2c7Y</t>
  </si>
  <si>
    <t>2013 11 06</t>
  </si>
  <si>
    <t>https://youtu.be/v7lsFqSoT2o</t>
  </si>
  <si>
    <t>Space Station Live  Nutrition and Bone Loss in Space</t>
  </si>
  <si>
    <t>NASA Public Affairs Officer Lori Meggs discusses nutrition and bone loss in space with Dr. Scott Smith from the Nutrition Biochemistry Lab at Johnson Space Center and Linda Steakley, Registered Dietitian/Nutritionist, Huntsville Hospital.  
Watch the full Space Station Live broadcast weekdays on NASA TV at 10 a.m. CST. http://www.nasa.gov/ntv</t>
  </si>
  <si>
    <t>v7lsFqSoT2o</t>
  </si>
  <si>
    <t>https://youtu.be/r3Bf0g56eYM</t>
  </si>
  <si>
    <t>Space Station Live  Nov. 6, 2013</t>
  </si>
  <si>
    <t>The Space Station Live recap video for Nov. 6, 2013. Watch the full Space Station Live broadcast weekdays on NASA TV at 10 a.m. CST. http://www.nasa.gov/ntv</t>
  </si>
  <si>
    <t>r3Bf0g56eYM</t>
  </si>
  <si>
    <t>2013 11 05</t>
  </si>
  <si>
    <t>https://youtu.be/fB9kjLFnjIs</t>
  </si>
  <si>
    <t>Space Station Live  Nov. 5, 2013</t>
  </si>
  <si>
    <t>The Space Station Live recap video for Nov. 5, 2013. Watch the full Space Station Live broadcast weekdays on NASA TV at 10 a.m. CDT. http://www.nasa.gov/ntv</t>
  </si>
  <si>
    <t>fB9kjLFnjIs</t>
  </si>
  <si>
    <t>https://youtu.be/rDQpEqAQkgk</t>
  </si>
  <si>
    <t>Expedition 38 Soyuz Rolls Out to Launch Pad</t>
  </si>
  <si>
    <t>The Soyuz TMA-11M rocket, adorned with the logo of the Sochi Olympic Organizing Committee and other related artwork, is rolled out to the launch pad by train on Tuesday, Nov. 5, 2013, at the Baikonur Cosmodrome in Kazakhstan. Launch of the Soyuz rocket is scheduled for November 7 and will send Expedition 38 Soyuz Commander Mikhail Tyurin of Roscosmos, Flight Engineer Rick Mastracchio of NASA and Flight Engineer Koichi Wakata of the Japan Aerospace Exploration Agency on a six-month mission aboard the International Space Station.</t>
  </si>
  <si>
    <t>rDQpEqAQkgk</t>
  </si>
  <si>
    <t>2013 11 04</t>
  </si>
  <si>
    <t>https://youtu.be/gq3yuE_de-k</t>
  </si>
  <si>
    <t>Space Station Live  Amateur Radio on the International Space Station</t>
  </si>
  <si>
    <t>Public Affairs Officer Kelly Humphries interviews Frank Bauer, AMSAT Vice President for Human Spaceflight Programs, about amateur radio satellites. Bauer began his NASA career at Goddard Space Flight Center, moving to Johnson Space Center and finally retiring as Chief Engineer for Exploration at NASA Headquarters in Washington, D.C.
There are over 70 amateur satellites (AMSAT) in orbit today with the first AMSAT launching in 1961. Amateur radios have been used on human spacecraft for 30 years including the entire duration of habitation on the International Space Station.
About 15,000 students a year talk to space station crew members. AMSAT volunteers set up antennas and radio gear giving teachers and students a live chat with crews in orbit.</t>
  </si>
  <si>
    <t>gq3yuE_de-k</t>
  </si>
  <si>
    <t>https://youtu.be/9SNKa6JpB00</t>
  </si>
  <si>
    <t>Soyuz TMA-11M Spacecraft Mated to Rocket</t>
  </si>
  <si>
    <t>At the Integration Facility at the Baikonur Cosmodrome in Kazakhstan, the Soyuz TMA-11M spacecraft is mated to its Soyuz booster rocket. The Soyuz is being prepared for its launch carrying Expedition 38/39 crew members to the International Space Station on Nov. 6.
The crew and its backup toured the facility and signed their autographs as is tradition. The Soyuz rocket is decorated with the artwork and the colors of the 2014 Winter Olympics to be held in Sochi, Russia.</t>
  </si>
  <si>
    <t>9SNKa6JpB00</t>
  </si>
  <si>
    <t>https://youtu.be/oL6hGWDd2lM</t>
  </si>
  <si>
    <t>Space Station Live  Nov. 4, 2013</t>
  </si>
  <si>
    <t>The Space Station Live recap video for Nov. 4, 2013. Watch the full Space Station Live broadcast weekdays on NASA TV at 10 a.m. CDT. http://www.nasa.gov/ntv</t>
  </si>
  <si>
    <t>oL6hGWDd2lM</t>
  </si>
  <si>
    <t>2013 11 01</t>
  </si>
  <si>
    <t>https://youtu.be/1zAtMVncT-c</t>
  </si>
  <si>
    <t>Next Station Crew Preps for Soyuz Launch</t>
  </si>
  <si>
    <t>At the Baikonur Cosmodrome in Kazakhstan, Expedition 38/39 Soyuz Commander Mikhail Tyurin of the Russian Federal Space Agency (Roscosmos), Flight Engineer Rick Mastracchio of NASA and Flight Engineer Koichi Wakata of the Japan Aerospace Exploration Agency participated in a variety of activities from Oct. 26-Nov. 1 as they prepared for launch to the International Space Station on Nov. 7, Kazakh time, in the Soyuz TMA-11M spacecraft. The footage includes the crew's arrival in Baikonur, a dress rehearsal fit check in their Soyuz spacecraft and other crew-related activities.</t>
  </si>
  <si>
    <t>1zAtMVncT-c</t>
  </si>
  <si>
    <t>https://youtu.be/I8Rm49OUe5U</t>
  </si>
  <si>
    <t>Space Station Live  Astronaut Chris Cassidy</t>
  </si>
  <si>
    <t>Public Affairs Officer Josh Byerly talks with NASA astronaut Chris Cassidy, who returned to Earth in September after nearly six months aboard the International Space Station. 
Watch the full Space Station Live broadcast weekdays on NASA TV at 10 a.m. CDT. http://www.nasa.gov/ntv</t>
  </si>
  <si>
    <t>I8Rm49OUe5U</t>
  </si>
  <si>
    <t>https://youtu.be/tPURHbNzf9Q</t>
  </si>
  <si>
    <t>Space Station Live  Nov. 1, 2013</t>
  </si>
  <si>
    <t>The Space Station Live recap video for Nov. 1, 2013. Watch the full Space Station Live broadcast weekdays on NASA TV at 10 a.m. CDT. http://www.nasa.gov/ntv</t>
  </si>
  <si>
    <t>tPURHbNzf9Q</t>
  </si>
  <si>
    <t>2013 10 31</t>
  </si>
  <si>
    <t>https://youtu.be/N0c1CijmH7o</t>
  </si>
  <si>
    <t>NASA Astronaut Karen Nyberg Invites Quilters to Create a Space Square</t>
  </si>
  <si>
    <t>NASA Astronaut Karen Nyberg, a lifelong lover of sewing, is inviting fellow crafters to join her in stitching together a global community space quilt. 
Nyberg, in the final weeks of her mission, recently shared a star-themed quilt square she was able to complete inside the International Space Station. Now, she's inviting quilters from the public to create their own star-themed quilt squares to help celebrate her mission and passion for the quilting arts.
The International Quilt Festival and Nyberg will work together to have the squares stitched together for display at the 40th annual International Quilt Festival in 2014 and other public displays. 
For Nyberg's complete biography, visit: 
http://www.jsc.nasa.gov/Bios/htmlbios/nyberg-kl.html
For more information about Nyberg's personal sewing hobbies visit: 
http://go.nasa.gov/CraftyKaren</t>
  </si>
  <si>
    <t>N0c1CijmH7o</t>
  </si>
  <si>
    <t>https://youtu.be/Cck1tDv57ig</t>
  </si>
  <si>
    <t>Space Station Live  Oct. 31, 2013</t>
  </si>
  <si>
    <t>The Space Station Live recap video for Oct. 31, 2013. Watch the full Space Station Live broadcast weekdays on NASA TV at 10 a.m. CDT. http://www.nasa.gov/ntv</t>
  </si>
  <si>
    <t>Cck1tDv57ig</t>
  </si>
  <si>
    <t>2013 10 30</t>
  </si>
  <si>
    <t>https://youtu.be/Uy11alCPe60</t>
  </si>
  <si>
    <t>Space Station Live  3-D Printing on the Station</t>
  </si>
  <si>
    <t>Public Affairs Officer Lori Meggs interviews Niki Werkheiser, 3-D print project manager at Marshall Space Flight Center, about how the new technology may be used on the International Space Station. The printer would be the first 3-D printer in microgravity. The first printer is a demonstration test and will be installed inside the Microgravity Science Glovebox. 
Tools and space parts can be printed for use on the station eliminating the need to manufacture and deliver the gear for launch aboard a cargo spacecraft. Flight controllers could upload a CAD file to the space station for printing complex parts. A crew member could then assemble the newly printed parts to build tools, repair broken gear and even assemble nano-satellites.
During future long-term missions beyond low-Earth orbit a crew will not have the benefit of deliveries from a resupply craft. The new 3-D printing technology could benefit a potential mission to an asteroid or Mars.
Watch the full Space Station Live broadcast weekdays on NASA TV at 10 a.m. CDT. http://www.nasa.gov/ntv</t>
  </si>
  <si>
    <t>Uy11alCPe60</t>
  </si>
  <si>
    <t>https://youtu.be/tUsnNx1SINE</t>
  </si>
  <si>
    <t>Space Station Live  Oct. 30, 2013</t>
  </si>
  <si>
    <t>The Space Station Live recap video for Oct. 30, 2013. Watch the full Space Station Live broadcast weekdays on NASA TV at 10 a.m. CDT. http://www.nasa.gov/ntv</t>
  </si>
  <si>
    <t>tUsnNx1SINE</t>
  </si>
  <si>
    <t>2013 10 29</t>
  </si>
  <si>
    <t>https://youtu.be/kwtRgmNetG0</t>
  </si>
  <si>
    <t>Space Station Live  Oct. 29, 2013</t>
  </si>
  <si>
    <t>The Space Station Live recap video for Oct. 29, 2013. Watch the full Space Station Live broadcast weekdays on NASA TV at 10 a.m. CDT. http://www.nasa.gov/ntv</t>
  </si>
  <si>
    <t>kwtRgmNetG0</t>
  </si>
  <si>
    <t>2013 10 28</t>
  </si>
  <si>
    <t>https://youtu.be/qeuvB1WfEd4</t>
  </si>
  <si>
    <t>Expedition 38 Crew Departs Star City</t>
  </si>
  <si>
    <t>Expedition 38 Flight Engineers Mikhail Tyurin, Koichi Wakata and Rick Mastracchio participated in traditional ceremonies at the Gagarin Cosmonaut Training Center in Star City, Russia outside Moscow Oct. 16. Afterward, they departed for the Baikonur Cosmodrome in Kazakhstan to complete training for their launch to the International Space Station in the Soyuz TMA-11M spacecraft Nov. 6 (Nov. 7 Baikonur time).</t>
  </si>
  <si>
    <t>qeuvB1WfEd4</t>
  </si>
  <si>
    <t>https://youtu.be/O3tXqbl95cI</t>
  </si>
  <si>
    <t>Expedition 38 Flight Engineer Rick Mastracchio</t>
  </si>
  <si>
    <t>Meet JAXA astronaut Rick Mastracchio, flight engineer for the Expedition 38 crew of the International Space Station.</t>
  </si>
  <si>
    <t>O3tXqbl95cI</t>
  </si>
  <si>
    <t>https://youtu.be/pij-M_eAeCg</t>
  </si>
  <si>
    <t>Expedition 38 Flight Engineer Koichi Wakata</t>
  </si>
  <si>
    <t>Meet JAXA astronaut Koichi Wakata, flight engineer for the Expedition 38 crew of the International Space Station.</t>
  </si>
  <si>
    <t>pij-M_eAeCg</t>
  </si>
  <si>
    <t>https://youtu.be/3ZoEIsl852Q</t>
  </si>
  <si>
    <t>Expedition 38 Crew Profile, Version 1</t>
  </si>
  <si>
    <t>Meet the three Expedition 38 crew members who will launch to the International Space Station in November. NASA astronaut Rick Mastracchio, Soyuz Commander Mikhail Tyurin and JAXA astronaut Koichi Wakata are set to launch Nov. 6 (Nov. 7, Kazakh time) from the Baikonur Cosmodrome in their Soyuz TMA-11M spacecraft for a five and a half month mission on the International Space Station.</t>
  </si>
  <si>
    <t>3ZoEIsl852Q</t>
  </si>
  <si>
    <t>https://youtu.be/HLoGlt-XOMU</t>
  </si>
  <si>
    <t>Expedition 38 Flight Engineer Mikhail Tyurin</t>
  </si>
  <si>
    <t>Meet cosmonaut Mikhail Tyurin, flight engineer for the Expedition 38 crew of the International Space Station.</t>
  </si>
  <si>
    <t>HLoGlt-XOMU</t>
  </si>
  <si>
    <t>https://youtu.be/_rWWFuRXHyI</t>
  </si>
  <si>
    <t>Space Station Live  Oct. 28, 2013</t>
  </si>
  <si>
    <t>The Space Station Live recap video for Oct. 28, 2013. Watch the full Space Station Live broadcast weekdays on NASA TV at 10 a.m. CDT. http://www.nasa.gov/ntv</t>
  </si>
  <si>
    <t>_rWWFuRXHyI</t>
  </si>
  <si>
    <t>2013 10 25</t>
  </si>
  <si>
    <t>https://youtu.be/GUkC0FnH9zg</t>
  </si>
  <si>
    <t>Space Station Live  Oct. 25, 2013</t>
  </si>
  <si>
    <t>The Space Station Live recap video for Oct. 25, 2013. Watch the full Space Station Live broadcast weekdays on NASA TV at 10 a.m. CDT. http://www.nasa.gov/ntv</t>
  </si>
  <si>
    <t>GUkC0FnH9zg</t>
  </si>
  <si>
    <t>2013 10 24</t>
  </si>
  <si>
    <t>https://youtu.be/-gpwJ-USrpg</t>
  </si>
  <si>
    <t>Space Station Live  Spacesuit Water Leak Troubleshooting</t>
  </si>
  <si>
    <t>NASA Public Affairs Officer Dan Huot talks with Alex Kanelakos, EVA flight controller and astronaut instructor, about the current spacesuit troubleshooting work being performed aboard the International Space Station by Flight Engineers Mike Hopkins and Karen Nyberg.  During an abbreviated July 16 spacewalk, water leaked into Flight Engineer Luca Parmitano's spacesuit helmet from the internal life-support system of his spacesuit.
Watch the full Space Station Live broadcast weekdays on NASA TV at 10 a.m. CDT. http://www.nasa.gov/ntv</t>
  </si>
  <si>
    <t>-gpwJ-USrpg</t>
  </si>
  <si>
    <t>https://youtu.be/fmGsYe7Fx-U</t>
  </si>
  <si>
    <t>Space Station Live  Oct. 24, 2013</t>
  </si>
  <si>
    <t>The Space Station Live recap video for Oct. 24, 2013. Watch the full Space Station Live broadcast weekdays on NASA TV at 10 a.m. CDT. http://www.nasa.gov/ntv</t>
  </si>
  <si>
    <t>fmGsYe7Fx-U</t>
  </si>
  <si>
    <t>2013 10 23</t>
  </si>
  <si>
    <t>https://youtu.be/EPPGQeZ4aw4</t>
  </si>
  <si>
    <t>Jumping Spider, Nefertiti, Onboard the International Space Station</t>
  </si>
  <si>
    <t>The Phiddipus johnsoni, or red-backed jumping spider, named Nefertiti is shown here walking and preying on flies in her habitat while in orbit on the International Space Station and in her habitat readapting to gravity on Earth. (BioServe Space Technologies)</t>
  </si>
  <si>
    <t>EPPGQeZ4aw4</t>
  </si>
  <si>
    <t>https://youtu.be/TD0uHZkfQ-8</t>
  </si>
  <si>
    <t>Space Station Live  Oct. 23, 2013</t>
  </si>
  <si>
    <t>The Space Station Live recap video for Oct. 23, 2013. Watch the full Space Station Live broadcast weekdays on NASA TV at 10 a.m. CDT. http://www.nasa.gov/ntv</t>
  </si>
  <si>
    <t>TD0uHZkfQ-8</t>
  </si>
  <si>
    <t>https://youtu.be/ab-m1a0TR9s</t>
  </si>
  <si>
    <t>Expedition 37 Crew Profile, Version 2</t>
  </si>
  <si>
    <t>Meet the International Space Station's Expedition 37 crew -- Commander Fyodor Yurchikhin and Flight Engineers Karen Nyberg, Luca Parmitano, Mike Hopkins, Oleg Kotov and Sergey Ryazanskiy.</t>
  </si>
  <si>
    <t>ab-m1a0TR9s</t>
  </si>
  <si>
    <t>https://youtu.be/z1BiBDhdPDU</t>
  </si>
  <si>
    <t>Expedition 37 38 Mission Overview</t>
  </si>
  <si>
    <t>The main focus for the crew onboard the International Space Station this fall is on the station's top priority: groundbreaking scientific research that can't be done anywhere else  -- science that helps the people of Earth today and advances the technology needed to support space exploration beyond Earth tomorrow.</t>
  </si>
  <si>
    <t>z1BiBDhdPDU</t>
  </si>
  <si>
    <t>2013 10 22</t>
  </si>
  <si>
    <t>https://youtu.be/s02WQxnkviI</t>
  </si>
  <si>
    <t>Space Station Live  Oct. 22, 2013</t>
  </si>
  <si>
    <t>The Space Station Live recap video for Oct. 22, 2013. Watch the full Space Station Live broadcast weekdays on NASA TV at 10 a.m. CDT. http://www.nasa.gov/ntv</t>
  </si>
  <si>
    <t>s02WQxnkviI</t>
  </si>
  <si>
    <t>2013 10 21</t>
  </si>
  <si>
    <t>https://youtu.be/tsGcF6sETWQ</t>
  </si>
  <si>
    <t>Space Station Live  Oct. 21, 2013</t>
  </si>
  <si>
    <t>The Space Station Live recap video for Oct. 21, 2013. Watch the full Space Station Live broadcast weekdays on NASA TV at 10 a.m. CDT. http://www.nasa.gov/ntv</t>
  </si>
  <si>
    <t>tsGcF6sETWQ</t>
  </si>
  <si>
    <t>2013 09 30</t>
  </si>
  <si>
    <t>https://youtu.be/sg514Mh3ysA</t>
  </si>
  <si>
    <t>Space Station Live  Sept. 30, 2013</t>
  </si>
  <si>
    <t>The Space Station Live recap video for Sept. 30, 2013. Watch the full Space Station Live broadcast weekdays on NASA TV at 10 a.m. CDT. http://www.nasa.gov/ntv</t>
  </si>
  <si>
    <t>sg514Mh3ysA</t>
  </si>
  <si>
    <t>https://youtu.be/Kr5036qjSnw</t>
  </si>
  <si>
    <t>2013 Racing the Station</t>
  </si>
  <si>
    <t>A quick and upbeat introduction to the International Space Station and some of the ~1550 research investigations on-board. Through advancing the state of scientific knowledge of our planet, looking after our health, and providing a space platform that inspires and educates the science and technology leaders of tomorrow, these benefits will drive the legacy of the space station as its research strengthens economies and enhances the quality of life here on Earth for all people.</t>
  </si>
  <si>
    <t>Kr5036qjSnw</t>
  </si>
  <si>
    <t>https://youtu.be/TiAoo-cO4mo</t>
  </si>
  <si>
    <t>Biweekly ISS Research Update - Sept. 1, 2013</t>
  </si>
  <si>
    <t>Biweekly ISS research video update for Sept. 1, 2013.</t>
  </si>
  <si>
    <t>TiAoo-cO4mo</t>
  </si>
  <si>
    <t>https://youtu.be/s9Er3OOgen8</t>
  </si>
  <si>
    <t>NASA Flight Director Talks Arrival of Cygnus</t>
  </si>
  <si>
    <t>NASA Flight Director Courtenay McMillan spoke with NASA's Josh Byerly during the arrival of the Cygnus spacecraft to the International Space Station. McMillan's team had worked since 2010 to prepare for the test flight of this new cargo vehicle.</t>
  </si>
  <si>
    <t>s9Er3OOgen8</t>
  </si>
  <si>
    <t>https://youtu.be/O0KNY63kpS4</t>
  </si>
  <si>
    <t>Astronaut Shannon Lucid Speaks About G. David Low and Cygnus</t>
  </si>
  <si>
    <t>Orbital Sciences has named the Cygnus that arrived at the space station after former astronaut and Orbital executive G. David Low. Astronaut Shannon Lucid flew one of her missions with Low, and she spoke with NASA's Josh Byerly about her memories of her former crewmate and thoughts on the honor of the spacecraft bearing his name.</t>
  </si>
  <si>
    <t>O0KNY63kpS4</t>
  </si>
  <si>
    <t>2013 09 27</t>
  </si>
  <si>
    <t>https://youtu.be/w7xboBrjcio</t>
  </si>
  <si>
    <t>Space Station Live  Sept. 27, 2013</t>
  </si>
  <si>
    <t>The Space Station Live recap video for Sept. 27, 2013. Watch the full Space Station Live broadcast weekdays on NASA TV at 10 a.m. CDT. http://www.nasa.gov/ntv</t>
  </si>
  <si>
    <t>w7xboBrjcio</t>
  </si>
  <si>
    <t>https://youtu.be/dKhLb0tlJ-U</t>
  </si>
  <si>
    <t>Space Station Live  Karen Nyberg's Creative Skills and Technical Abilities</t>
  </si>
  <si>
    <t>Public Affairs Officer Nicole Cloutier interviews NASA astronaut Megan McArthur about her friendship with Expedition 37 Flight Engineer Karen Nyberg. She discusses Nyberg's creative skills and technical abilities and how they complement each other and benefit her career. McArthur and Nyberg are both members of the 2000 class of astronauts nicknamed the "bugs".</t>
  </si>
  <si>
    <t>dKhLb0tlJ-U</t>
  </si>
  <si>
    <t>https://youtu.be/61E4MKosRdE</t>
  </si>
  <si>
    <t>Conversations with Astronaut Karen Nyberg on...Hobbies</t>
  </si>
  <si>
    <t>NASA astronaut Karen Nyberg discusses her hobbies including sewing and crafting in this video, which is part of a special series developed from Nyberg's preflight conversations with fellow NASA astronaut Cady Coleman. Nyberg launched to space on May 28 as the Expedition 36 Flight Engineer.</t>
  </si>
  <si>
    <t>61E4MKosRdE</t>
  </si>
  <si>
    <t>2013 09 26</t>
  </si>
  <si>
    <t>https://youtu.be/QONqNwoc9BE</t>
  </si>
  <si>
    <t>High School Students Chat With NASA Astronaut</t>
  </si>
  <si>
    <t>From NASA's International Space Station Mission Control Center, NASA astronaut Stan Love, participates in a Digital Learning Network (DLN) event with students at Oconee County High School in Watkinsville, GA.
The DLN connects students and teachers with NASA experts and education specialists using online communication technologies like video/web conferencing and webcasting. Register for free, interactive events listed in the catalog or watch the webcasts. http://dln.nasa.gov</t>
  </si>
  <si>
    <t>QONqNwoc9BE</t>
  </si>
  <si>
    <t>https://youtu.be/2ynFyxTS8B8</t>
  </si>
  <si>
    <t>Space Station Live  Training Like an Astronaut</t>
  </si>
  <si>
    <t>Public Affairs Officer Brandi Dean speaks with Mark Guilliams, lead strength and conditioning specialist, about the physical fitness training astronaut Mike Hopkins performed in preparation for his mission aboard the International Space Station. Hopkins will continue a daily exercise regimen aboard the the station to maintain strength and prevent the loss of bone density and muscle mass that occurs during long-duration spaceflight.
Follow along with Mike Hopkins throughout his mission and "train like an Astronaut!"
For more information about Mike and  his mission visit:
http://www.nasa.gov/station
http://www.nasa.gov/content/train-like-an-astronaut-with-mike-hopkins/
Follow Mike on Twitter at @AstroILLINI
Follow Mike and his workouts on Facebook at https://www.facebook.com/trainAstronaut</t>
  </si>
  <si>
    <t>2ynFyxTS8B8</t>
  </si>
  <si>
    <t>https://youtu.be/jtLqjGMMVCo</t>
  </si>
  <si>
    <t>Space Station Live  Sept. 26, 2013</t>
  </si>
  <si>
    <t>The Space Station Live recap video for Sept. 26, 2013. Watch the full Space Station Live broadcast weekdays on NASA TV at 10 a.m. CDT. http://www.nasa.gov/ntv</t>
  </si>
  <si>
    <t>jtLqjGMMVCo</t>
  </si>
  <si>
    <t>https://youtu.be/XCeb0CI6eQM</t>
  </si>
  <si>
    <t>New Crewmates Welcomed Aboard Station</t>
  </si>
  <si>
    <t>New Expedition 37 crew members Oleg Kotov, Mike Hopkins and Sergey Ryazanskiy were welcomed aboard the International Space Station Thursday at 12:34 a.m. EDT. They docked to the Poisk mini-research module Wednesday at 10:45 p.m. EDT aboard a Soyuz TMA-10M spacecraft.
They launched just four orbits earlier at 4:58 p.m. from the Baikonur Cosmodrome, Kazakhstan. After the hatches opened the new residents were greeted by Expedition 37 Commander Fyodor Yurchikhin and Flight Engineers Karen Nyberg and Luca Parmitano.</t>
  </si>
  <si>
    <t>XCeb0CI6eQM</t>
  </si>
  <si>
    <t>https://youtu.be/GN5LQh3q08s</t>
  </si>
  <si>
    <t>Expedition 37 Arrives at Station, Docks to Poisk</t>
  </si>
  <si>
    <t>A new trio of Expedition 37 residents has arrived at the International Space Station. Soyuz Commander Oleg Kotov and Flight Engineers Mike Hopkins and Sergey Ryazanskiy docked to the Poisk mini-research module Wednesday at 10:45 p.m. EDT aboard a Soyuz TMA-10M spacecraft.
They launched just four orbits earlier at 4:58 p.m. from the Baikonur Cosmodrome, Kazakhstan. After the hatches open, the new residents will participate in a welcome ceremony at 12:25 a.m. with Expedition 37 Commander Fyodor Yurchikhin and Flight Engineers Karen Nyberg and Luca Parmitano. NASA TV coverage begins at midnight.</t>
  </si>
  <si>
    <t>GN5LQh3q08s</t>
  </si>
  <si>
    <t>2013 09 25</t>
  </si>
  <si>
    <t>https://youtu.be/jOJpf-fn_NY</t>
  </si>
  <si>
    <t>New Space Station Crew Launches</t>
  </si>
  <si>
    <t>Expedition 37/38 Soyuz Commander Oleg Kotov and Flight Engineer Sergey Ryazanskiy of the Russian Federal Space Agency (Roscosmos) and NASA Flight Engineer Michael Hopkins launched on the Russian Soyuz TMA-10M spacecraft on Sept. 26, Kazakh time (Sept. 25, U.S. time) from the Baikonur Cosmodrome in Kazakhstan to begin a six-hour journey to the International Space Station. Welcoming them aboard will be the current space station residents, Expedition 37 Commander Fyodor Yurchikhin of the Russian Federal Space Agency and Flight Engineers Karen Nyberg of NASA and Luca Parmitano of the European Space Agency. Yurchikhin, Nyberg and Parmitano arrived at the space station in May aboard their Soyuz TMA-09M spacecraft.</t>
  </si>
  <si>
    <t>jOJpf-fn_NY</t>
  </si>
  <si>
    <t>https://youtu.be/Rrt3sgjJ_5s</t>
  </si>
  <si>
    <t>Space Station Live  Sept. 25, 2013</t>
  </si>
  <si>
    <t>The Space Station Live recap video for Sept. 25, 2013. Watch the full Space Station Live broadcast weekdays on NASA TV at 10 a.m. CDT. http://www.nasa.gov/ntv</t>
  </si>
  <si>
    <t>Rrt3sgjJ_5s</t>
  </si>
  <si>
    <t>2013 09 24</t>
  </si>
  <si>
    <t>https://youtu.be/0mKEOlOFoxQ</t>
  </si>
  <si>
    <t>Space Station Live  Sept. 24, 2013</t>
  </si>
  <si>
    <t>The Space Station Live recap video for Sept. 24, 2013. Watch the full Space Station Live broadcast weekdays on NASA TV at 10 a.m. CDT. http://www.nasa.gov/ntv</t>
  </si>
  <si>
    <t>0mKEOlOFoxQ</t>
  </si>
  <si>
    <t>2013 09 23</t>
  </si>
  <si>
    <t>https://youtu.be/3WCw02GgdNE</t>
  </si>
  <si>
    <t>Space Station Live  Coordinating Activities with the Station Crew</t>
  </si>
  <si>
    <t>NASA Public Affairs Officer Lori Meggs talks with Becky Grimaldi, Expedition 37 Payload Integrations Manager. They talk about how the International Space Station crew coordinates its activities with the Payload Operations Integration Center at Marshall Space Flight Center in Huntsville, Ala.
Watch the full Space Station Live broadcast weekdays on NASA TV at 10 a.m. CDT. http://www.nasa.gov/ntv</t>
  </si>
  <si>
    <t>3WCw02GgdNE</t>
  </si>
  <si>
    <t>https://youtu.be/Axd-YVkZrtg</t>
  </si>
  <si>
    <t>Space Station Live  Cygnus Rendezvous With Station Delayed</t>
  </si>
  <si>
    <t>NASA Public Affairs Officer Brandi Dean talks with NASA Commercial Orbital Transportation Services Project Executive Bruce Manners via telephone to discuss the Cygnus' delayed rendezvous with the International Space Station.
Managers from Orbital Sciences and NASA decided Monday morning to postpone the approach, rendezvous, grapple and berthing operations of Orbital's Cygnus cargo logistics spacecraft with the International Space Station to no earlier than Saturday, Sept. 28. Cygnus' rendezvous now will follow the launch and arrival of three crew members of Expedition 37/38 on Wednesday, Sept. 25. Michael Hopkins of NASA and Oleg Kotov and Sergey Ryazanskiy of the Russian Federal Space Agency (Roscosmos) will depart from the Baikonur Cosmodrome in Kazakhstan at 4:58 p.m. EDT and arrive at the space station at 10:47 p.m.
Orbital has confirmed that over the past 24 hours, the Orbital team developed and tested a software fix for the data format mismatch that necessitated a postponement of the first rendezvous operation that was scheduled for the early morning of Sunday, Sept. 22. However, that process, together with the impending Soyuz crew operations, resulted in a tight schedule to the point that both Orbital and NASA felt it was the right decision to postpone the Cygnus approach and rendezvous until after Soyuz operations.
An exact schedule for Cygnus will be determined following the successful completion of Soyuz operations. For the latest information about Cygnus and Orbital's demonstration cargo resupply mission, visit Orbital's page at: http://www.orbital.com/Antares-Cygnus
Watch the full Space Station Live broadcast weekdays on NASA TV at 10 a.m. CDT. http://www.nasa.gov/ntv</t>
  </si>
  <si>
    <t>Axd-YVkZrtg</t>
  </si>
  <si>
    <t>https://youtu.be/scy4vjm7uTc</t>
  </si>
  <si>
    <t>Expedition 37 38 Soyuz TMA-10M Roll Out</t>
  </si>
  <si>
    <t>The Soyuz TMA-10M spacecraft is rolled out to the launch pad by train on Sept. 23, 2013, at the Baikonur Cosmodrome in Kazakhstan. Launch of the Soyuz rocket is scheduled for Sept. 26, Kazakh time, and will send Expedition 37 Soyuz Commander Oleg Kotov, NASA Flight Engineer Michael Hopkins and Russian Flight Engineer Sergey Ryazanskiy on a five and a half month mission aboard the International Space Station.</t>
  </si>
  <si>
    <t>scy4vjm7uTc</t>
  </si>
  <si>
    <t>https://youtu.be/HnGsd11x2fk</t>
  </si>
  <si>
    <t>Space Station Live  Sept. 23, 2013</t>
  </si>
  <si>
    <t>The Space Station Live recap video for Sept. 23, 2013. Watch the full Space Station Live broadcast weekdays on NASA TV at 10 a.m. CDT. http://www.nasa.gov/ntv</t>
  </si>
  <si>
    <t>HnGsd11x2fk</t>
  </si>
  <si>
    <t>2013 09 20</t>
  </si>
  <si>
    <t>https://youtu.be/_ikouWcXhd0</t>
  </si>
  <si>
    <t>Running in Space!</t>
  </si>
  <si>
    <t>NASA astronaut Karen Nyberg, an Expedition 37 flight engineer aboard the International Space Station, demonstrates how astronauts run on the COLBERT treadmill in a weightless environment.  Station crew members exercise for at least two hours every day to keep fit and to prevent the loss of muscle mass and bone density that occurs during long-duration spaceflight.</t>
  </si>
  <si>
    <t>_ikouWcXhd0</t>
  </si>
  <si>
    <t>https://youtu.be/x49QfKZ7_Lg</t>
  </si>
  <si>
    <t>International Space Station Program Artist Shows His Creative Process</t>
  </si>
  <si>
    <t>The classic artist reaches for a brush, pen or pencil, or perhaps a pastel crayon to paint or sketch. Michael C. Jansen, for three decades an engineer at Johnson Space Center, sits before a computer display, stretches with his right hand for a mouse and begins to draw as though he was working with sketch pad or canvas. The inspiration for his space-themed creations flows as passionately through Microsoft PowerPoint as it once did through pencil and brush. Jansen's struggle with Parkinson's disease, which was diagnosed in mid-career, changed much in his life. He decided to switch direction and do what he felt was most important to him while he could—and that was art. Thanks to his innovative use of PowerPoint to steady his artistic stroke, a painstaking commitment to realism in his imagery and a supportive workplace, Jansen creates NASA-sponsored creations in support of space station. His latest pieces include a commemorative logo, poster and patch in celebration of humankind's first permanent off-Earth presence with the Russian element Zarya launch 15 years ago this November. This video shows Jansen's creative process as he creates art with a computer.</t>
  </si>
  <si>
    <t>x49QfKZ7_Lg</t>
  </si>
  <si>
    <t>https://youtu.be/O0AmGqHHo9Y</t>
  </si>
  <si>
    <t>Space Station Live  Sept. 20, 2013</t>
  </si>
  <si>
    <t>The Space Station Live recap video for Sept. 20, 2013. Watch the full Space Station Live broadcast weekdays on NASA TV at 10 a.m. CDT. http://www.nasa.gov/ntv</t>
  </si>
  <si>
    <t>O0AmGqHHo9Y</t>
  </si>
  <si>
    <t>https://youtu.be/eCULfmZ7bb8</t>
  </si>
  <si>
    <t>Space Station Live  Tracking How Astronauts Run in Space</t>
  </si>
  <si>
    <t>Do we run differently in space than we do on Earth? The answer may surprise you. NASA Public Affairs Officer Lori Meggs talks with John DeWitt, principal investigator for the Treadmill Kinematics experiment aboard the International Space Station. Treadmill Kinematics is the first rigorous investigation to quantify the biomechanics of treadmill exercise conditions during long duration space flight on the station.
Watch the full Space Station Live broadcast weekdays on NASA TV at 10 a.m. CDT. http://www.nasa.gov/ntv</t>
  </si>
  <si>
    <t>eCULfmZ7bb8</t>
  </si>
  <si>
    <t>https://youtu.be/R9fGZVCUgW0</t>
  </si>
  <si>
    <t>Space Station Live  Cygnus Progress Report</t>
  </si>
  <si>
    <t>NASA Public Affairs Officer Kyle Herring talks with NASA Commercial Orbital Transportation Services Project Executive Bruce Manners via telephone to discuss the recent launch of the Cygnus spacecraft and its upcoming rendezvous with the International Space Station.
Watch the full Space Station Live broadcast weekdays on NASA TV at 10 a.m. CDT. http://www.nasa.gov/ntv</t>
  </si>
  <si>
    <t>R9fGZVCUgW0</t>
  </si>
  <si>
    <t>2013 09 19</t>
  </si>
  <si>
    <t>https://youtu.be/IZjAvqd2USE</t>
  </si>
  <si>
    <t>Georgia Students Chat With NASA Engineer</t>
  </si>
  <si>
    <t>From NASA's International Space Station Mission Control Center, Heather Paul, Crew and Thermal Systems Division Lead for Strategic Communications, participates in a Digital Learning Network (DLN) event with students at East Paulding Middle School in Dallas, Ga. The DLN connects students and teachers with NASA experts and education specialists using online communication technologies like video/web conferencing and webcasting. Register for free, interactive events listed in the catalog or watch the webcasts. http://dln.nasa.gov</t>
  </si>
  <si>
    <t>IZjAvqd2USE</t>
  </si>
  <si>
    <t>https://youtu.be/0bho96llThE</t>
  </si>
  <si>
    <t>New Station Trio Preps for Launch in Kazakhstan.</t>
  </si>
  <si>
    <t>The three crew members who will return the International Space Station to its full six-person complement are in the homestretch of their launch preparations at the Baikonur Cosmodrome in Kazakhstan. Expedition 37/38 Flight Engineer Mike Hopkins of NASA, Soyuz Commander Oleg Kotov and Russian cosmonaut Sergey Ryazanskiy will launch Sept. 25 (Sept. 26, Kazakh time) aboard their Soyuz TMA-10M spacecraft for a five and a half month mission on the station.</t>
  </si>
  <si>
    <t>0bho96llThE</t>
  </si>
  <si>
    <t>https://youtu.be/RsN5wbcXED0</t>
  </si>
  <si>
    <t>Space Station Live  Career Choices at NASA</t>
  </si>
  <si>
    <t>Public Affairs Officer Kyle Herring interviews Heather Paul, strategic communications lead for the Crew and Thermal Systems Division, about how she made here career choices. Paul describes her childhood fascination with astronomy and merging her interests with art and dancing.
While going to school she started studying math and science and focused on becoming an engineer at NASA. During college as an undergraduate she began working for NASA and learned how to create projects that would fly in space and benefit astronauts. Paul has worked at NASA now for 18 years performing in several different areas.</t>
  </si>
  <si>
    <t>RsN5wbcXED0</t>
  </si>
  <si>
    <t>https://youtu.be/hyxDrnkHQSs</t>
  </si>
  <si>
    <t>Space Station Live  Sept. 19, 2013</t>
  </si>
  <si>
    <t>The Space Station Live recap video for Sept. 19, 2013. Watch the full Space Station Live broadcast weekdays on NASA TV at 10 a.m. CDT. http://www.nasa.gov/ntv</t>
  </si>
  <si>
    <t>hyxDrnkHQSs</t>
  </si>
  <si>
    <t>https://youtu.be/1pZ06OwCu2g</t>
  </si>
  <si>
    <t>Conversations with Astronaut Karen Nyberg on...Career Choices</t>
  </si>
  <si>
    <t>NASA astronaut Karen Nyberg discusses how she decided to become a mechanical engineer in this video, which is part of a special series developed from Nyberg's preflight conversations with fellow NASA astronaut Cady Coleman. Nyberg launched to space on May 28 as the Expedition 36 Flight Engineer.</t>
  </si>
  <si>
    <t>1pZ06OwCu2g</t>
  </si>
  <si>
    <t>https://youtu.be/MyHYphRAeYw</t>
  </si>
  <si>
    <t>Expedition 37 Crew Profile, Version 1</t>
  </si>
  <si>
    <t>Meet the three crew members who will return the International Space Station to its full six-person crew complement in September. NASA astronaut Mike Hopkins, Soyuz Commander Oleg Kotov and Flight Engineer Sergey Ryazanskiy are set to launch Sept. 25 (Sept. 26, Kazakh time) from the Baikonur Cosmodrome in their Soyuz TMA-10M spacecraft for a five and a half month mission on the International Space Station. They will join their Expedition 37 crewmates -- Commander Fyodor Yurchikhin and Flight Engineers Karen Nyberg and Luca Parmitano -- who have been living and working aboard the orbiting complex since late May.</t>
  </si>
  <si>
    <t>MyHYphRAeYw</t>
  </si>
  <si>
    <t>2013 09 18</t>
  </si>
  <si>
    <t>https://youtu.be/1MSC_52LVOg</t>
  </si>
  <si>
    <t>Train Like an Astronaut  Countdown to Liftoff</t>
  </si>
  <si>
    <t>Countdown to the liftoff for Astronaut Mike Hopkins as he prepares for his first mission to space!!!
Mike will launch on Wednesday, September 25, 2013 at 4:58 p.m. ET / 3:58 p.m. CT
The launch will be televised live on NASA Television beginning at 4 p.m. ET / 3 p.m. CT (It will also be streamed live at http://www.nasa.gov/ntv)
Mike Hopkins will be joined by crewmates Oleg Kotov and Sergey Ryazanskiy for the launch from Baikonur Kazakhstan.
They will arrive to the International Space Station approximately 6 hours later. The docking and hatch opening will also air on NASA Television.
Follow along with Mike throughout his mission and "train like an Astronaut!"
For more information about Mike and  his mission visit:
http://www.nasa.gov/station
http://www.nasa.gov/content/train-like-an-astronaut-with-mike-hopkins/#.UjoihMbkuSo
Follow Mike on Twitter at @AstroILLINI
Follow Mike and his workouts on Facebook at https://www.facebook.com/trainAstronaut</t>
  </si>
  <si>
    <t>1MSC_52LVOg</t>
  </si>
  <si>
    <t>2013 09 17</t>
  </si>
  <si>
    <t>https://youtu.be/SgcxhpoDH3Y</t>
  </si>
  <si>
    <t>Space Station Live  Antares Launch Update</t>
  </si>
  <si>
    <t>NASA Public Affairs Officer Kyle Herring talks with John Steinmeyer, senior project manager for the Launch Systems Group at Orbital Sciences Corporation, about the upcoming Cygnus demonstration mission. Orbital will launch its Cygnus cargo spacecraft aboard its Antares rocket from NASA's Wallops Flight Facility in Virginia on Wednesday, Sept. 18. The Cygnus will spend several days heading toward the International Space Station where it will perform a series of checkout maneuvers, ensuring it can safely enter the keep-out zone of the orbiting complex. After those tests have been passed, Cygnus will proceed for an attempted rendezvous with the space station and will be captured by the crew on board. The rendezvous is targeted for Sept. 22.
For the latest information, visit: 
http://www.nasa.gov/orbital 
http://www.nasa.gov/station</t>
  </si>
  <si>
    <t>SgcxhpoDH3Y</t>
  </si>
  <si>
    <t>https://youtu.be/3PYLbcfXlw8</t>
  </si>
  <si>
    <t>Space Station Live  Sept. 17, 2013</t>
  </si>
  <si>
    <t>The Space Station Live recap video for Sept. 17, 2013. Watch the full Space Station Live broadcast weekdays on NASA TV at 10 a.m. CDT. http://www.nasa.gov/ntv</t>
  </si>
  <si>
    <t>3PYLbcfXlw8</t>
  </si>
  <si>
    <t>2013 09 16</t>
  </si>
  <si>
    <t>https://youtu.be/NiHQIpOsL24</t>
  </si>
  <si>
    <t>Space Station Live  Sept. 16, 2013</t>
  </si>
  <si>
    <t>The Space Station Live recap video for Sept. 16, 2013. Watch the full Space Station Live broadcast weekdays on NASA TV at 10 a.m. CDT. http://www.nasa.gov/ntv</t>
  </si>
  <si>
    <t>NiHQIpOsL24</t>
  </si>
  <si>
    <t>2013 09 13</t>
  </si>
  <si>
    <t>https://youtu.be/jPeHX0SAz2M</t>
  </si>
  <si>
    <t>Space Station Live  Sept. 13, 2013</t>
  </si>
  <si>
    <t>The Space Station Live recap video for Sept. 13, 2013. Watch the full Space Station Live broadcast weekdays on NASA TV at 10 a.m. CDT. http://www.nasa.gov/ntv</t>
  </si>
  <si>
    <t>jPeHX0SAz2M</t>
  </si>
  <si>
    <t>https://youtu.be/qm-QKtBjSms</t>
  </si>
  <si>
    <t>Space Station Live  Run Like an Astronaut</t>
  </si>
  <si>
    <t>NASA Public Affairs Officer Dan Huot talks with NASA astronaut Dottie Metcalf-Lindenberger on her love of running and how important physical fitness is for astronauts while in space.
Watch the full Space Station Live broadcast weekdays on NASA TV at 10 a.m. CDT. http://www.nasa.gov/ntv</t>
  </si>
  <si>
    <t>qm-QKtBjSms</t>
  </si>
  <si>
    <t>https://youtu.be/kOACF9uL4Bc</t>
  </si>
  <si>
    <t>Conversations with Astronaut Karen Nyberg on...Running</t>
  </si>
  <si>
    <t>NASA astronaut Karen Nyberg discusses her love for running and how she pushes through a marathon in this video, which is part of a special series developed from Nyberg's preflight conversations with fellow NASA astronaut Cady Coleman. Nyberg launched to space on May 28 as the Expedition 36 Flight Engineer.</t>
  </si>
  <si>
    <t>kOACF9uL4Bc</t>
  </si>
  <si>
    <t>2013 09 12</t>
  </si>
  <si>
    <t>https://youtu.be/m7-87uOE0xk</t>
  </si>
  <si>
    <t>This is JSC  Rocket Science</t>
  </si>
  <si>
    <t>"This is JSC" is a satirical series created by students at NASA Johnson Space Center. This volunteer outreach project showcases different projects and features unique to JSC.
Sign up to see the International Space Station over your hometown:
http://spotthestation.nasa.gov/</t>
  </si>
  <si>
    <t>m7-87uOE0xk</t>
  </si>
  <si>
    <t>https://youtu.be/QKlE7gf3xlw</t>
  </si>
  <si>
    <t>Train Like an Astronaut   Muscle Strength</t>
  </si>
  <si>
    <t>https://www.facebook.com/#!/trainastronaut
Part of an effective mission is ensuring the health and vitality of each Astronaut onboard through multiple methods including but limited to diet and exercise.  Join Astronaut Mike Hopkins as he explains how important muscle strength and conditioning moves are for mitigating bone and muscle loss effects of 0-G.</t>
  </si>
  <si>
    <t>QKlE7gf3xlw</t>
  </si>
  <si>
    <t>https://youtu.be/p7afh6oujC8</t>
  </si>
  <si>
    <t>Space Station Live  Cygnus Robotics Operations</t>
  </si>
  <si>
    <t>NASA Public Affairs Officer Dan Huot talks with Billy Jones, ROBO flight controller for the International Space Station's flight control team, about the upcoming arrival of the Orbital Sciences Cygnus cargo ship set to launch on its first demonstration mission to the station on Sept. 17.  Cygnus will approach the station Sept. 22 and will be grappled by the crew using the station's robotic arm, Candarm2. It will then be installed on the bottom side of the station's Harmony node.</t>
  </si>
  <si>
    <t>p7afh6oujC8</t>
  </si>
  <si>
    <t>https://youtu.be/3c9eO-aNdJg</t>
  </si>
  <si>
    <t>Space Station Live  Sept. 12, 2013</t>
  </si>
  <si>
    <t>The Space Station Live recap video for Sept. 12, 2013. Watch the full Space Station Live broadcast weekdays on NASA TV at 10 a.m. CDT. http://www.nasa.gov/ntv</t>
  </si>
  <si>
    <t>3c9eO-aNdJg</t>
  </si>
  <si>
    <t>2013 09 11</t>
  </si>
  <si>
    <t>https://youtu.be/dqL0VroFS6Y</t>
  </si>
  <si>
    <t>Space Station Live  Preparing for Cygnus</t>
  </si>
  <si>
    <t>NASA Public Affairs Officer Dan Huot talks with Ray Bigonesse, Visiting Vehicle Officer for the International Space Station's flight control team, about the upcoming arrival of the Orbital Sciences Cygnus cargo ship set to launch on its first demonstration mission to the station on Sept. 17.  Cygnus will approach the station Sept. 22 and will be grappled by the crew using the station's robotic arm. It will then be installed on the bottom side of the station's Harmony node.</t>
  </si>
  <si>
    <t>dqL0VroFS6Y</t>
  </si>
  <si>
    <t>https://youtu.be/XqSW1xI4oo0</t>
  </si>
  <si>
    <t>Space Station Live  Training for Cygnus</t>
  </si>
  <si>
    <t>NASA Public Affairs Officer Dan Huot talks with Chief Training Officer Wyatt Smith about the efforts in getting the ground team at mission control and the crew aboard the International Space Station ready for the maiden voyage of the Orbital Sciences Cygnus cargo ship to the orbiting complex.  Cygnus will be launched aboard Orbital's Antares rocket on Sept. 17 from the Mid-Atlantic Regional Spaceport Pad-0A at NASA's Wallops Flight Facility in eastern Virginia. Rendezvous with the space station is scheduled for Sept. 22.</t>
  </si>
  <si>
    <t>XqSW1xI4oo0</t>
  </si>
  <si>
    <t>https://youtu.be/-M260qf8bbc</t>
  </si>
  <si>
    <t>Space Station Live  Sept. 11, 2013</t>
  </si>
  <si>
    <t>The Space Station Live recap video for Sept. 11, 2013. Watch the full Space Station Live broadcast weekdays on NASA TV at 10 a.m. CDT. http://www.nasa.gov/ntv</t>
  </si>
  <si>
    <t>-M260qf8bbc</t>
  </si>
  <si>
    <t>https://youtu.be/cWc6SptEhmg</t>
  </si>
  <si>
    <t>Preparing America for Deep Space Exploration  Episode 3 Music Video</t>
  </si>
  <si>
    <t>NASA's building momentum on the path to deep space in the Orion, Space Launch System and Ground Systems Development and Operations programs.</t>
  </si>
  <si>
    <t>cWc6SptEhmg</t>
  </si>
  <si>
    <t>https://youtu.be/KBP7BSEsQWM</t>
  </si>
  <si>
    <t>Expedition 36 Trio Leaves Station, Heads Home</t>
  </si>
  <si>
    <t>Expedition 36 crew members Pavel Vinogradov, Chris Cassidy and Alexander Misurkin are on their way home. The trio undocked from the Poisk mini-research module in their Soyuz TMA-08M spacecraft Tuesday at 7:35 p.m. EDT. They are scheduled for a Kazakhstan landing at 10:58 p.m.</t>
  </si>
  <si>
    <t>KBP7BSEsQWM</t>
  </si>
  <si>
    <t>2013 09 10</t>
  </si>
  <si>
    <t>https://youtu.be/vCyNWhimvZE</t>
  </si>
  <si>
    <t>Expedition 36 Trio Says Farewell, Closes Hatches</t>
  </si>
  <si>
    <t>Expedition 36 crew members Pavel Vinogradov, Chris Cassidy and Alexander Misurkin said farewell to their crewmates Tuesday, Sept. 10, 2013. They closed the hatches between the International Space Station and the Soyuz TMA-08M spacecraft at 4:19 p.m. EDT. They conducted leak checks and put on their Sokol pressure suits.</t>
  </si>
  <si>
    <t>vCyNWhimvZE</t>
  </si>
  <si>
    <t>https://youtu.be/Kq-exVQPGB4</t>
  </si>
  <si>
    <t>Living at Home While Your Spouse is in Space</t>
  </si>
  <si>
    <t>Public Affairs Officer Kelly Humphries interviews NASA astronaut Doug Hurley about handling things home on Earth while his wife, Karen Nyberg, is living in space as an Expedition 36/37 flight engineer. Hurley and their son Jack stay in touch with Karen using modern communication tools such as Skype and an iPad.
Hurley said it is easier to be separated when you're the spouse going on a mission instead of the one staying home. As an astronaut, periods of separation from your family can be frequent and of varying durations. For instance, preparing for a mission can require weeks of training away from home in other parts of the world that prepare you for the space mission.
In the meantime, while Karen spent her 100th day aboard the station on Sept. 5 her 4-year-old son Jack is growing. She will return home in November with her Expedition 36/37 crewmates having completed a 5-1/2 month mission on  the International Space Station.
Conversations With Astronaut Karen Nyberg on Family:
https://www.youtube.com/watch?v=otwdUaIRg_Q</t>
  </si>
  <si>
    <t>Kq-exVQPGB4</t>
  </si>
  <si>
    <t>https://youtu.be/QLa6VqrKlD8</t>
  </si>
  <si>
    <t>Space Station Live  Sept. 10, 2013</t>
  </si>
  <si>
    <t>The Space Station Live recap video for Sept. 10, 2013. Watch the full Space Station Live broadcast weekdays on NASA TV at 10 a.m. CDT. http://www.nasa.gov/ntv</t>
  </si>
  <si>
    <t>QLa6VqrKlD8</t>
  </si>
  <si>
    <t>2013 09 09</t>
  </si>
  <si>
    <t>https://youtu.be/dBf0tNb_8k4</t>
  </si>
  <si>
    <t>Expedition 36 Commander Pavel Vinogradov passes the helm of the International Space Station over to Expedition 37 Commander Fyodor Yurchikhin during a change of command ceremony Sept 9.  Vinogradov and Flight Engineers Chris Cassidy and Alexander Misurkin are heading home Sept. 10 aboard their Soyuz TMA-08M spacecraft after 5 1/2 months aboard the orbiting complex.</t>
  </si>
  <si>
    <t>dBf0tNb_8k4</t>
  </si>
  <si>
    <t>https://youtu.be/tnLRCgOWGy8</t>
  </si>
  <si>
    <t>Space Station Live  Orbital Sciences Cygnus Update</t>
  </si>
  <si>
    <t>Public Affairs Officer Dan Huot talks with Bruce Manners, NASA COTS project executive for Orbital Sciences, about the upcoming launch of the Cygnus demonstration flight to the International Space Station. 
Learn more: www.nasa.gov/orbital
Watch the full Space Station Live broadcast weekdays on NASA TV at 10 a.m. CDT. http://www.nasa.gov/ntv</t>
  </si>
  <si>
    <t>tnLRCgOWGy8</t>
  </si>
  <si>
    <t>https://youtu.be/nMqe9XEXTEg</t>
  </si>
  <si>
    <t>Space Station Live  Sept. 9, 2013</t>
  </si>
  <si>
    <t>The Space Station Live recap video for Sept. 9, 2013. Watch the full Space Station Live broadcast weekdays on NASA TV at 10 a.m. CDT. http://www.nasa.gov/ntv</t>
  </si>
  <si>
    <t>nMqe9XEXTEg</t>
  </si>
  <si>
    <t>https://youtu.be/vfDXzkFHnz0</t>
  </si>
  <si>
    <t>Space Station Live  Robonaut, the Humanoid Robot</t>
  </si>
  <si>
    <t>Public Affairs Officer Lori Meggs talks with Julia Badger, robotics engineer at the Johnson Space Center, about the ongoing demonstrations with Robonaut, the humanoid robot aboard the International Space Station.  Robonaut was designed to perform simple, repetitive or even dangerous crew tasks. 
Learn more about Robonaut: www.nasa.gov/robonaut</t>
  </si>
  <si>
    <t>vfDXzkFHnz0</t>
  </si>
  <si>
    <t>2013 09 06</t>
  </si>
  <si>
    <t>https://youtu.be/dtKJKfViQUU</t>
  </si>
  <si>
    <t>Expedition 37 38 Visits Red Square</t>
  </si>
  <si>
    <t>Expedition 37/38 Soyuz Commander Oleg Kotov and Flight Engineer Sergey Ryazanskiy of the Russian Federal Space Agency (Roscosmos), NASA Flight Engineer Michael Hopkins and their backups, Alexander Skvortsov and Oleg Artemyev of Roscosmos and Steve Swanson of NASA participated in traditional ceremonies at Red Square in Moscow, laying flowers at the Kremlin Wall and touring the Kremlin as they paid tribute to iconic Russian space heroes. Kotov, Hopkins and Ryazanskiy are scheduled to launch to the International Space Station on Sept. 26, Kazakh time.</t>
  </si>
  <si>
    <t>dtKJKfViQUU</t>
  </si>
  <si>
    <t>https://youtu.be/iyyBbv3wkkI</t>
  </si>
  <si>
    <t>Space Station Live  Advanced Colloids Experiment-M-1</t>
  </si>
  <si>
    <t>Public Affairs Officer Kelly Humphries interviews Matthew Lynch, Principal Investigator for the Advanced Colloids Experiment-M-1 (ACE-M-1). The experiment studies microscopic particles evenly dispersed in a liquid which helps keep products and materials stable.
Research benefits include enhancing the ability to produce, store, and manipulate materials on Earth. For more information please visit... http://go.nasa.gov/19pXgiQ</t>
  </si>
  <si>
    <t>iyyBbv3wkkI</t>
  </si>
  <si>
    <t>https://youtu.be/hDnoICrziVI</t>
  </si>
  <si>
    <t>Space Station Live  Sept. 6, 2013</t>
  </si>
  <si>
    <t>The Space Station Live recap video for Sept. 6, 2013. Watch the full Space Station Live broadcast weekdays on NASA TV at 10 a.m. CDT. http://www.nasa.gov/ntv</t>
  </si>
  <si>
    <t>hDnoICrziVI</t>
  </si>
  <si>
    <t>2013 09 05</t>
  </si>
  <si>
    <t>https://youtu.be/kPYdkTLqm6Q</t>
  </si>
  <si>
    <t>Orbital Sciences Cygnus Demonstration Flight Animation</t>
  </si>
  <si>
    <t>This animation shows the launch of the Orbital Sciences Cygnus cargo ship and its rendezvous with the International Space Station.
Read more about Orbital Sciences' participation in NASA's Commercial Orbital Transportation Services here: www.nasa.gov/orbital</t>
  </si>
  <si>
    <t>kPYdkTLqm6Q</t>
  </si>
  <si>
    <t>https://youtu.be/2tIPi8nik3c</t>
  </si>
  <si>
    <t>Space Station Live  Sept. 5, 2013</t>
  </si>
  <si>
    <t>The Space Station Live recap video for Sept. 5, 2013. Watch the full Space Station Live broadcast weekdays on NASA TV at 10 a.m. CDT. http://www.nasa.gov/ntv</t>
  </si>
  <si>
    <t>2tIPi8nik3c</t>
  </si>
  <si>
    <t>https://youtu.be/cfCTb7m_jrA</t>
  </si>
  <si>
    <t>Orbital Sciences Cygnus Demonstration Mission</t>
  </si>
  <si>
    <t>This video shows highlights of the Orbital Sciences A-ONE launch mission on April 21, 2013 and the preparations for the Sept. 17 launch of Cygnus on its first demonstration flight to the International Space Station.
Read more about Orbital Sciences' participation in NASA's Commercial Orbital Transportation Services here: www.nasa.gov/orbital</t>
  </si>
  <si>
    <t>cfCTb7m_jrA</t>
  </si>
  <si>
    <t>https://youtu.be/otwdUaIRg_Q</t>
  </si>
  <si>
    <t>Conversations with Astronaut Karen Nyberg on... Family</t>
  </si>
  <si>
    <t>NASA astronaut Karen Nyberg discusses her family and how she plans to stay in touch with her husband and young son while she lives on the International Space Station. This video is part of a special series developed from Nyberg's preflight conversations with fellow NASA astronaut Cady Coleman. Nyberg launched to space on May 28 as the Expedition 36 Flight Engineer.</t>
  </si>
  <si>
    <t>otwdUaIRg_Q</t>
  </si>
  <si>
    <t>2013 09 04</t>
  </si>
  <si>
    <t>https://youtu.be/qYSPDnlpMeI</t>
  </si>
  <si>
    <t>Space Station Live  Sept. 4, 2013</t>
  </si>
  <si>
    <t>qYSPDnlpMeI</t>
  </si>
  <si>
    <t>https://youtu.be/LkrZJedU7yA</t>
  </si>
  <si>
    <t>New Station Trio Begins Qualification Exams for Soyuz Launch</t>
  </si>
  <si>
    <t>At the Gagarin Cosmonaut Training Center in Star City, Russia, the Expedition 37/38 prime crew members begin a round of qualification exams for their launch to the International Space Station later this month. NASA astronaut Mike Hopkins, Soyuz Commander Oleg Kotov and Flight Engineer Sergey Ryazanskiy are in the final weeks of training for their scheduled launch in their Soyuz TMA-10M spacecraft from the Baikonur Cosmodrome in Kazakhstan on Sept. 25 (Sept. 26, Kazakhstan time).</t>
  </si>
  <si>
    <t>LkrZJedU7yA</t>
  </si>
  <si>
    <t>2013 09 03</t>
  </si>
  <si>
    <t>https://youtu.be/haR1PHgnI5U</t>
  </si>
  <si>
    <t>Space Station Live  Flight Director Talks Spacesuit Troubleshooting</t>
  </si>
  <si>
    <t>NASA Public Affairs Officer Kelly Humphries talks with Flight Director Dina Contella about the troubleshooting efforts on the spacesuit astronaut Luca Parmitano wore during a July 16 spacewalk that was cut short when the helmet began to fill with water. Over the weekend aboard the International Space Station, NASA astronauts Chris Cassidy and Karen Nyberg spent about seven hours replacing components and checking out the suit.
Contella also discusses the departure preparations for the Japanese H-II Transfer Vehicle, which is set to be unberthed from the station by the Canadarm2 robotic arm on Wednesday.</t>
  </si>
  <si>
    <t>haR1PHgnI5U</t>
  </si>
  <si>
    <t>https://youtu.be/NOVgH-2s2HU</t>
  </si>
  <si>
    <t>Space Station Live  Sept. 3, 2013</t>
  </si>
  <si>
    <t>The Space Station Live recap video for Sept. 3, 2013. Watch the full Space Station Live broadcast weekdays on NASA TV at 10 a.m. CDT. http://www.nasa.gov/ntv</t>
  </si>
  <si>
    <t>NOVgH-2s2HU</t>
  </si>
  <si>
    <t>2013 08 30</t>
  </si>
  <si>
    <t>https://youtu.be/CEHE-lQXN60</t>
  </si>
  <si>
    <t>This is JSC  Athletics</t>
  </si>
  <si>
    <t>"This is JSC" is a satirical series created by students at NASA Johnson Space Center. This volunteer outreach project showcases different projects and features unique to JSC.
For students interested in NASA Johnson Space Center:
Facebook: https://www.facebook.com/NASA.JSC.Students
Twitter: https://twitter.com/NASAJSCStudents
Pathways Programs: http://pathways.jsc.nasa.gov/index.html
Internship, Fellowship, and Scholarship Opportunities: https://intern.nasa.gov/ossi/web/public/main/</t>
  </si>
  <si>
    <t>CEHE-lQXN60</t>
  </si>
  <si>
    <t>https://youtu.be/AET08T06Emg</t>
  </si>
  <si>
    <t>Space Station Live  Aug. 30, 2013</t>
  </si>
  <si>
    <t>The Space Station Live recap video for the week ending Aug. 30, 2013. Watch the full Space Station Live broadcast weekdays on NASA TV at 10 a.m. CDT. http://www.nasa.gov/ntv</t>
  </si>
  <si>
    <t>AET08T06Emg</t>
  </si>
  <si>
    <t>https://youtu.be/42LJE94Ucbk</t>
  </si>
  <si>
    <t>Train Like an Astronaut-Aerobic vs. Anaerobic activity</t>
  </si>
  <si>
    <t>Ever wonder what the difference between aerobic and anaerobic  exercise is or how both types of activities work synergistically to form a well-rounded training regimen?  Astronaut Mike Hopkins gives you a glimpse into his work out routines and how he integrates aerobic and anaerobic movements to maintain a healthy body not only on Earth but also in preparation for a challenging space mission. 
Visit and Like the Train Like an Astronaut Facebook page for more fitness videos and content: http://www.facebook.com/trainastronaut</t>
  </si>
  <si>
    <t>42LJE94Ucbk</t>
  </si>
  <si>
    <t>2013 08 29</t>
  </si>
  <si>
    <t>https://youtu.be/d-OqseqoxJs</t>
  </si>
  <si>
    <t>Astronaut Nicole Stott Talks With Texas Students</t>
  </si>
  <si>
    <t>From NASA's International Space Station Mission Control Center, NASA astronaut Nicole Stott participates in a Digital Learning Network (DLN) event with students at McWhirter Elementary School in Webster, Texas. The DLN connects students and teachers with NASA experts and education specialists using online communication technologies like video/web conferencing and webcasting. Register for free, interactive events listed in the catalog or watch the webcasts. http://dln.nasa.gov</t>
  </si>
  <si>
    <t>d-OqseqoxJs</t>
  </si>
  <si>
    <t>https://youtu.be/ilQYJT44Dm8</t>
  </si>
  <si>
    <t>Take a Peek Inside the New Mission Control Houston</t>
  </si>
  <si>
    <t>Mission Control team member Bill Foster talks with NASA Public Affairs Officer Josh Byerly about the enhancements and changes being made to Mission Control Houston. The former control room for the space shuttle has been undergoing a remodel to prepare it for the Orion flights, and it has a new look and feel. Foster talks about the upgrades and what's ahead for the space station control room as well.</t>
  </si>
  <si>
    <t>ilQYJT44Dm8</t>
  </si>
  <si>
    <t>https://youtu.be/rJxZCaACoFA</t>
  </si>
  <si>
    <t>Space Station Live  Aug. 29, 2013</t>
  </si>
  <si>
    <t>The Space Station Live recap video for Aug. 29, 2013. Watch the full Space Station Live broadcast weekdays on NASA TV at 10 a.m. CDT. http://www.nasa.gov/ntv</t>
  </si>
  <si>
    <t>rJxZCaACoFA</t>
  </si>
  <si>
    <t>2013 08 28</t>
  </si>
  <si>
    <t>https://youtu.be/tl2C_JbPPXE</t>
  </si>
  <si>
    <t>Space Station Live  Cardiovascular Health in Space</t>
  </si>
  <si>
    <t>NASA Public Affairs Officer Lori Meggs talks with Michael Bungo, co-investigator for the Integrated Cardiovascular experiment taking place aboard the International Space Station. The Integrated Cardiovascular  experiment is studying heart mass and rhythms to glean information about cardiac atrophy, or the decrease in the size of the heart muscle that seems to develop during long-duration spaceflight.</t>
  </si>
  <si>
    <t>tl2C_JbPPXE</t>
  </si>
  <si>
    <t>https://youtu.be/l8DHqM1iTFs</t>
  </si>
  <si>
    <t>Meet the Expedition 38 39 Crew</t>
  </si>
  <si>
    <t>NASA astronaut Rick Mastracchio, Japan Aerospace Exploration Agency astronaut Koichi Wakata and Russian cosmonaut Mikhail Tyurin will launch aboard a Soyuz spacecraft in November 2013 to begin a 6-month mission aboard the International Space Station.</t>
  </si>
  <si>
    <t>l8DHqM1iTFs</t>
  </si>
  <si>
    <t>https://youtu.be/9waMolhMTSc</t>
  </si>
  <si>
    <t>Astronaut Ron Garan Shows Off Favorite Earth Photos From Space</t>
  </si>
  <si>
    <t>Astronaut Ron Garan, who was part of Expeditions 27 and 28 aboard the International Space Station, talks with NASA Public Affairs Officer Josh Byerly about some of the photos he took. Included are "earth glow" above Australia, space shuttle Atlantis, fires over Southern Africa, Hurricane Irene and parts of Libya.
Watch the full Space Station Live broadcast weekdays on NASA TV at 10 a.m. CDT. http://www.nasa.gov/ntv</t>
  </si>
  <si>
    <t>9waMolhMTSc</t>
  </si>
  <si>
    <t>https://youtu.be/sLXs5mL_Hw4</t>
  </si>
  <si>
    <t>Space Station Live  Hyperspectral Imager for the Coastal Ocean</t>
  </si>
  <si>
    <t>Rick Gould of the Naval Research Laboratory joins NASA Public Affairs Officer Lori Meggs for a discussion of HICO, the Hyperspectral Imager for the Coastal Ocean.  The HICO instrument aboard the International Space Station records highly detailed images of various environments on Earth for research, support and management. Scientists can use information from HICO to detail the biological and chemical signatures of aquatic and terrestrial materials.</t>
  </si>
  <si>
    <t>sLXs5mL_Hw4</t>
  </si>
  <si>
    <t>https://youtu.be/xd1kEVo7By0</t>
  </si>
  <si>
    <t>Space Station Live  Aug. 28, 2013</t>
  </si>
  <si>
    <t>The Space Station Live recap video for Aug. 28, 2013. Watch the full Space Station Live broadcast weekdays on NASA TV at 10 a.m. CDT. http://www.nasa.gov/ntv</t>
  </si>
  <si>
    <t>xd1kEVo7By0</t>
  </si>
  <si>
    <t>2013 08 27</t>
  </si>
  <si>
    <t>https://youtu.be/_LU60dA7gLg</t>
  </si>
  <si>
    <t>Station Crew Recreates Spacesuit Leak</t>
  </si>
  <si>
    <t>The Space Station Live recap video for Aug. 27, 2013. Watch the full Space Station Live broadcast weekdays on NASA TV at 10 a.m. CDT. http://www.nasa.gov/ntv</t>
  </si>
  <si>
    <t>_LU60dA7gLg</t>
  </si>
  <si>
    <t>2013 08 26</t>
  </si>
  <si>
    <t>https://youtu.be/HyAViCNklSk</t>
  </si>
  <si>
    <t>Preparing America for Deep Space Exploration  Episode 3</t>
  </si>
  <si>
    <t>NASA's Orion, Space Launch System and Ground Systems Development and Operations programs continued to make progress towards sending humans beyond Earth's orbit during the past quarter.</t>
  </si>
  <si>
    <t>HyAViCNklSk</t>
  </si>
  <si>
    <t>https://youtu.be/lCEny-IP-iI</t>
  </si>
  <si>
    <t>Space Station Live  Aug. 26, 2013</t>
  </si>
  <si>
    <t>The Space Station Live recap video for Aug. 26, 2013. Watch the full Space Station Live broadcast weekdays on NASA TV at 10 a.m. CDT. http://www.nasa.gov/ntv</t>
  </si>
  <si>
    <t>lCEny-IP-iI</t>
  </si>
  <si>
    <t>2013 08 23</t>
  </si>
  <si>
    <t>https://youtu.be/0k9E42YWq5g</t>
  </si>
  <si>
    <t>Search On for Climate Clues Across Southern U.S. Skies</t>
  </si>
  <si>
    <t>NASA's DC-8 flying laboratory and high-altitude ER-2 aircraft began flights Aug. 12 from Houston's Ellington Field to investigate how the combination of summer storms and rising air pollution from wildfires, cities and other sources can change our climate. Hoping to improve future predictions of climate change, scientists in the NASA study are using the skies mainly over the southern United States as a natural laboratory this month and into September. The ambitious airborne science campaign is called SEAC4RS, which stands for the Studies of Emissions, Atmospheric Composition, Clouds and Climate Coupling by Regional Surveys.
For more information, visit: http://www.nasa.gov/seac4rs</t>
  </si>
  <si>
    <t>0k9E42YWq5g</t>
  </si>
  <si>
    <t>https://youtu.be/L09oA_8mzY0</t>
  </si>
  <si>
    <t>Space Station Live, Aug. 23, 2013</t>
  </si>
  <si>
    <t>The Space Station Live recap video for the week ending Aug. 23, 2013. Watch the full Space Station Live broadcast weekdays on NASA TV at 10 a.m. CDT. http://www.nasa.gov/ntv</t>
  </si>
  <si>
    <t>L09oA_8mzY0</t>
  </si>
  <si>
    <t>2013 08 22</t>
  </si>
  <si>
    <t>https://youtu.be/9Q3UfwiN1dA</t>
  </si>
  <si>
    <t>Train Like an Astronaut-Warm-Ups and Cool-Downs</t>
  </si>
  <si>
    <t>Yes, even astronauts warm-up and stretch as part of a healthy physical fitness program and an effective space training program.  Find out how astronaut Mike Hopkins gets ready for his training sessions and the importance of warm-ups and cool-downs in his program.  Visit and Like the Train Like an Astronaut Facebook page for more fitness videos and content: http://www.facebook.com/trainastronaut</t>
  </si>
  <si>
    <t>9Q3UfwiN1dA</t>
  </si>
  <si>
    <t>https://youtu.be/eYoLlAOEDUo</t>
  </si>
  <si>
    <t>This is JSC  Z1 Spacesuit</t>
  </si>
  <si>
    <t>"This is JSC" is a satirical series created by students at NASA Johnson Space Center. This volunteer outreach project showcases different projects and features unique to JSC.
For more on Z1 Spacesuit: 
http://www.youtube.com/watch?v=-tDuwIu_b9g
http://www.youtube.com/watch?v=d__xlXqYFZc
http://www.youtube.com/watch?v=MH93FSS8ZOQ
For students interested in NASA Johnson Space Center:
Facebook: https://www.facebook.com/NASA.JSC.Students
Twitter: https://twitter.com/NASAJSCStudents
Pathways Programs: http://pathways.jsc.nasa.gov/index.html
Internship, Fellowship, and Scholarship Opportunities: https://intern.nasa.gov/ossi/web/public/main/</t>
  </si>
  <si>
    <t>eYoLlAOEDUo</t>
  </si>
  <si>
    <t>2013 08 21</t>
  </si>
  <si>
    <t>https://youtu.be/A8tnDRWJNv4</t>
  </si>
  <si>
    <t>Space Station Live  Aug. 21, 2013</t>
  </si>
  <si>
    <t>The Space Station Live recap video for Aug. 21, 2013. Watch the full Space Station Live broadcast weekdays on NASA TV at 10 a.m. CDT. http://www.nasa.gov/ntv</t>
  </si>
  <si>
    <t>A8tnDRWJNv4</t>
  </si>
  <si>
    <t>2013 08 20</t>
  </si>
  <si>
    <t>https://youtu.be/9AvAZuo2yw0</t>
  </si>
  <si>
    <t>Biweekly ISS Research Update - Aug. 5, 2013</t>
  </si>
  <si>
    <t>Biweekly ISS research video update for Aug. 5, 2013.</t>
  </si>
  <si>
    <t>9AvAZuo2yw0</t>
  </si>
  <si>
    <t>https://youtu.be/nlq_jU-yUgs</t>
  </si>
  <si>
    <t>Biweekly ISS Research Update - July 18, 2013</t>
  </si>
  <si>
    <t>Biweekly ISS research video update for July 18, 2013.</t>
  </si>
  <si>
    <t>nlq_jU-yUgs</t>
  </si>
  <si>
    <t>https://youtu.be/VnB5IkbSUjs</t>
  </si>
  <si>
    <t>Biweekly ISS Research Update - June 17, 2013</t>
  </si>
  <si>
    <t>Biweekly ISS research video update for June 17, 2013.</t>
  </si>
  <si>
    <t>VnB5IkbSUjs</t>
  </si>
  <si>
    <t>https://youtu.be/wbkVBH6AvSI</t>
  </si>
  <si>
    <t>Biweekly ISS Research Update - May 14, 2013</t>
  </si>
  <si>
    <t>Biweekly ISS research video update for May 14, 2013.</t>
  </si>
  <si>
    <t>wbkVBH6AvSI</t>
  </si>
  <si>
    <t>https://youtu.be/pfoVLrhkCXc</t>
  </si>
  <si>
    <t>Biweekly ISS Research Update - April 9, 2013</t>
  </si>
  <si>
    <t>Biweekly ISS research video update for April 9, 2013.</t>
  </si>
  <si>
    <t>pfoVLrhkCXc</t>
  </si>
  <si>
    <t>https://youtu.be/9BPs5r26sUA</t>
  </si>
  <si>
    <t>Biweekly ISS Research Update - March 8, 2013</t>
  </si>
  <si>
    <t>Biweekly ISS research video update for March 8, 2013.</t>
  </si>
  <si>
    <t>9BPs5r26sUA</t>
  </si>
  <si>
    <t>https://youtu.be/3Cd6CtgbfZk</t>
  </si>
  <si>
    <t>Biweekly ISS Research Update - Feb. 12, 2013</t>
  </si>
  <si>
    <t>Biweekly ISS research video update for Feb. 12, 2013.</t>
  </si>
  <si>
    <t>3Cd6CtgbfZk</t>
  </si>
  <si>
    <t>https://youtu.be/KEza7pgo7dA</t>
  </si>
  <si>
    <t>A New Generation of Astronauts</t>
  </si>
  <si>
    <t>Behind every spacesuit is an astronaut. They carry our hopes, our dreams, our curiosity. A new generation of astronauts. New missions and challenges await. Building upon a legacy. The Astronauts.
For more information, visit: http://www.nasa.gov/2013astroclass</t>
  </si>
  <si>
    <t>KEza7pgo7dA</t>
  </si>
  <si>
    <t>2013 08 19</t>
  </si>
  <si>
    <t>https://youtu.be/PVxaL8CAO4M</t>
  </si>
  <si>
    <t>This is JSC  Tom Marshburn</t>
  </si>
  <si>
    <t>"This is JSC" is a satirical series created by students at NASA Johnson Space Center. This volunteer outreach project showcases different projects and features unique to JSC.
For more on NASA astronauts: http://www.nasa.gov/astronauts/
For more on Thomas H. Marshburn: http://www.jsc.nasa.gov/Bios/htmlbios/marshburn-th.html
Tom on social media:
Twitter: https://twitter.com/AstroMarshburn
For students interested in NASA Johnson Space Center:
Facebook: https://www.facebook.com/NASA.JSC.Students
Twitter: https://twitter.com/NASAJSCStudents</t>
  </si>
  <si>
    <t>PVxaL8CAO4M</t>
  </si>
  <si>
    <t>https://youtu.be/ObKgzmmUMsc</t>
  </si>
  <si>
    <t>Unidentified object floating outside station  Sort of...</t>
  </si>
  <si>
    <t>On the morning of August 19, NASA astronaut Chris Cassidy noticed an unidentified object floating outside the space station, near the Progress cargo vehicle. He called down to Mission Control Houston and took some video of it. Was it a UFO? Not really...Russian ground controllers identified it as an antenna cover from the Zvezda service module.</t>
  </si>
  <si>
    <t>ObKgzmmUMsc</t>
  </si>
  <si>
    <t>https://youtu.be/ot4c3p-Yp-Q</t>
  </si>
  <si>
    <t>Space Station Live  Aug. 19, 2013</t>
  </si>
  <si>
    <t>The Space Station Live recap video for Aug. 19, 2013. Watch the full Space Station Live broadcast weekdays on NASA TV at 10 a.m. CDT. http://www.nasa.gov/ntv</t>
  </si>
  <si>
    <t>ot4c3p-Yp-Q</t>
  </si>
  <si>
    <t>https://youtu.be/2ECHJkDUy84</t>
  </si>
  <si>
    <t>Cygnus Readies for Flight to the Station</t>
  </si>
  <si>
    <t>Orbital Sciences' Cygnus cargo craft is bound for the International Space Station on a test flight. This flight will prove Cygnus' ability to rendezvous with the station and be captured by the crew on board. Once this is completed, the Cygnus will join the station's current fleet of cargo vehicles delivering supplies to the crew in space. This test flight is also the final set of milestones as part of NASA's Commercial Orbital Transportation Services (COTS) program.</t>
  </si>
  <si>
    <t>2ECHJkDUy84</t>
  </si>
  <si>
    <t>2013 08 15</t>
  </si>
  <si>
    <t>https://youtu.be/-BpXzBzKfPw</t>
  </si>
  <si>
    <t>This is JSC  MMSEV</t>
  </si>
  <si>
    <t>"This is JSC" is a satirical series created by students at NASA Johnson Space Center. This volunteer outreach project showcases different projects and features unique to JSC.
For more on NASA's Multi-Mission Space Exploration Vehicle (MMSEV): http://www.nasa.gov/exploration/technology/space_exploration_vehicle/
For students interested in NASA Johnson Space Center:
Facebook: https://www.facebook.com/NASA.JSC.Students
Twitter: https://twitter.com/NASAJSCStudents
Pathways Programs: http://pathways.jsc.nasa.gov/index.html
Internship, Fellowship, and Scholarship Opportunities: https://intern.nasa.gov/ossi/web/public/main/</t>
  </si>
  <si>
    <t>-BpXzBzKfPw</t>
  </si>
  <si>
    <t>https://youtu.be/VzT-OhuZmL4</t>
  </si>
  <si>
    <t>Space Station Live  Aug. 15, 2013</t>
  </si>
  <si>
    <t>The Space Station Live recap video for Aug. 15, 2013. Watch the full Space Station Live broadcast weekdays on NASA TV at 10 a.m. CDT. http://www.nasa.gov/ntv</t>
  </si>
  <si>
    <t>VzT-OhuZmL4</t>
  </si>
  <si>
    <t>2013 08 14</t>
  </si>
  <si>
    <t>https://youtu.be/IzeZlntoJHM</t>
  </si>
  <si>
    <t>Robonaut Taking Air Flow Readings</t>
  </si>
  <si>
    <t>"Using a device known as a velocity calculator (or velocicalc,) Robonaut takes air readings in front of a ventilation vent inside the Destiny Laboratory. Constant airflow is required to keep the breathing atmosphere safe for station astronauts and this monitoring is part of the routine maintenance to ensure the air revitalization system is functioning properly."</t>
  </si>
  <si>
    <t>IzeZlntoJHM</t>
  </si>
  <si>
    <t>https://youtu.be/BU1ePn18vjs</t>
  </si>
  <si>
    <t>Robonaut Task Board Demonstration</t>
  </si>
  <si>
    <t>"Robonaut interacts with Taskboard A, a test bed demonstrating typical interfaces found onboard the International Space Station."</t>
  </si>
  <si>
    <t>BU1ePn18vjs</t>
  </si>
  <si>
    <t>https://youtu.be/iCsPThke73I</t>
  </si>
  <si>
    <t>Robonaut Tele-Ops With Station Crew Members</t>
  </si>
  <si>
    <t>"Station crew members don special virtual reality gear to take control of Robonaut. They are able to demonstrate dexterous tasks such as passing tools back and forth, with the robot mimicking the astronaut's movements with a high degree of accuracy."</t>
  </si>
  <si>
    <t>iCsPThke73I</t>
  </si>
  <si>
    <t>https://youtu.be/l_-NyvV96zY</t>
  </si>
  <si>
    <t>Robonaut Demonstrating Hand Rail Cleanings</t>
  </si>
  <si>
    <t>"Robonaut practices cleaning a hand rail with a common wipe. These handholds are found all throughout the International Space Station and are the astronauts primary way of maneuvering around their environment. Cleaning and disinfecting these hand rails is a routine task required of astronauts in order to maintain a healthy work environment."</t>
  </si>
  <si>
    <t>l_-NyvV96zY</t>
  </si>
  <si>
    <t>https://youtu.be/U0uh-4Hp1FA</t>
  </si>
  <si>
    <t>Space Station Live  HUNCH Provides Engineering Opportunities for Students</t>
  </si>
  <si>
    <t>NASA Public Affairs Officer Lori Meggs explores HUNCH (High Schools United with NASA to Create Hardware) with Bob Zeek, HUNCH co-founder and Mike Evans with the Huntsville Center for Technology</t>
  </si>
  <si>
    <t>U0uh-4Hp1FA</t>
  </si>
  <si>
    <t>https://youtu.be/pqHVSKduVyM</t>
  </si>
  <si>
    <t>Space Station Live  Aug. 14, 2013</t>
  </si>
  <si>
    <t>The Space Station Live recap video for Aug. 14, 2013. Watch the full Space Station Live broadcast weekdays on NASA TV at 10 a.m. CDT. http://www.nasa.gov/ntv</t>
  </si>
  <si>
    <t>pqHVSKduVyM</t>
  </si>
  <si>
    <t>2013 08 13</t>
  </si>
  <si>
    <t>https://youtu.be/8SKJenRE4KY</t>
  </si>
  <si>
    <t>Space Station Live  August 13, 2013</t>
  </si>
  <si>
    <t>The Space Station Live recap video for August 13, 2013. Watch the full Space Station Live broadcast weekdays on NASA TV at 10 a.m. CDT. http://www.nasa.gov/ntv</t>
  </si>
  <si>
    <t>8SKJenRE4KY</t>
  </si>
  <si>
    <t>https://youtu.be/1SwFkg6wf0w</t>
  </si>
  <si>
    <t>Russian EVA 34</t>
  </si>
  <si>
    <t>EVA Specialist Devan Bolch discusses Russian EVA 34 and Flight Engineers Fyodor Yurchikhin and Alexander Misurkin who will begin Friday's spacewalk at 10:40 a.m. EDT.
Their first task once they exit the Pirs docking compartment will be to deploy the Strela boom which is a portable, telescoping crane that can move gear and a spacewalker outside the station. They will use Strela to install connector panels and gap spanners outside the Zarya and Poisk modules.
Yurchikhin and Misurkin will also install the Vinoslivost experiment panel on Poisk which exposes different materials to the space environment. After that they will route and secure power and Ethernet cables outside Zarya and Poisk. Before reentering the space station and if time allows, the duo will stow the Strela boom.</t>
  </si>
  <si>
    <t>1SwFkg6wf0w</t>
  </si>
  <si>
    <t>2013 08 12</t>
  </si>
  <si>
    <t>https://youtu.be/6YF12BCZR3E</t>
  </si>
  <si>
    <t>Space Station Live  Robotics Operations and Training</t>
  </si>
  <si>
    <t>NASA Public Affairs Officer Nicole Cloutier-Lemasters talks with Robotics Officer Megan Levins about the robotics operations and training for the recent H-II Transfer Vehicle-4 grapple and berthing.</t>
  </si>
  <si>
    <t>6YF12BCZR3E</t>
  </si>
  <si>
    <t>https://youtu.be/Uh-G1z8Tqs8</t>
  </si>
  <si>
    <t>Space Station Live  HTV-4 Robotics Operations</t>
  </si>
  <si>
    <t>NASA Public Affairs Officer Nicole Cloutier talks with Quincy Harp, HTV-4 Robotics Mission Designer about the ongoing HTV-4 robotics operations taking place aboard the International Space Station.</t>
  </si>
  <si>
    <t>Uh-G1z8Tqs8</t>
  </si>
  <si>
    <t>https://youtu.be/OGWpFybh0kk</t>
  </si>
  <si>
    <t>Space Station Live  August 12, 2013</t>
  </si>
  <si>
    <t>The Space Station Live recap video for August 12, 2013. Watch the full Space Station Live broadcast weekdays on NASA TV at 10 a.m. CDT. http://www.nasa.gov/ntv</t>
  </si>
  <si>
    <t>OGWpFybh0kk</t>
  </si>
  <si>
    <t>2013 08 08</t>
  </si>
  <si>
    <t>https://youtu.be/6DuqojOjXfM</t>
  </si>
  <si>
    <t>Spacesuit Engineer Talks Spaceflight With Students</t>
  </si>
  <si>
    <t>From NASA's International Space Station Mission Control Center, NASA spacesuit engineer Heather Paul participates in a Digital Learning Network (DLN) event with students at the Durango Discovery Museum in Durango, Colo. The DLN connects students and teachers with NASA experts and education specialists using online communication technologies like video/web conferencing and webcasting. Register for free, interactive events listed in the catalog or watch the webcasts. http://dln.nasa.gov</t>
  </si>
  <si>
    <t>6DuqojOjXfM</t>
  </si>
  <si>
    <t>https://youtu.be/f_dcbh2r5vI</t>
  </si>
  <si>
    <t>Train Like an Astronaut -- CEVIS</t>
  </si>
  <si>
    <t>Visit and Like the Train Like an Astronaut Facebook page for more fitness videos and content: http://www.facebook.com/trainastronaut
Cycle Ergometer with Vibration Isolation and Stabilization System (CEVIS), essentially a recumbent bicycle, provides aerobic exercise and is intended as a countermeasure for the harmful physiological effects of exposure to microgravity that are anticipated during stays on the ISS. CEVIS is utilized as part of the crew members weekly exercise schedule.  It also has the capability to support International Space Station science activities, pre-breathe extravehicular activities, periodic fitness evaluations, and pre-landing fitness evaluations.</t>
  </si>
  <si>
    <t>f_dcbh2r5vI</t>
  </si>
  <si>
    <t>https://youtu.be/gWaOpDLZmOo</t>
  </si>
  <si>
    <t>Space Station Live  August 8, 2013</t>
  </si>
  <si>
    <t>The Space Station Live recap video for August 8, 2013. Watch the full Space Station Live broadcast weekdays on NASA TV at 10 a.m. CDT. http://www.nasa.gov/ntv</t>
  </si>
  <si>
    <t>gWaOpDLZmOo</t>
  </si>
  <si>
    <t>2013 08 07</t>
  </si>
  <si>
    <t>https://youtu.be/uJNpJanM5Iw</t>
  </si>
  <si>
    <t>Space Station Live  Crew and Flight Controllers Get Ready for Japan's HTV-4</t>
  </si>
  <si>
    <t>Public Affairs Officer Rob Navias interviews Flight Director Ed Van Cise about Friday's arrival of Japan's "Kounotori" H-II Transfer Vehicle-4 (HTV-4). From Mission Control Center, they discuss the launch, approach, rendezvous and finally the capture and installation of the Japanese space freighter.
Expedition 36 Flight Engineers Karen Nyberg and Chris Cassidy will capture the HTV-4 with the Canadarm2 then install it on the Harmony node. Flight Engineer Luca Parmitano will assist the duo by monitoring the approaching cargo craft's systems.</t>
  </si>
  <si>
    <t>uJNpJanM5Iw</t>
  </si>
  <si>
    <t>https://youtu.be/zc0dyTWa3fU</t>
  </si>
  <si>
    <t>Space Station Live  August 7, 2013</t>
  </si>
  <si>
    <t>The Space Station Live recap video for August 7, 2013. Watch the full Space Station Live broadcast weekdays on NASA TV at 10 a.m. CDT. http://www.nasa.gov/ntv</t>
  </si>
  <si>
    <t>zc0dyTWa3fU</t>
  </si>
  <si>
    <t>2013 08 06</t>
  </si>
  <si>
    <t>https://youtu.be/n-Ftq90zXW8</t>
  </si>
  <si>
    <t>Space Station Live  Capturing a Japanese Spacecraft with a Robotic Arm</t>
  </si>
  <si>
    <t>Public Affairs Officer Rob Navias interviews astronaut Cady Coleman about the arrival of Japan's fourth resupply craft to the International Space Station. The H-II Transfer Vehicle (HTV-4) is scheduled to rendezvous with the space station Friday morning.
Coleman describes the procedure to capture and berth the Japanese cargo craft. The Canadarm2 is used to reach out and grapple the HTV-4 and then install it on the Harmony node. She captured Japan's second H-II Transport Vehicle, the HTV-2, using the Canadarm2 in January 2011.
Expedition 36 Flight Engineers Karen Nyberg and Chris Cassidy will be the robotic arm controllers inside the cupola when the HTV-4 catches up to the station on Friday. European astronaut and Flight Engineer Luca Parmitano will assist the duo by monitoring the approaching cargo craft's systems.</t>
  </si>
  <si>
    <t>n-Ftq90zXW8</t>
  </si>
  <si>
    <t>https://youtu.be/ib9z-70mPUg</t>
  </si>
  <si>
    <t>Space Station Live  August 6, 2013</t>
  </si>
  <si>
    <t>The Space Station Live recap video for August 6, 2013. Watch the full Space Station Live broadcast weekdays on NASA TV at 10 a.m. CDT. http://www.nasa.gov/ntv</t>
  </si>
  <si>
    <t>ib9z-70mPUg</t>
  </si>
  <si>
    <t>2013 08 05</t>
  </si>
  <si>
    <t>https://youtu.be/uzXaI0VEINU</t>
  </si>
  <si>
    <t>Space Station Live  August 5, 2013</t>
  </si>
  <si>
    <t>The Space Station Live recap video for August 5, 2013. Watch the full Space Station Live broadcast weekdays on NASA TV at 10 a.m. CDT. http://www.nasa.gov/ntv</t>
  </si>
  <si>
    <t>uzXaI0VEINU</t>
  </si>
  <si>
    <t>2013 08 02</t>
  </si>
  <si>
    <t>https://youtu.be/P6w6hFwH7Rw</t>
  </si>
  <si>
    <t>Space Station Live  Aug. 2, 2013</t>
  </si>
  <si>
    <t>The Space Station Live recap video for Aug. 2, 2013. Watch the full Space Station Live broadcast weekdays on NASA TV at 10 a.m. CDT. http://www.nasa.gov/ntv</t>
  </si>
  <si>
    <t>P6w6hFwH7Rw</t>
  </si>
  <si>
    <t>2013 08 01</t>
  </si>
  <si>
    <t>https://youtu.be/ZfcAt7hpOls</t>
  </si>
  <si>
    <t>Train Like an Astronaut -- Treadmill</t>
  </si>
  <si>
    <t>Do you want to train like an astronaut? Like the Mission X: Train Like An Astronaut Facebook page (https://www.facebook.com/trainastronaut) to follow astronauts as they train for upcoming missions.
In space, astronauts experience muscle, bone, and cardiovascular tissue loss. Exercise is one of the primary methods used to counteract the effects of the lack of gravity. Astronauts use a specially designed treadmill called the T2/COLBERT aboard the International Space Station. In addition to cardiovascular fitness, T2 helps maintain bone density.</t>
  </si>
  <si>
    <t>ZfcAt7hpOls</t>
  </si>
  <si>
    <t>https://youtu.be/tyt9RwLsJrM</t>
  </si>
  <si>
    <t>This is JSC  Robonaut</t>
  </si>
  <si>
    <t>"This is JSC" is a satirical series created by students at NASA Johnson Space Center. This volunteer outreach project showcases different projects and features unique to JSC.
For more on Robonaut: http://robonaut.jsc.nasa.gov/default.asp
Robonaut on social media:
Facebook: https://www.facebook.com/NASArobonaut
Twitter: https://twitter.com/AstroRobonaut
Flickr: http://www.flickr.com/photos/nasarobonaut/
For students interested in NASA Johnson Space Center:
Facebook: https://www.facebook.com/NASA.JSC.Students
Twitter: https://twitter.com/NASAJSCStudents</t>
  </si>
  <si>
    <t>tyt9RwLsJrM</t>
  </si>
  <si>
    <t>https://youtu.be/UBrxHE9Snp8</t>
  </si>
  <si>
    <t>Moving Kidney Stones With Ultrasound</t>
  </si>
  <si>
    <t>NASA's Josh Byerly talks with a team of scientists from the University of Washington who are hoping to test a new type of ultrasound on board the International Space Station -- one that would be able to move kidney stones using ultrasonic pulses instead of invasive surgery. This has direct applications not only for astronauts, but right here on Earth.</t>
  </si>
  <si>
    <t>UBrxHE9Snp8</t>
  </si>
  <si>
    <t>https://youtu.be/guPixkNsE6M</t>
  </si>
  <si>
    <t>Creating an MRI That Could Fit in Your Palm</t>
  </si>
  <si>
    <t>MRI machines typically are large and take up a lot of space, which makes them not so practical if they ever needed to be used in remote areas like in the battlefield or even in space. But scientists are working to reduce these size of these machines to where they could fit in the palm of your hand, and they may one day test them on board the International Space Station. NASA's  Josh Byerly talks with the scientists behind this technology.</t>
  </si>
  <si>
    <t>guPixkNsE6M</t>
  </si>
  <si>
    <t>https://youtu.be/pJQMf2bsuZ0</t>
  </si>
  <si>
    <t>Space Station Live  August 1, 2013</t>
  </si>
  <si>
    <t>The Space Station Live recap video for August 1, 2013. Watch the full Space Station Live broadcast weekdays on NASA TV at 10 a.m. CDT. http://www.nasa.gov/ntv</t>
  </si>
  <si>
    <t>pJQMf2bsuZ0</t>
  </si>
  <si>
    <t>2013 07 31</t>
  </si>
  <si>
    <t>https://youtu.be/0DzusB4Dc5w</t>
  </si>
  <si>
    <t>Space Station Live  July 31, 2013</t>
  </si>
  <si>
    <t>The Space Station Live recap video for July 31, 2013. Watch the full Space Station Live broadcast weekdays on NASA TV at 10 a.m. CDT. http://www.nasa.gov/ntv</t>
  </si>
  <si>
    <t>0DzusB4Dc5w</t>
  </si>
  <si>
    <t>https://youtu.be/zpJ3HLEPzGo</t>
  </si>
  <si>
    <t>Astronaut Chris Cassidy Shows Off Faulty Spacesuit (Part 2)</t>
  </si>
  <si>
    <t>Aboard the International Space Station, NASA astronaut Chris Cassidy discussed the ongoing efforts to solve a problem with crewmate Luca Parmitano's spacesuit during a downlink video July 30. Cassidy demonstrated the suit and discussed some of the troubleshooting activities to identify the problem that caused water intrusion in Parmitano's helmet during a spacewalk conducted by the two astronauts on July 16.</t>
  </si>
  <si>
    <t>zpJ3HLEPzGo</t>
  </si>
  <si>
    <t>2013 07 30</t>
  </si>
  <si>
    <t>https://youtu.be/nmWbm9ab4n4</t>
  </si>
  <si>
    <t>From Skylab to Station  Out of This World Science</t>
  </si>
  <si>
    <t>Skylab was America's first space station, taking scientific research to new heights and proving humankind could live and work in space for long periods of time.  Skylab set the stage for the work conducted today on the International Space Station, where scientists use more advanced technology, a foundation of knowledge and more time to conduct experiments in space, free from Earth's gravity.   This work can be applied to benefit humankind both on Earth and in space, as we prepare to explore deeper into our solar system.</t>
  </si>
  <si>
    <t>nmWbm9ab4n4</t>
  </si>
  <si>
    <t>https://youtu.be/QZl0Cpkb514</t>
  </si>
  <si>
    <t>Space Station Live  July 30, 2013</t>
  </si>
  <si>
    <t>The Space Station Live recap video for July 30, 2013. Watch the full Space Station Live broadcast weekdays on NASA TV at 10 a.m. CDT. http://www.nasa.gov/ntv</t>
  </si>
  <si>
    <t>QZl0Cpkb514</t>
  </si>
  <si>
    <t>https://youtu.be/vfw_5NDWWto</t>
  </si>
  <si>
    <t>Astronaut Chris Cassidy Shows Off Faulty Spacesuit (Part 1)</t>
  </si>
  <si>
    <t>vfw_5NDWWto</t>
  </si>
  <si>
    <t>2013 07 29</t>
  </si>
  <si>
    <t>https://youtu.be/FVjQlOF1inE</t>
  </si>
  <si>
    <t>Space Station Live  July 29, 2013</t>
  </si>
  <si>
    <t>The Space Station Live recap video for July 29, 2013. Watch the full Space Station Live broadcast weekdays on NASA TV at 10 a.m. CDT. http://www.nasa.gov/ntv</t>
  </si>
  <si>
    <t>FVjQlOF1inE</t>
  </si>
  <si>
    <t>2013 07 27</t>
  </si>
  <si>
    <t>https://youtu.be/tpjnujB2DG4</t>
  </si>
  <si>
    <t>ISS Progress 52 Cargo Craft Launches To Station</t>
  </si>
  <si>
    <t>An unpiloted Russian cargo ship carrying nearly three tons of supplies for the Expedition 36 crew launched from the Baikonur Cosmodrome in Kazakhstan at 4:45 p.m. EDT Saturday, July 27 (2:45 a.m. Sunday Kazakhstan time) on an accelerated, four-orbit journey to rendezvous with the International Space Station.</t>
  </si>
  <si>
    <t>tpjnujB2DG4</t>
  </si>
  <si>
    <t>2013 07 26</t>
  </si>
  <si>
    <t>https://youtu.be/EK6fPDciow8</t>
  </si>
  <si>
    <t>Space Station Live  July 26, 2013</t>
  </si>
  <si>
    <t>The Space Station Live recap video for the week of July 22-26, 2013. Watch the full Space Station Live broadcast weekdays on NASA TV at 10 a.m. CDT. http://www.nasa.gov/ntv</t>
  </si>
  <si>
    <t>EK6fPDciow8</t>
  </si>
  <si>
    <t>https://youtu.be/He7jAP_bco8</t>
  </si>
  <si>
    <t>Space Station Live  Surface Telerobotics</t>
  </si>
  <si>
    <t>Space Station Live commentator Pat Ryan talks with Maria Bualat, the payload developer for the Surface Telerobotics engineering test at NASA's Ames Research Center in Moffett Field, California. Recently, astronaut Luca Parmitano, an Expedition 36 flight engineer aboard the International Space Station, remotely commanded a rover located at Ames' Roverscape, an outdoor robotic test area, for this experiment to test new robots, modes of control and operational concepts.</t>
  </si>
  <si>
    <t>He7jAP_bco8</t>
  </si>
  <si>
    <t>2013 07 25</t>
  </si>
  <si>
    <t>https://youtu.be/9GeKpr5SQ5E</t>
  </si>
  <si>
    <t>Space Station Live  July 25, 2013</t>
  </si>
  <si>
    <t>The Space Station Live recap video for July 25, 2013. Watch the full Space Station Live broadcast weekdays on NASA TV at 10 a.m. CDT. http://www.nasa.gov/ntv</t>
  </si>
  <si>
    <t>9GeKpr5SQ5E</t>
  </si>
  <si>
    <t>2013 07 24</t>
  </si>
  <si>
    <t>https://youtu.be/-PMm1ksT9fU</t>
  </si>
  <si>
    <t>Orion Parachutes Pass the Test</t>
  </si>
  <si>
    <t>A test version of the Orion capsule descends on two parachutes after being dropped from a C-17 35,000 feet above the Arizona desert on Wednesday, July 24. The third of its three main parachutes was cut away early in the test to simulate a failure. The results allowed engineers to verify that if such a failure were to occur, the failed parachute wouldn't interfere with the remaining two. The cut away parachute is briefly visible in the video, floating alone near the top of the screen, as is an additional parachute carrying the sled that Orion rode out of the plane. It can be briefly spotted on the right side of the screen. This was the highest-altitude test of a human spacecraft parachute since NASA's Apollo Program.</t>
  </si>
  <si>
    <t>-PMm1ksT9fU</t>
  </si>
  <si>
    <t>https://youtu.be/7oBvNxbTF28</t>
  </si>
  <si>
    <t>Train Like an Astronaut -- ARED</t>
  </si>
  <si>
    <t>In space, the Advanced Resistive Exercise Device (ARED) is the astronauts' weight lifting machine. Resistance exercises are important for astronauts to aid in the maintenance of muscle strength &amp; endurance and bone mineral density. 
The on-orbit exercises are designed to target the lower extremities, areas in the body that experience accelerated losses in muscle and bone during spaceflight.  The exercises done in space to help reduce muscle and bone loss include: squats, deadlifts and presses.</t>
  </si>
  <si>
    <t>7oBvNxbTF28</t>
  </si>
  <si>
    <t>https://youtu.be/lO-mvyXAZMw</t>
  </si>
  <si>
    <t>Space Station Live  Investigating Cosmic Rays</t>
  </si>
  <si>
    <t>NASA Public Affairs Officer Lori Meggs talks with Roy Young, lead systems engineer, about the Extreme Universe Space Observatory that will investigate high-energy cosmic rays by recording the extensive air showers they create in Earth's atmosphere.</t>
  </si>
  <si>
    <t>lO-mvyXAZMw</t>
  </si>
  <si>
    <t>https://youtu.be/k4EX9QI96MI</t>
  </si>
  <si>
    <t>Space Station Live  July 24, 2013</t>
  </si>
  <si>
    <t>The Space Station Live recap video for July 24, 2013. Watch the full Space Station Live broadcast weekdays on NASA TV at 10 a.m. CDT. http://www.nasa.gov/ntv</t>
  </si>
  <si>
    <t>k4EX9QI96MI</t>
  </si>
  <si>
    <t>2013 07 23</t>
  </si>
  <si>
    <t>https://youtu.be/EIFlWph2eF0</t>
  </si>
  <si>
    <t>Space Station Live  July 23, 2013</t>
  </si>
  <si>
    <t>The Space Station Live recap video for July 23, 2013. Watch the full Space Station Live broadcast weekdays on NASA TV at 10 a.m. CDT. http://www.nasa.gov/ntv</t>
  </si>
  <si>
    <t>EIFlWph2eF0</t>
  </si>
  <si>
    <t>2013 07 22</t>
  </si>
  <si>
    <t>https://youtu.be/_D1utxIPNps</t>
  </si>
  <si>
    <t>Space Station Live  July 22, 2013</t>
  </si>
  <si>
    <t>The Space Station Live recap video for July 22, 2013. Watch the full Space Station Live broadcast weekdays on NASA TV at 10 a.m. CDT. http://www.nasa.gov/ntv</t>
  </si>
  <si>
    <t>_D1utxIPNps</t>
  </si>
  <si>
    <t>2013 07 19</t>
  </si>
  <si>
    <t>https://youtu.be/qVFBNVCU2XU</t>
  </si>
  <si>
    <t>Space Station Live  July 19, 2013</t>
  </si>
  <si>
    <t>The Space Station Live recap video for July 19, 2013. Watch the full Space Station Live broadcast weekdays on NASA TV at 10 a.m. CDT. http://www.nasa.gov/ntv</t>
  </si>
  <si>
    <t>qVFBNVCU2XU</t>
  </si>
  <si>
    <t>2013 07 18</t>
  </si>
  <si>
    <t>https://youtu.be/xGUg5h7NrDc</t>
  </si>
  <si>
    <t>NASA Pathways Student Experience</t>
  </si>
  <si>
    <t>NASA Pathways Student Experience is a video project created by the students at NASA's Johnson Space Center. It was created as an outreach initiative to not only excite college students to apply to the Pathways Intern Employment Program, but to showcase the amazing opportunities, experiences and people that make Johnson Space Center one-of-a-kind. It's difficult to encapsulate our entire experience into just a few words, but we hope the ones we've chosen allow you a glimpse of our lives here at the Johnson Space Center.
Learn more about NASA: http://www.nasa.gov
Learn more about the International Space Station:
http://www.nasa.gov/station
Sign up to get space station sighting information sent to you:
http://spotthestation.nasa.gov
To find out more about the Pathways Intern Employment Program at JSC:
http://pathways.jsc.nasa.gov/index.html
Learn more about current JSC Pathways students:
http://www.facebook.com/NASA.JSC.Students
http://www.twitter.com/nasajscstudents
To find out about all student opportunities:
http://www.nasa.gov/offices/education/centers/johnson/student-internships/index.html
Special thanks to astronauts Karen Nyberg and Jeff Williams
Special thanks to Dr. Ellen Ochoa, Steve Altemus and supportive senior staff members
Special thanks to Scott &amp; Brendo for the music rights to "Northwest" and "One Afternoon"
https://itunes.apple.com/album/and-away-we-go/id605519069
http://facebook.com/scottandbrendo
http://youtube.com/scottandbrendo</t>
  </si>
  <si>
    <t>xGUg5h7NrDc</t>
  </si>
  <si>
    <t>https://youtu.be/G8ljIUCFQHw</t>
  </si>
  <si>
    <t>Space Station Live  July 18, 2013</t>
  </si>
  <si>
    <t>The Space Station Live recap video for July 15, 2013. Watch the full Space Station Live broadcast weekdays on NASA TV at 10 a.m. CDT. http://www.nasa.gov/ntv</t>
  </si>
  <si>
    <t>G8ljIUCFQHw</t>
  </si>
  <si>
    <t>2013 07 17</t>
  </si>
  <si>
    <t>https://youtu.be/rc1yrLSYNhM</t>
  </si>
  <si>
    <t>Meet the Expedition 37 38 Crew</t>
  </si>
  <si>
    <t>NASA astronaut Mike Hopkins and Russian cosmonauts Oleg Kotov and Sergey Ryzansky will launch aboard a Soyuz spacecraft in September 2013 to begin a 6-month mission aboard the International Space Station.</t>
  </si>
  <si>
    <t>rc1yrLSYNhM</t>
  </si>
  <si>
    <t>https://youtu.be/vtRMX3-NQE0</t>
  </si>
  <si>
    <t>Mark Guilliams Speaks with Students at the Museum of Flight</t>
  </si>
  <si>
    <t>From NASA's International Space Station Mission Control Center, Lead Astronaut Strength and Rehabilitation Trainer Mark Guilliams participates in a Digital Learning Network (DLN) event with students gathered at the Museum of Flight in Seattle. The DLN connects students and teachers with NASA experts and education specialists using online communication technologies like video/web conferencing and webcasting. Register for free, interactive events listed in the catalog or watch the webcasts. http://dln.nasa.gov</t>
  </si>
  <si>
    <t>vtRMX3-NQE0</t>
  </si>
  <si>
    <t>https://youtu.be/F7pqBREyx5w</t>
  </si>
  <si>
    <t>Space Station Live  Astronaut Fitness and Excersise on the Station</t>
  </si>
  <si>
    <t>NASA Public Affairs Officer Kelly Humphries talks with Mark Guilliams, Lead Strength and Rehabilitation Trainer for astronauts aboard the International Space Station.</t>
  </si>
  <si>
    <t>F7pqBREyx5w</t>
  </si>
  <si>
    <t>https://youtu.be/bihEqYeZoVs</t>
  </si>
  <si>
    <t>Space Station Live  Capilary Channel Flow Experiment</t>
  </si>
  <si>
    <t>NASA Public Affairs Officer Lori Meggs talks with Capilary Channel Flow experiment Investigator Max Bronowicki of the University of Bremen in Germany about the research currently being conducted aboard the International Space Station.</t>
  </si>
  <si>
    <t>bihEqYeZoVs</t>
  </si>
  <si>
    <t>https://youtu.be/mFJhg6bioNY</t>
  </si>
  <si>
    <t>Space Station Live  July 17, 2013</t>
  </si>
  <si>
    <t>mFJhg6bioNY</t>
  </si>
  <si>
    <t>https://youtu.be/D-uwbNFcEX4</t>
  </si>
  <si>
    <t>Train Like An Astronaut, Train Like Mike Kick-Off</t>
  </si>
  <si>
    <t>Ever wondered what it takes to be an astronaut? NASA astronaut Mike Hopkins can tell you one major component is being healthy and fit.  Now is your chance to learn more about astronaut fitness and training! 
He and his "Train Like An Astronaut" support team will be posting updates regularly -- including his workout videos from space and fitness tips from astronaut trainers.
Anyone can follow along. Participation is easy and open to those of all ages. To get involved and "Train Like An Astronaut," visit us on Facebook: 
http://www.facebook.com/trainastronaut 
Share your photos, messages and workouts too. Who knows -- he may even read them from space!</t>
  </si>
  <si>
    <t>D-uwbNFcEX4</t>
  </si>
  <si>
    <t>https://youtu.be/4ep8WEQ_tRo</t>
  </si>
  <si>
    <t>Orion's Heat Shield Takes Shape</t>
  </si>
  <si>
    <t>Technicians at Textron Defense Systems near Boston are applying Avcoat ablator material to some 330,000 cells of a honeycomb on the heat shield of NASA's new Orion spacecraft. To ensure that each cell is filled correctly, they are individually X-rayed and a robot is used to machine the material, sanding off fractions of an inch so that the heat shield matches Orion's precise plans.</t>
  </si>
  <si>
    <t>4ep8WEQ_tRo</t>
  </si>
  <si>
    <t>2013 07 15</t>
  </si>
  <si>
    <t>https://youtu.be/LfeGXq945CM</t>
  </si>
  <si>
    <t>Space Station Live  July 15, 2013</t>
  </si>
  <si>
    <t>LfeGXq945CM</t>
  </si>
  <si>
    <t>2013 07 12</t>
  </si>
  <si>
    <t>https://youtu.be/pRpHY-Ufea0</t>
  </si>
  <si>
    <t>Space Station Live  July 12, 2013</t>
  </si>
  <si>
    <t>The Space Station Live recap video for the week of July 8-12, 2013. Watch the full Space Station Live broadcast weekdays on NASA TV at 10 a.m. CDT. http://www.nasa.gov/ntv</t>
  </si>
  <si>
    <t>pRpHY-Ufea0</t>
  </si>
  <si>
    <t>https://youtu.be/uIjNfZbUYu8</t>
  </si>
  <si>
    <t>Karen Nyberg Shows How You Wash Hair in Space</t>
  </si>
  <si>
    <t>There are many challenges associated with living on the International Space Station. Things that are easy to do on Earth where there is gravity can be difficult in space, for astronauts have been living for more than a decade aboard the space station and have developed a few tricks that make these everyday tasks easier. Expedition 36 Flight Engineer Karen Nyberg shows how she washes and rinses her hair in microgravity aboard the International Space Station
For more about the softer side of space, visit:
http://www.nasa.gov/mission_pages/station/expeditions/expedition36/nyberg_profile.html
Follow Nyberg on social media at:
https://twitter.com/AstroKarenN or @AstroKarenN
http://pinterest.com/knyberg/
https://www.facebook.com/AstronautKarenNyberg
HD download link: https://archive.org/details/NybergShampoo</t>
  </si>
  <si>
    <t>uIjNfZbUYu8</t>
  </si>
  <si>
    <t>2013 07 11</t>
  </si>
  <si>
    <t>https://youtu.be/hiFFAElkpz0</t>
  </si>
  <si>
    <t>Astronaut Dottie Metcalf-Lindenburger Talks With WISH Aerospace Scholars</t>
  </si>
  <si>
    <t>From NASA's International Space Station Mission Control Center, NASA astronaut Dottie Metcalf-Lindenburger  participates in a Digital Learning Network (DLN) event with Women in STEM High School (WISH) Aerospace Scholars gathered at Johnson Space Center. The DLN connects students and teachers with NASA experts and education specialists using online communication technologies like video/web conferencing and webcasting. Register for free, interactive events listed in the catalog or watch the webcasts. http://dln.nasa.gov</t>
  </si>
  <si>
    <t>hiFFAElkpz0</t>
  </si>
  <si>
    <t>https://youtu.be/5ab3hnvPzQU</t>
  </si>
  <si>
    <t>Space Station Live  July 11, 2013</t>
  </si>
  <si>
    <t>The Space Station Live recap video for July 10, 2013. Watch the full Space Station Live broadcast weekdays on NASA TV at 10 a.m. CDT. http://www.nasa.gov/ntv</t>
  </si>
  <si>
    <t>5ab3hnvPzQU</t>
  </si>
  <si>
    <t>2013 07 10</t>
  </si>
  <si>
    <t>https://youtu.be/BfRHSVGQMO8</t>
  </si>
  <si>
    <t>Space Station Live  July 10, 2013</t>
  </si>
  <si>
    <t>BfRHSVGQMO8</t>
  </si>
  <si>
    <t>https://youtu.be/ln-oW5cbuG8</t>
  </si>
  <si>
    <t>Space Station Live  Monitoring Earth Disasters From Station</t>
  </si>
  <si>
    <t>Public Affairs Officer Lori Meggs talks with Burgess Howell, principal investigator for ISS SERVIR Environmental Research and Visualization System (ISERV), an experimental camera designed to gain experience in automated data acquisition and provide images for disaster monitoring and assessment.</t>
  </si>
  <si>
    <t>ln-oW5cbuG8</t>
  </si>
  <si>
    <t>2013 07 08</t>
  </si>
  <si>
    <t>https://youtu.be/8jGzrshlX5A</t>
  </si>
  <si>
    <t>Space Station Live  Spacewalk Robotics</t>
  </si>
  <si>
    <t>Canadian Space Agency robotics officer Laura Lucier talks with Kyle Herring, NASA Public Affairs Officer, about the robotic activities planned during the July 9, 2013, spacewalk conducted by Flight Engineers Luca Parmitano and Chris Cassidy.
Watch the full Space Station Live broadcast weekdays on NASA TV at 10 a.m. CDT. 
For more information on science and operations aboard the station, visit 
http://www.nasa.gov/station.</t>
  </si>
  <si>
    <t>8jGzrshlX5A</t>
  </si>
  <si>
    <t>https://youtu.be/kx1dHPrBpt0</t>
  </si>
  <si>
    <t>Space Station Live  July 8, 2013</t>
  </si>
  <si>
    <t>The Space Station Live recap video for July 8, 2013. Watch the full Space Station Live broadcast weekdays on NASA TV at 10 a.m. CDT. http://www.nasa.gov/ntv</t>
  </si>
  <si>
    <t>kx1dHPrBpt0</t>
  </si>
  <si>
    <t>2013 07 03</t>
  </si>
  <si>
    <t>https://youtu.be/UE0J6oyinf8</t>
  </si>
  <si>
    <t>Space Station Live  July 3, 2013</t>
  </si>
  <si>
    <t>The Space Station Live recap video for July 3, 2013. Watch the full Space Station Live broadcast weekdays on NASA TV at 10 a.m. CDT. http://www.nasa.gov/ntv</t>
  </si>
  <si>
    <t>UE0J6oyinf8</t>
  </si>
  <si>
    <t>2013 07 02</t>
  </si>
  <si>
    <t>https://youtu.be/3lHnD4dBTiQ</t>
  </si>
  <si>
    <t>Space Station Live  July 2, 2013</t>
  </si>
  <si>
    <t>The Space Station Live recap video for July 2, 2013. Watch the full Space Station Live broadcast weekdays on NASA TV at 10 a.m. CDT. http://www.nasa.gov/ntv</t>
  </si>
  <si>
    <t>3lHnD4dBTiQ</t>
  </si>
  <si>
    <t>2013 07 01</t>
  </si>
  <si>
    <t>https://youtu.be/K82fCFqnLBk</t>
  </si>
  <si>
    <t>Space Station Live  Controlling a Robot on Earth From Space</t>
  </si>
  <si>
    <t>Public Affairs Officer Lori Meggs speaks with Payload Developer Maria Bualat about the Surface Telerobotics experiment. From onboard the International Space Station a crew member tests remotely operating a robot on Earth.
Read more about Surface Telerobotics...
http://www.nasa.gov/mission_pages/station/research/experiments/945.html
Results from the study may enable future crew members orbiting Mars or the moon to operate an exploration rover on the surface. Meanwhile, scientists are learning how to deal with technological hurdles such as communication, usability and situational awareness. Scientists also want to understand how a crew member controls and determines what the robot is doing.
Researchers are using a small robot at Ames Research Center with familiar technologies from previous analog missions in places such as Antarctica and the deserts of California and Arizona. The new technology is actually the crew interface with the robot since the hardware is on the ground and the software is orbiting the Earth on the space station.
Watch the full Space Station Live broadcast weekdays on NASA TV at 10 a.m. CDT. 
For more information on science and operations aboard the station, visit...
http://www.nasa.gov/station.</t>
  </si>
  <si>
    <t>K82fCFqnLBk</t>
  </si>
  <si>
    <t>https://youtu.be/Yu-agCGK4AM</t>
  </si>
  <si>
    <t>Space Station Live  July 1, 2013</t>
  </si>
  <si>
    <t>The Space Station Live recap video for the week of July 1, 2013. Watch the full Space Station Live broadcast weekdays on NASA TV at 10 a.m. CDT. http://www.nasa.gov/ntv</t>
  </si>
  <si>
    <t>Yu-agCGK4AM</t>
  </si>
  <si>
    <t>2013 06 28</t>
  </si>
  <si>
    <t>https://youtu.be/gE67dysO3Mc</t>
  </si>
  <si>
    <t>WISH Aerospace Scholars Learn About Station Science, Careers</t>
  </si>
  <si>
    <t>From NASA's International Space Station Mission Control Center, Amelia Rai, Scientific Communications Analyst, participates in a Digital Learning Network (DLN) event with Women in STEM High School (WISH) Aerospace Scholars gathered at Johnson Space Center. The DLN connects students and teachers with NASA experts and education specialists using online communication technologies like video/web conferencing and webcasting. Register for free, interactive events listed in the catalog or watch the webcasts. http://dln.nasa.gov</t>
  </si>
  <si>
    <t>gE67dysO3Mc</t>
  </si>
  <si>
    <t>https://youtu.be/TDEXHJSqeao</t>
  </si>
  <si>
    <t>Space Station Live  June 28, 2013</t>
  </si>
  <si>
    <t>The Space Station Live recap video for the week of June 24-28, 2013. Watch the full Space Station Live broadcast weekdays on NASA TV at 10 a.m. CDT. http://www.nasa.gov/ntv</t>
  </si>
  <si>
    <t>TDEXHJSqeao</t>
  </si>
  <si>
    <t>2013 06 27</t>
  </si>
  <si>
    <t>https://youtu.be/QPrtioA8ENs</t>
  </si>
  <si>
    <t>Space Station Live  A Talk with Peggy Whitson</t>
  </si>
  <si>
    <t>NASA Public Affairs Officer Josh Byerly talks with astronaut Peggy Whitson about her background in biology and chemistry, and her achievement of being the first female commander of the International Space Station during Expedition 16.  Whitson also discusses the prospect of flying in space again. For Whitson's full bio: http://www.jsc.nasa.gov/Bios/htmlbios/whitson.html</t>
  </si>
  <si>
    <t>QPrtioA8ENs</t>
  </si>
  <si>
    <t>https://youtu.be/KOxiZ3FV3v4</t>
  </si>
  <si>
    <t>Space Station Live  Huntsville Unveils New Science Control Room</t>
  </si>
  <si>
    <t>Marshall Space Flight Center's Lori Meggs shows off the new Payload Operations Integration Center in Huntsville, Ala., which helps monitor and control the science payloads aboard the International Space Station.</t>
  </si>
  <si>
    <t>KOxiZ3FV3v4</t>
  </si>
  <si>
    <t>https://youtu.be/CbS_P_r6FEs</t>
  </si>
  <si>
    <t>Space Station Live  June 27, 2013</t>
  </si>
  <si>
    <t>The Space Station Live video recap for June 27, 2013.</t>
  </si>
  <si>
    <t>CbS_P_r6FEs</t>
  </si>
  <si>
    <t>https://youtu.be/XHyMDv98e5s</t>
  </si>
  <si>
    <t>Space Station Live  Liz Warren Talks Women in Science</t>
  </si>
  <si>
    <t>NASA Public Affairs Officer Josh Byerly talks with Space Station Scientist Liz Warren about her background and thoughts on the anniversary of Valentina Tereshkova's and Sally Ride's flights. Warren was inspired by both of those space fliers, which led her to a career in space science and studying the effects of space on the human body.</t>
  </si>
  <si>
    <t>XHyMDv98e5s</t>
  </si>
  <si>
    <t>https://youtu.be/Uw5jCvDOT6s</t>
  </si>
  <si>
    <t>Space Station Live  A Talk With Pam Melroy</t>
  </si>
  <si>
    <t>Former astronaut Pam Melroy chats with NASA Public Affairs Officer Josh Byerly about what she has been doing since leaving NASA. Melroy was only the second female commander of a space shuttle in NASA history, and she talks about her background in science and the military and what led her to become an astronaut. Melroy also reflects on the significance of Valentina Tereshkova and Sally Ride.</t>
  </si>
  <si>
    <t>Uw5jCvDOT6s</t>
  </si>
  <si>
    <t>2013 06 26</t>
  </si>
  <si>
    <t>https://youtu.be/8hknLY6dHwU</t>
  </si>
  <si>
    <t>Space Station Live  June 26, 2013</t>
  </si>
  <si>
    <t>The Space Station Live recap video for June 26, 2013. Watch the full Space Station Live broadcast weekdays on NASA TV at 10 a.m.</t>
  </si>
  <si>
    <t>8hknLY6dHwU</t>
  </si>
  <si>
    <t>https://youtu.be/PojPkuThNmI</t>
  </si>
  <si>
    <t>Space Station Live  Camille Alleyne Talks Women in Science</t>
  </si>
  <si>
    <t>Dr. Camille Wardrop Alleyne, Assistant ISS Program Scientist, joins NASA Public Affairs Officer Josh Byerly in the International Space Station Flight Control Room for a discussion of women in science and spaceflight. Alleyne also provides an overview of some of her favorite experiments taking place aboard the orbiting laboratory.</t>
  </si>
  <si>
    <t>PojPkuThNmI</t>
  </si>
  <si>
    <t>2013 06 25</t>
  </si>
  <si>
    <t>https://youtu.be/BOqkhbD9kaY</t>
  </si>
  <si>
    <t>Space Station Live  June 25, 2013</t>
  </si>
  <si>
    <t>The Space Station Live recap video for June 25, 2013. Watch the full Space Station Live broadcast weekdays on NASA TV at 10 a.m.</t>
  </si>
  <si>
    <t>BOqkhbD9kaY</t>
  </si>
  <si>
    <t>2013 06 24</t>
  </si>
  <si>
    <t>https://youtu.be/iNyh2HQ9-RM</t>
  </si>
  <si>
    <t>Preview of June 24 Spacewalk</t>
  </si>
  <si>
    <t>EVA Specialist Devan Bolch narrates this computer animation of the activities planned for the June 24 International Space Station spacewalk.</t>
  </si>
  <si>
    <t>iNyh2HQ9-RM</t>
  </si>
  <si>
    <t>2013 06 21</t>
  </si>
  <si>
    <t>https://youtu.be/G7gZ_GEvFcw</t>
  </si>
  <si>
    <t>Space Station Live  Russian Spacewalk</t>
  </si>
  <si>
    <t>Space Station Live commentator Pat Ryan talks with Lawrence Thomas, the Increment 36 EVA manager, about the Russian spacewalk planned for June 24, 2013. During the spacewalk, Flight Engineers Fyodor Yurchikhin and Alexander Misurkin will replace a fluid flow control valve panel on the Zarya module, test Kurs automated docking cables for the arrival of a new Russian laboratory module later this year and install clamps to later hold cables bringing power from the U.S. segment of the station to that new Russian module. The two spacewalkers are also slated to install handholds for future spacewalk activities and retrieve experiments from the hull of the Zvezda service module.</t>
  </si>
  <si>
    <t>G7gZ_GEvFcw</t>
  </si>
  <si>
    <t>https://youtu.be/SfA11ik646w</t>
  </si>
  <si>
    <t>Space Station Live  June 21, 2013</t>
  </si>
  <si>
    <t>The Space Station Live recap video for June 21, 2013. Watch the full Space Station Live broadcast weekdays on NASA TV at 10 a.m.</t>
  </si>
  <si>
    <t>SfA11ik646w</t>
  </si>
  <si>
    <t>2013 06 20</t>
  </si>
  <si>
    <t>https://youtu.be/Uvn3BM7aOeY</t>
  </si>
  <si>
    <t>Space Station Live  Orion Spacesuits with Dustin Gohmert</t>
  </si>
  <si>
    <t>NASA Public Affairs Officer Dan Huot talks with Orion Crew Survival Systems Manager Dustin Gohmert about the Orion cockpit egress evaluations with a fully-suited crew taking place in the Space Vehicle Mock-up Facility at Johnson Space Center.</t>
  </si>
  <si>
    <t>Uvn3BM7aOeY</t>
  </si>
  <si>
    <t>https://youtu.be/apP0kVLlpGA</t>
  </si>
  <si>
    <t>JSC honors the legacy of Neil Armstrong</t>
  </si>
  <si>
    <t>In conjunction with the memorial service and tree dedication at NASA's Johnson Space Center on June 20, 2013, the center created this video honoring the legacy of Neil Armstrong. The video takes a look at the accidental legend that Armstrong became, and the history-making flight that he took with his colleagues Buzz Aldrin and Mike Collins.</t>
  </si>
  <si>
    <t>apP0kVLlpGA</t>
  </si>
  <si>
    <t>2013 06 19</t>
  </si>
  <si>
    <t>https://youtu.be/7mkIOnuFZmI</t>
  </si>
  <si>
    <t>Students Speak with CRONUS Flight Controller</t>
  </si>
  <si>
    <t>From NASA's International Space Station Mission Control Center, Communication Radio Frequency Onboard Network Utilization Specialist (CRONUS) Flight Controller Ken Neiss participates in a Digital Learning Network (DLN) event with students at Cloverdale Aerospace Tech in Little Rock, Arkansas. The DLN connects students and teachers with NASA experts and education specialists using online communication technologies like video/web conferencing and webcasting. Register for free, interactive events listed in the catalog or watch the webcasts. http://dln.nasa.gov</t>
  </si>
  <si>
    <t>7mkIOnuFZmI</t>
  </si>
  <si>
    <t>https://youtu.be/FtrITG6r1us</t>
  </si>
  <si>
    <t>In Their Own Words  Andrew Morgan</t>
  </si>
  <si>
    <t>"We really want to build that atmosphere of an extended family early on and the sooner the better. I can't wait to meet them."</t>
  </si>
  <si>
    <t>FtrITG6r1us</t>
  </si>
  <si>
    <t>https://youtu.be/-YdGs3Ar0A4</t>
  </si>
  <si>
    <t>In Their Own Words  Ann McClain</t>
  </si>
  <si>
    <t>"I've been humbled by how much I've had to rely on everybody else to kind of get to the point that I'm at."</t>
  </si>
  <si>
    <t>-YdGs3Ar0A4</t>
  </si>
  <si>
    <t>https://youtu.be/bZavu04AUsQ</t>
  </si>
  <si>
    <t>Space Station Live  Orion Cockpit Egress Testing with Jeff Fox</t>
  </si>
  <si>
    <t>NASA Public Affairs Officer Dan Huot talks with Orion Cockpit Lead Engineer Jeff Fox about the Orion cockpit egress evaluations with a fully-suited crew taking place in the Space Vehicle Mock-up Facility at Johnson Space Center.</t>
  </si>
  <si>
    <t>bZavu04AUsQ</t>
  </si>
  <si>
    <t>https://youtu.be/iw7HMrn4yjQ</t>
  </si>
  <si>
    <t>Space Station Live  June 19, 2013</t>
  </si>
  <si>
    <t>The Space Station Live recap video for June 19, 2013. Watch the full Space Station Live broadcast weekdays on NASA TV at 10 a.m.</t>
  </si>
  <si>
    <t>iw7HMrn4yjQ</t>
  </si>
  <si>
    <t>https://youtu.be/GjyDhbwLVIw</t>
  </si>
  <si>
    <t>In Their Own Words  Jessica Meir</t>
  </si>
  <si>
    <t>"I have my private pilot's license but I'm really excited about going to Pensacola for real flight training in jets."</t>
  </si>
  <si>
    <t>GjyDhbwLVIw</t>
  </si>
  <si>
    <t>https://youtu.be/B19-W1oCrlE</t>
  </si>
  <si>
    <t>In Their Own Words  Nicole Mann</t>
  </si>
  <si>
    <t>"I'm really looking forward to the people down at NASA and working for that great organization."</t>
  </si>
  <si>
    <t>B19-W1oCrlE</t>
  </si>
  <si>
    <t>https://youtu.be/MvEVkd1T9ss</t>
  </si>
  <si>
    <t>In Their Own Words  Christina Hammock Koch</t>
  </si>
  <si>
    <t>"I really strongly believe in both the practical aspects of the research being conducted as well as the larger picture of the human spaceflight program."</t>
  </si>
  <si>
    <t>MvEVkd1T9ss</t>
  </si>
  <si>
    <t>https://youtu.be/rof6fV7JbqI</t>
  </si>
  <si>
    <t>In Their Own Words  Tyler Nick Hague</t>
  </si>
  <si>
    <t>"The idea of getting to discover new things and testing out very complicated systems is something that I gravitate towards."</t>
  </si>
  <si>
    <t>rof6fV7JbqI</t>
  </si>
  <si>
    <t>https://youtu.be/JyAvVKxR8Ac</t>
  </si>
  <si>
    <t>In Their Own Words  Victor Glover</t>
  </si>
  <si>
    <t>"The thing that really draws me and excites me about the future is the opportunity to be a part of kindling America's passion for aerospace."</t>
  </si>
  <si>
    <t>JyAvVKxR8Ac</t>
  </si>
  <si>
    <t>https://youtu.be/rqRcPAlc6no</t>
  </si>
  <si>
    <t>In Their Own Words  Josh Cassada</t>
  </si>
  <si>
    <t>"I'm really excited about being a part of something that's much bigger than me and working along side some of the world's best minds."</t>
  </si>
  <si>
    <t>rqRcPAlc6no</t>
  </si>
  <si>
    <t>https://youtu.be/13U-3etjMY0</t>
  </si>
  <si>
    <t>Slideshow  2013 NASA Astronaut Candidate Andrew Morgan</t>
  </si>
  <si>
    <t>More info...
http://www.nasa.gov/home/hqnews/2013/jun/HQ_13-177_2013_Astronaut_Class.html
http://www.nasa.gov/astronauts/2013astroclass.html</t>
  </si>
  <si>
    <t>13U-3etjMY0</t>
  </si>
  <si>
    <t>https://youtu.be/-LdHmDXyeQ8</t>
  </si>
  <si>
    <t>Slideshow  2013 NASA Astronaut Candidate Jessica Meir</t>
  </si>
  <si>
    <t>-LdHmDXyeQ8</t>
  </si>
  <si>
    <t>https://youtu.be/B-0uhbDej7M</t>
  </si>
  <si>
    <t>Slideshow  2013 NASA Astronaut Candidate Anne McClain</t>
  </si>
  <si>
    <t>B-0uhbDej7M</t>
  </si>
  <si>
    <t>https://youtu.be/FqePoACqnuA</t>
  </si>
  <si>
    <t>Slideshow  2013 NASA Astronaut Candidate Nicole Mann</t>
  </si>
  <si>
    <t>FqePoACqnuA</t>
  </si>
  <si>
    <t>https://youtu.be/pkWb7tHmm2s</t>
  </si>
  <si>
    <t>Slideshow  2013 NASA Astronaut Candidate Christina Hammock Koch</t>
  </si>
  <si>
    <t>pkWb7tHmm2s</t>
  </si>
  <si>
    <t>https://youtu.be/_F5LAxgmvGs</t>
  </si>
  <si>
    <t>Slideshow  2013 NASA Astronaut Candidate Tyler N. (Nick) Hague</t>
  </si>
  <si>
    <t>_F5LAxgmvGs</t>
  </si>
  <si>
    <t>https://youtu.be/RI-dNUGNMSY</t>
  </si>
  <si>
    <t>Slideshow  2013 NASA Astronaut Candidate John Cassada</t>
  </si>
  <si>
    <t>RI-dNUGNMSY</t>
  </si>
  <si>
    <t>https://youtu.be/sjuMV7NfZFM</t>
  </si>
  <si>
    <t>Slideshow  2013 NASA Astronaut Candidate Victor Glover</t>
  </si>
  <si>
    <t>sjuMV7NfZFM</t>
  </si>
  <si>
    <t>2013 06 18</t>
  </si>
  <si>
    <t>https://youtu.be/iIc8WlhzlS0</t>
  </si>
  <si>
    <t>Space Station Live  Robotics Operations with Ian Mills</t>
  </si>
  <si>
    <t>NASA Public Affairs Commentatior Pat Ryan talks with Robotics Officer Ian Mills about the International Space Station's Remote Manipulator System (SSRMS), or Canadarm2 robotic arm, and the use of the Special Purpose Dexterous Manipulator (SPDM), or Dextre, aboard the orbiting laboratory.
Last week on the exterior of the orbiting complex, ground controllers performed ground-commanded hardware transfers using Dextre, the Canadian Space Agency's twin-armed robotic "handyman," and Canadarm2, the station's 57.7-foot robotic arm.
Dextre's role is to perform maintenance work and repairs like changing batteries and replacing cameras outside the station. Having Dextre on call will reduce the amount of risky spacewalks to do routine chores, thus giving astronauts more time for science, the main goal of the station. Dextre's special skills and awesome location also offer a unique and opportune testing ground for new robotics concepts like servicing satellites in space. Dextre can ride on the end of Canadarm2 to move from worksite to worksite, or simply hitch a ride on the Mobile Base System.
Learn more about Dextre:
http://www.nasa.gov/mission_pages/station/structure/elements/dextre.html
Watch the full Space Station Live broadcast weekdays on NASA TV at 10 a.m. CDT. 
For more information on science and operations aboard the station, visit 
http://www.nasa.gov/station.</t>
  </si>
  <si>
    <t>iIc8WlhzlS0</t>
  </si>
  <si>
    <t>https://youtu.be/X2IU9d5Nqtk</t>
  </si>
  <si>
    <t>Space Station Live  June 18, 2013</t>
  </si>
  <si>
    <t>The Space Station Live recap video for June 18, 2013. Watch the full Space Station Live broadcast weekdays on NASA TV at 10 a.m.</t>
  </si>
  <si>
    <t>X2IU9d5Nqtk</t>
  </si>
  <si>
    <t>2013 06 17</t>
  </si>
  <si>
    <t>https://youtu.be/Aj6HTM33pBY</t>
  </si>
  <si>
    <t>Space Station Live  Announcing the 2013 Astronaut Class</t>
  </si>
  <si>
    <t>NASA announced on June 17 eight candidates to train for its 2013 astronaut class after an extensive year-and-a-half long search. These new trainees would potentially be the first astronauts to launch on a commercial spacecraft from U.S. soil.
The four men and four women were selected from a pool of over 6,000 applicants. They will train all over the world for possible missions in low-Earth orbit, to an asteroid and Mars.
For more information on the eight astronaut trainees please visit...
http://www.nasa.gov/2013astroclass
http://go.nasa.gov/11KFrWO</t>
  </si>
  <si>
    <t>Aj6HTM33pBY</t>
  </si>
  <si>
    <t>https://youtu.be/zXEuaFnFCYk</t>
  </si>
  <si>
    <t>Space Station Live  Controlling a Rover from Space</t>
  </si>
  <si>
    <t>Space Station Live commentator Pat Ryan talks with Surface Telerobotics Payload Developer Maria Bualat about the experiment to study controlling an Earth-bound rover from the space station. The exercise simulates a crew member from space controlling a rover on the surface of the moon, planet or asteroid.</t>
  </si>
  <si>
    <t>zXEuaFnFCYk</t>
  </si>
  <si>
    <t>https://youtu.be/YJkvo_kQV5o</t>
  </si>
  <si>
    <t>Space Station Live  June 17, 2013</t>
  </si>
  <si>
    <t>The Space Station Live recap video for June 17, 2013. Watch the full Space Station Live broadcast weekdays on NASA TV at 10 a.m.</t>
  </si>
  <si>
    <t>YJkvo_kQV5o</t>
  </si>
  <si>
    <t>https://youtu.be/xKZXgRHXEhs</t>
  </si>
  <si>
    <t>Morpheus Tether Test %2324</t>
  </si>
  <si>
    <t>This is the 24th tether test of the Morpheus Vehicle. This test was performed with the "Bravo" version of the vehicle and tested some of the new backup systems. There are two firings in this test, the first firing was soft aborted. This was caused by an imbalance in the fuel load which caused the vehicle to exceed it's tight safety zone. The 2nd firing was a complete success.</t>
  </si>
  <si>
    <t>xKZXgRHXEhs</t>
  </si>
  <si>
    <t>2013 06 14</t>
  </si>
  <si>
    <t>https://youtu.be/1y-W3H8titY</t>
  </si>
  <si>
    <t>Space Station Live  June 14, 2013</t>
  </si>
  <si>
    <t>The Space Station Live recap video for June 14, 2013. Watch the full Space Station Live broadcast weekdays on NASA TV at 10 a.m.</t>
  </si>
  <si>
    <t>1y-W3H8titY</t>
  </si>
  <si>
    <t>https://youtu.be/bq76SzR_eEA</t>
  </si>
  <si>
    <t>Karen Nyberg Honors the Flight of Valentina Tereshkova</t>
  </si>
  <si>
    <t>Flight Engineer Karen Nyberg recorded a special message to commemorate the 50th anniversary of of the flight of cosmonaut Valentina Tereshkova, the first woman to have flown in space.</t>
  </si>
  <si>
    <t>bq76SzR_eEA</t>
  </si>
  <si>
    <t>2013 06 13</t>
  </si>
  <si>
    <t>https://youtu.be/VLU12e49OZw</t>
  </si>
  <si>
    <t>Students Speak with WRS Manager Julie Mitchell</t>
  </si>
  <si>
    <t>Project Manager of the Water Recovery System Development Team Julie Mitchell participates in a Digital Learning Network (DLN) event with students from the High School Aerospace Scholars and Pre-Service Teacher Institute at Johnson Space Center. The DLN connects students and teachers with NASA experts and education specialists using online communication technologies like video/web conferencing and webcasting. Register for free, interactive events listed in the catalog or watch the webcasts. http://dln.nasa.gov</t>
  </si>
  <si>
    <t>VLU12e49OZw</t>
  </si>
  <si>
    <t>https://youtu.be/NN_JUv2wTY8</t>
  </si>
  <si>
    <t>Space Station Live  Microbiome Experiment</t>
  </si>
  <si>
    <t>NASA Public Affairs Officer Lori Meggs talks with Microbiome experiment Investigator Mark Ott to learn more about this research taking place aboard the International Space Station. The Microbiome experiment investigates the impact of space travel on both the human immune system and an individual's microbiome (the collection of microbes that live in and on the human body at any given time).</t>
  </si>
  <si>
    <t>NN_JUv2wTY8</t>
  </si>
  <si>
    <t>https://youtu.be/bLiPw-AvPUU</t>
  </si>
  <si>
    <t>Space Station Live  June 13, 2013</t>
  </si>
  <si>
    <t>The Space Station Live recap video for June 13, 2013. Watch the full Space Station Live broadcast weekdays on NASA TV at 10 a.m.</t>
  </si>
  <si>
    <t>bLiPw-AvPUU</t>
  </si>
  <si>
    <t>2013 06 12</t>
  </si>
  <si>
    <t>https://youtu.be/LCjdOn2Lw6I</t>
  </si>
  <si>
    <t>Space Station Live  June 12, 2013</t>
  </si>
  <si>
    <t>The Space Station Live recap video for June 12, 2013. Watch the full Space Station Live broadcast weekdays on NASA TV at 10 a.m.</t>
  </si>
  <si>
    <t>LCjdOn2Lw6I</t>
  </si>
  <si>
    <t>2013 06 11</t>
  </si>
  <si>
    <t>https://youtu.be/qim2Z3SHPTU</t>
  </si>
  <si>
    <t>Space Station Live  June 11, 2013</t>
  </si>
  <si>
    <t>The Space Station Live recap video for June 11, 2013. Watch the full Space Station Live broadcast weekdays on NASA TV at 10 a.m.</t>
  </si>
  <si>
    <t>qim2Z3SHPTU</t>
  </si>
  <si>
    <t>2013 06 10</t>
  </si>
  <si>
    <t>https://youtu.be/U29I7sx5wy8</t>
  </si>
  <si>
    <t>Space Station Live  June 10, 2013</t>
  </si>
  <si>
    <t>The Space Station Live recap video for June 10, 2013. Watch the full Space Station Live broadcast weekdays on NASA TV at 10 a.m.</t>
  </si>
  <si>
    <t>U29I7sx5wy8</t>
  </si>
  <si>
    <t>2013 06 07</t>
  </si>
  <si>
    <t>https://youtu.be/yCXRLOWSu-I</t>
  </si>
  <si>
    <t>Space Station Live  June 7, 2013</t>
  </si>
  <si>
    <t>The Space Station Live recap video for June 7, 2013. Watch the full Space Station Live broadcast weekdays on NASA TV at 10 a.m.</t>
  </si>
  <si>
    <t>yCXRLOWSu-I</t>
  </si>
  <si>
    <t>2013 06 06</t>
  </si>
  <si>
    <t>https://youtu.be/4XnrWT7rqqI</t>
  </si>
  <si>
    <t>Morpheus Tether Test %2322</t>
  </si>
  <si>
    <t>Morpheus conducts another tethered test, June 6, 2013. Morpheus is a full spacecraft and rocket-powered lander, which demonstrates new green technology, as well as an autonomous landing and hazard detection technology.</t>
  </si>
  <si>
    <t>4XnrWT7rqqI</t>
  </si>
  <si>
    <t>https://youtu.be/eoZkfI43FPk</t>
  </si>
  <si>
    <t>Students Speak With Station Capcom</t>
  </si>
  <si>
    <t>From NASA's International Space Station Mission Control Center, ISS capcom Hal Getzelman participates in a Digital Learning Network (DLN) event with students at Colvin Run Elementary School in Vienna, Va. The DLN connects students and teachers with NASA experts and education specialists using online communication technologies like video/web conferencing and webcasting. Register for free, interactive events listed in the catalog or watch the webcasts. http://dln.nasa.gov</t>
  </si>
  <si>
    <t>eoZkfI43FPk</t>
  </si>
  <si>
    <t>https://youtu.be/Gn1IpPbi8T8</t>
  </si>
  <si>
    <t>Space Station Live  June 6, 2013</t>
  </si>
  <si>
    <t>The Space Station Live recap video for June 6, 2013. Watch the full Space Station Live broadcast weekdays on NASA TV at 10 a.m.</t>
  </si>
  <si>
    <t>Gn1IpPbi8T8</t>
  </si>
  <si>
    <t>2013 06 05</t>
  </si>
  <si>
    <t>https://youtu.be/Z5Bz6L93Gwo</t>
  </si>
  <si>
    <t>EVA Lessons Learned</t>
  </si>
  <si>
    <t>A look at the history, evolution and future of Extravehicular Activity, also known as spacewalking. Hear from NASA team members who took part in making this complex task a reality, enabling some of the most impressive and daring achievements in the history of human spaceflight.</t>
  </si>
  <si>
    <t>Z5Bz6L93Gwo</t>
  </si>
  <si>
    <t>https://youtu.be/vOVghKelWdg</t>
  </si>
  <si>
    <t>European Cargo Ship Launches to Station</t>
  </si>
  <si>
    <t>The European Space Agency's (ESA) fourth Automated Transfer Vehicle cargo craft (ATV-4) launched atop an Ariane 5 rocket from Kourou, French Guiana at 5:52 p.m. EDT on Wednesday to begin a 10-day trip to the International Space Station.</t>
  </si>
  <si>
    <t>vOVghKelWdg</t>
  </si>
  <si>
    <t>https://youtu.be/qtsEFNnYWAU</t>
  </si>
  <si>
    <t>Space Station Live  June 5, 2013</t>
  </si>
  <si>
    <t>The Space Station Live recap video for June 5, 2013. Watch the full Space Station Live broadcast weekdays on NASA TV at 10 a.m.</t>
  </si>
  <si>
    <t>qtsEFNnYWAU</t>
  </si>
  <si>
    <t>https://youtu.be/htu-48N-gzI</t>
  </si>
  <si>
    <t>Space Station Live  Seedling Growth</t>
  </si>
  <si>
    <t>Public Affairs Officer Lori Meggs talks with Carol Jacobs, payload operations director at the Marshall Space Flight Center's POIC, about the Seedling Growth experiment talking place aboard the International Space Station.</t>
  </si>
  <si>
    <t>htu-48N-gzI</t>
  </si>
  <si>
    <t>https://youtu.be/B4AmwfVHQCw</t>
  </si>
  <si>
    <t>Space Station Live  Ocular Health for Astronauts</t>
  </si>
  <si>
    <t>Aboard the International Space Station, Flight Engineers Karen Nyberg and Luca Parmitano recently began the first runs of an important new study looking into the vision changes experienced by astronauts during long-duration missions. 
Dr. Christian Otto, principal investigator for the Prospective Observational Study of Ocular Health in ISS Crews experiment (Ocular Health), joined NASA Public Affairs Officer Nicole Cloutier LeMasters in station's Flight Control Room at the Mission Control Center in Houston to discuss this program to document astronaut eye health during spaceflight.
Astronauts in space experience fluid shifts to the head caused by microgravity, and its hypothesized that all crew members experience increased intercranial pressure to some degree.  Researchers have linked this increased pressure to vision changes in long-duration astronauts. 
Over the next few years, the Ocular Health experiment will document systematically any changes in astronauts' eye health over their six-month increments. Results from these studies also will be beneficial to patients here on Earth who are suffering from diseases such as glaucoma. 
Watch the full Space Station Live broadcast weekdays on NASA TV at 10 a.m. CDT.
For more information on science and operations aboard the station, visit http://www.nasa.gov/station.</t>
  </si>
  <si>
    <t>B4AmwfVHQCw</t>
  </si>
  <si>
    <t>2013 06 04</t>
  </si>
  <si>
    <t>https://youtu.be/x5ZfDVkjJk8</t>
  </si>
  <si>
    <t>Students Learn About Station Robotics</t>
  </si>
  <si>
    <t>From NASA's International Space Station Mission Control Center, Robotics Systems Flight Controller Jason Dyer participates in a Digital Learning Network (DLN) event with students at East Stroudsberg High School in Pennsylvania. The DLN connects students and teachers with NASA experts and education specialists using online communication technologies like video/web conferencing and webcasting. Register for free, interactive events listed in the catalog or watch the webcasts. http://dln.nasa.gov</t>
  </si>
  <si>
    <t>x5ZfDVkjJk8</t>
  </si>
  <si>
    <t>https://youtu.be/ZN70uC8PVqs</t>
  </si>
  <si>
    <t>Space Station Live  June 4, 2013</t>
  </si>
  <si>
    <t>The Space Station Live recap video for June 4, 2013. Watch the full Space Station Live broadcast weekdays on NASA TV at 10 a.m.</t>
  </si>
  <si>
    <t>ZN70uC8PVqs</t>
  </si>
  <si>
    <t>https://youtu.be/Ywh035K0NZc</t>
  </si>
  <si>
    <t xml:space="preserve"> Close Shave  for Astronaut Chris Cassidy</t>
  </si>
  <si>
    <t>Using a hair trimmer and a vacuum aboard the International Space Station, Flight Engineer Chris Cassidy gives himself a serious haircut in preparation for the arrival of fellow Expedition 36 crewmate Luca Parmitano, who is noted for his bald head. 
Read more: http://go.nasa.gov/19FyWe9</t>
  </si>
  <si>
    <t>Ywh035K0NZc</t>
  </si>
  <si>
    <t>2013 06 03</t>
  </si>
  <si>
    <t>https://youtu.be/SMgaQXQwV5Y</t>
  </si>
  <si>
    <t>Space Station Live  June 3, 2013</t>
  </si>
  <si>
    <t>The Space Station Live recap video for June 3, 2013. Watch the full Space Station Live broadcast weekdays on NASA TV at 10 a.m.</t>
  </si>
  <si>
    <t>SMgaQXQwV5Y</t>
  </si>
  <si>
    <t>2013 05 31</t>
  </si>
  <si>
    <t>https://youtu.be/RC31jIF8ru0</t>
  </si>
  <si>
    <t>Space Station Live  May 31, 2013</t>
  </si>
  <si>
    <t>The Space Station Live recap video for May 31, 2013. Watch the full Space Station Live broadcast weekdays on NASA TV at 10 a.m. CDT. http://www.nasa.gov/ntv</t>
  </si>
  <si>
    <t>RC31jIF8ru0</t>
  </si>
  <si>
    <t>2013 05 30</t>
  </si>
  <si>
    <t>https://youtu.be/yiCYoOjCcNw</t>
  </si>
  <si>
    <t>It Gets Better</t>
  </si>
  <si>
    <t>The NASA JSC It Gets Better video is a video project created by the "Out &amp; Allied @ JSC Employee Resource Group" of NASA's Johnson Space Center. It was created as an outreach tool primarily directed at high school and college-aged lesbian, gay, bisexual, transgender, queer and questioning (LGBTQ) individuals who are victims of bullying and/or have been affected by bullying.  This video sends the message to current and future NASA employees that it is OK to be LGBTQ, and that NASA JSC management supports and encourages an inclusive, diverse workforce in our workplace.
Published on May 30, 2013
Learn more about NASA: http://www.nasa.gov
Learn more about NASA Johnson Space Center: http://www.nasa.gov/centers/johnson
Join the conversation on Twitter at: @NASA_Johnson
For students interested in NASA Johnson Space Center:
https://www.facebook.com/NASA.JSC.Students
http://www.twitter.com/nasajscstudents
Special thanks to astronauts Catherine Coleman, Megan McArthur, and Steven Swanson.
Special thanks to Dr. Ellen Ochoa, and all supporting senior staff members.</t>
  </si>
  <si>
    <t>yiCYoOjCcNw</t>
  </si>
  <si>
    <t>https://youtu.be/W2eXv3Tr55c</t>
  </si>
  <si>
    <t>Space Station Live  FLEX in Space for Safer Combustion</t>
  </si>
  <si>
    <t>Flame Extinguishment Experiment (FLEX) Principal Investigator Mark Hickman, from Glenn Research Center, discusses why scientists study flames in space. One reason is to create a safer environment to live in space and on Earth.
Scientists have been looking at different fuels, atmospheric pressures and suppressants to study combustion in microgravity. Fire in space burns at a lower burn rate, temperature and oxygen concentration. As a result, fires are harder to detect in space due to no bouyancy and less smoke.
Fires burn longer in space than on Earth and it is harder to determine if the fire is actually put out. Therefore, newer fire detectors were better designed to detect soot and more detectors were installed throughout the International Space Station.
Research from FLEX will also benefit fire suppressant technologies on Earth and in space. More Earth-bound benefits include safer furnaces and engines, more-efficient fuel consumption and less greenhouse gases and soot.</t>
  </si>
  <si>
    <t>W2eXv3Tr55c</t>
  </si>
  <si>
    <t>https://youtu.be/LKkI0PxPqaU</t>
  </si>
  <si>
    <t>Space Station Live  May 30, 2013</t>
  </si>
  <si>
    <t>The Space Station Live recap video for May 30, 2013. Watch the full Space Station Live broadcast weekdays on NASA TV at 10 a.m.</t>
  </si>
  <si>
    <t>LKkI0PxPqaU</t>
  </si>
  <si>
    <t>https://youtu.be/jgbMvaBdq0M</t>
  </si>
  <si>
    <t>Station Flight Controller Talks to New York Students</t>
  </si>
  <si>
    <t>From NASA's International Space Station Mission Control Center, Jason Barbour who works with the ISS Environmental &amp; Thermal Operating Systems participates in a Digital Learning Network (DLN) event with students at Public School 174 Queens in Queens, New York. The DLN connects students and teachers with NASA experts and education specialists using online communication technologies like video/web conferencing and webcasting. Register for free, interactive events listed in the catalog or watch the webcasts. http://dln.nasa.gov</t>
  </si>
  <si>
    <t>jgbMvaBdq0M</t>
  </si>
  <si>
    <t>2013 05 29</t>
  </si>
  <si>
    <t>https://youtu.be/QkdcCU4HKdI</t>
  </si>
  <si>
    <t>Morpheus Tether Test %2321</t>
  </si>
  <si>
    <t>This is the first tether test of the v1.5b Morpheus vehicle.  We had a good ignition and climb.  However, as the vehicle attempted to stabilize itself it exceeded the internally set boundary limit causing a soft abort.</t>
  </si>
  <si>
    <t>QkdcCU4HKdI</t>
  </si>
  <si>
    <t>https://youtu.be/RjL8JsJ5lLU</t>
  </si>
  <si>
    <t>Morpheus Hot Fire %239</t>
  </si>
  <si>
    <t>This ground level hot fire test included a test at 0 feet and at 3 feet.  This test also marked the first use of a flame trench with the Morpheus vehicle.</t>
  </si>
  <si>
    <t>RjL8JsJ5lLU</t>
  </si>
  <si>
    <t>https://youtu.be/DvNQI8VwU5w</t>
  </si>
  <si>
    <t>Space Station Live  May 29, 2013</t>
  </si>
  <si>
    <t>The Space Station Live recap video for May 29, 2013. Watch the full Space Station Live broadcast weekdays on NASA TV at 10 a.m.</t>
  </si>
  <si>
    <t>DvNQI8VwU5w</t>
  </si>
  <si>
    <t>https://youtu.be/HzECWKPbCRA</t>
  </si>
  <si>
    <t>Expedition 36 Crew Profile</t>
  </si>
  <si>
    <t>Learn more about Expedition 36 Commander Pavel Vinogradov and Flight Engineers Chris Cassidy, Alexander Misurkin, Karen Nyberg, Fyodor Yurchikhin and Luca Parmitano and their mission aboard the International Space Station.</t>
  </si>
  <si>
    <t>HzECWKPbCRA</t>
  </si>
  <si>
    <t>https://youtu.be/D72a_H0FDyA</t>
  </si>
  <si>
    <t>NASA astronaut Karen Nyberg, Russian Federal Space Agency cosmonaut Fyodor Yurchikhin and European Space Agency astronaut Luca Parmitano joined their Expedition 36 crewmates when the hatches between the Soyuz TMA-09M spacecraft and the International Space Station officially opened at 12:14 a.m. EDT Wednesday. Expedition 36 Commander Pavel Vinogradov and Flight Engineer Alexander Misurkin of the Russian Federal Space Agency and Flight Engineer Chris Cassidy of NASA, who arrived at the station on March 28, welcomed the new crew members aboard their orbital home.</t>
  </si>
  <si>
    <t>D72a_H0FDyA</t>
  </si>
  <si>
    <t>https://youtu.be/Or4Uj9YEi1E</t>
  </si>
  <si>
    <t>Soyuz Completes Expedited Flight to Station</t>
  </si>
  <si>
    <t>The Soyuz TMA-09M spacecraft carrying Soyuz Commander Fyodor Yurchikhin and Flight Engineers Karen Nyberg and Luca Parmitano docks with the International Space Station less than six hours after its launch from the Baikonur Cosmodrome in Kazakhstan.</t>
  </si>
  <si>
    <t>Or4Uj9YEi1E</t>
  </si>
  <si>
    <t>2013 05 28</t>
  </si>
  <si>
    <t>https://youtu.be/8p5XUu21bqA</t>
  </si>
  <si>
    <t>Expedition 36 Crew Launches on Fast Track to Station</t>
  </si>
  <si>
    <t>The Soyuz TMA-09M spacecraft carrying Soyuz Commander Fyodor Yurchikhin and Flight Engineers Karen Nyberg and Luca Parmitano launches from the Baikonur Cosmodrome in Kazakhstan to begin an expedited 6-hour journey to the International Space Station.</t>
  </si>
  <si>
    <t>8p5XUu21bqA</t>
  </si>
  <si>
    <t>https://youtu.be/qYsY1U_pxi4</t>
  </si>
  <si>
    <t>Space Station Live  May 28, 2013</t>
  </si>
  <si>
    <t>The Space Station Live recap video for May 28, 2013. Watch the full Space Station Live broadcast weekdays on NASA TV at 10 a.m.</t>
  </si>
  <si>
    <t>qYsY1U_pxi4</t>
  </si>
  <si>
    <t>https://youtu.be/26iLssrNAJA</t>
  </si>
  <si>
    <t>Space Station Live  ISS CREAM</t>
  </si>
  <si>
    <t>NASA Public Affairs Officer Lori Meggs talks with CREAM (Cosmic Ray Energetics and Mass) Principal Investigator Eun-Suk Seo to learn more about this experiment that will study cosmic ray physics from the International Space Station. One advantage of observing primary cosmic rays from the space station is the particles do not interact with the Earth's atmosphere which can obscure results.
Studying cosmic rays from the space station will allow for longer exposure times to detect higher energy particles and reduce statistical uncertainties due to atmospheric interference. The results gained from the orbiting laboratory will be superior to observations from ground-based laboratories.
Students have also been very involved with the CREAM experiment from development, assembly, testing, integration, data analysis and flight operations.
CREAM is planned to launch to the space station in 2014. It will be placed outside the Japanese Kibo laboratory and attached to its Exposed Facility platform.</t>
  </si>
  <si>
    <t>26iLssrNAJA</t>
  </si>
  <si>
    <t>https://youtu.be/F9NogpiAcV8</t>
  </si>
  <si>
    <t>Expedition 36 37 Mission Overview</t>
  </si>
  <si>
    <t>Commander Pavel Vinogradov leads Expedition 36 as the six-member crew conducts advanced microgravity research aboard the International Space Station. Vinogradov and the other five crew members Flight Engineers Chris Cassidy, Alexander Misurkin, Fyodor Yurchikhin, Karen Nyberg and Luca Parmitano, discuss the challenges and opportunities of living and working in space. Expedition 36/37 has a busy schedule planned with several spacewalks and visits from Russian, Japanese and European cargo vehicles.</t>
  </si>
  <si>
    <t>F9NogpiAcV8</t>
  </si>
  <si>
    <t>2013 05 24</t>
  </si>
  <si>
    <t>https://youtu.be/MISZs91u-lI</t>
  </si>
  <si>
    <t>Expedition 36 37 Crew Preps for Launch</t>
  </si>
  <si>
    <t>Soyuz Commander Fyodor Yurchikhin of the Russian Federal Space Agency, NASA astronaut Karen Nyberg and European Space Agency astronaut Luca Parmitano prepare for their May 28 Soyuz launch to join their Expedition 36 crewmates aboard the International Space Station.</t>
  </si>
  <si>
    <t>MISZs91u-lI</t>
  </si>
  <si>
    <t>https://youtu.be/2yQJ868f2kg</t>
  </si>
  <si>
    <t>Space Station Live  May 24, 2013</t>
  </si>
  <si>
    <t>The Space Station Live recap video for May 24, 2013. Watch the full Space Station Live broadcast weekdays on NASA TV at 10 a.m.</t>
  </si>
  <si>
    <t>2yQJ868f2kg</t>
  </si>
  <si>
    <t>2013 05 23</t>
  </si>
  <si>
    <t>https://youtu.be/eORcSi8YdwA</t>
  </si>
  <si>
    <t>New Jersey Students Speak With Astronaut Mario Runco</t>
  </si>
  <si>
    <t>From NASA's International Space Station Mission Control Center, astronaut Mario Runco participates in a Digital Learning Network (DLN) event with students at Memorial Deptford High School in Deptford, New Jersey. The DLN connects students and teachers with NASA experts and education specialists using online communication technologies like video/web conferencing and webcasting. Register for free, interactive events listed in the catalog or watch the webcasts. http://dln.nasa.gov</t>
  </si>
  <si>
    <t>eORcSi8YdwA</t>
  </si>
  <si>
    <t>https://youtu.be/PsbS7ZnDM4Y</t>
  </si>
  <si>
    <t>Destination Station Atlanta</t>
  </si>
  <si>
    <t>Destination Station was recently in Atlanta from April 15 through April 21. During the week, NASA visited schools, hospitals, museums, and the city's well known Atlanta Science Tavern Meet Up group. Check out the video and see some of the cool things we did and the impact we made on the Peach State.</t>
  </si>
  <si>
    <t>PsbS7ZnDM4Y</t>
  </si>
  <si>
    <t>https://youtu.be/FbEwIVT4Mh8</t>
  </si>
  <si>
    <t>Space Station Live  Astronaut Mario Runco on Earth Photography</t>
  </si>
  <si>
    <t>Veteran astronaut Mario Runco joins NASA Public Affairs Officer Kelly Humphries in International Space Station Flight Control Room to discuss astronaut photography of the Earth.</t>
  </si>
  <si>
    <t>FbEwIVT4Mh8</t>
  </si>
  <si>
    <t>https://youtu.be/DXjuaLKKrgI</t>
  </si>
  <si>
    <t>Space Station Live  May 23, 2013</t>
  </si>
  <si>
    <t>The Space Station Live recap video for May 23, 2013. Watch the full Space Station Live broadcast weekdays on NASA TV at 10 a.m. CDT. http://www.nasa.gov/ntv</t>
  </si>
  <si>
    <t>DXjuaLKKrgI</t>
  </si>
  <si>
    <t>2013 05 22</t>
  </si>
  <si>
    <t>https://youtu.be/k5Yyc-G5eS8</t>
  </si>
  <si>
    <t>Expedition 36 37 Crew Launch Preps in Kazakhstan</t>
  </si>
  <si>
    <t>Soyuz Commander Fyodor Yurchikhin and Flight Engineers Karen Nyberg and Luca Parmitano arrive in Kazakhstan to prepare for their upcoming launch to the International Space Station. They are targeted for a May 28 launch aboard their Soyuz TMA-09M spacecraft.</t>
  </si>
  <si>
    <t>k5Yyc-G5eS8</t>
  </si>
  <si>
    <t>https://youtu.be/b_Ot7r-nXRw</t>
  </si>
  <si>
    <t>Space Station Live  High-Intensity Exercise in Space</t>
  </si>
  <si>
    <t>NASA Public Affairs Officer Lori Meggs talks with SPRINT Principal Investigator Lori Ploutz-Snyder to learn more about this high-intensity exercise research taking place aboard the International Space Station. NASA astronaut and Expedition 22/23 Flight Engineer TJ Creamer joins the conversation to discuss the importance of exercise in protecting cardiovascular, muscular and bone health during long-duration space missions.</t>
  </si>
  <si>
    <t>b_Ot7r-nXRw</t>
  </si>
  <si>
    <t>https://youtu.be/AfI4GSLfQWo</t>
  </si>
  <si>
    <t>Space Station Live  May 22, 2013</t>
  </si>
  <si>
    <t>The Space Station Live recap video for May 22, 2013. Watch the full Space Station Live broadcast weekdays on NASA TV at 10 a.m. CDT. http://www.nasa.gov/ntv</t>
  </si>
  <si>
    <t>AfI4GSLfQWo</t>
  </si>
  <si>
    <t>2013 05 21</t>
  </si>
  <si>
    <t>https://youtu.be/GBY2UkRnHPY</t>
  </si>
  <si>
    <t>Learn more about Expedition 36 Flight Engineers Karen Nyberg, Fyodor Yurchikhin and Luca Parmitano, who are set to join their crewmates aboard the International Space Station in late May.</t>
  </si>
  <si>
    <t>GBY2UkRnHPY</t>
  </si>
  <si>
    <t>https://youtu.be/XZE84IxzQYo</t>
  </si>
  <si>
    <t>Space Station Live  May 21, 2013</t>
  </si>
  <si>
    <t>The Space Station Live recap video for May 21, 2013. Watch the full Space Station Live broadcast weekdays on NASA TV at 10 a.m. CDT. http://www.nasa.gov/ntv</t>
  </si>
  <si>
    <t>XZE84IxzQYo</t>
  </si>
  <si>
    <t>2013 05 20</t>
  </si>
  <si>
    <t>https://youtu.be/kU86gaiA6Rc</t>
  </si>
  <si>
    <t>NASA Public Affairs Officer Kelly Humphries speaks with Amine Swingbed Principal Investigator Jeff Sweterlitsch about the Amine Swingbed experiment.</t>
  </si>
  <si>
    <t>kU86gaiA6Rc</t>
  </si>
  <si>
    <t>https://youtu.be/8vNCp-VTIvE</t>
  </si>
  <si>
    <t>Space Station Live  Fluids and Combustion Facility</t>
  </si>
  <si>
    <t>Aboard the International Space Station, the Fluids and Combustion Facility (FCF) accommodates the unique challenges of working with fluids and combustion processes in microgravity and provides services and capabilities comparable to those found in traditional Earth-based laboratories.
NASA Public Affairs Officer Brandi Dean recently spoke with Robert Corben, the FCF manager at NASA's Glenn Research Center to discuss some of the science being conducted with the facility's two powered racks -- the Combustion Integrated Rack (CIR) and the Fluids Integrated Rack (FIR).
The CIR, which includes a combustion chamber and a fuel and oxidizer control, allows a variety of combustion experiments to be performed safely aboard the station. The FIR is a complementary fluid physics research facility designed to host investigations in areas such as colloids, gels, bubbles and capillary action.
While the FIR and the CIR perform completely different tasks, they share similar hardware to interact with the station's communication system and distribute power. Both racks also have what is known as an optics bench to mount and reposition modular diagnostic tools such as special cameras and lights.
Watch the full Space Station Live broadcast weekdays on NASA TV at 10 a.m. CDT. 
For more information on science and operations aboard the station, visit http://www.nasa.gov/station.</t>
  </si>
  <si>
    <t>8vNCp-VTIvE</t>
  </si>
  <si>
    <t>https://youtu.be/0u5LMNhFl6M</t>
  </si>
  <si>
    <t>Space Station Live  May 20, 2013</t>
  </si>
  <si>
    <t>The Space Station Live recap video for May 20, 2013. Watch the full Space Station Live broadcast weekdays on NASA TV at 10 a.m. CDT. http://www.nasa.gov/ntv</t>
  </si>
  <si>
    <t>0u5LMNhFl6M</t>
  </si>
  <si>
    <t>2013 05 16</t>
  </si>
  <si>
    <t>https://youtu.be/cx3Gjjefoy4</t>
  </si>
  <si>
    <t>Space Station Live  Fixing an Ammonia Leak on the Station</t>
  </si>
  <si>
    <t>Brandi Dean interviews SPARTAN flight controller Anthony Vareha. The SPARTAN console in the Mission Control Center is in charge of the station's electrical and thermal systems.
Vareha describes the analysis of the leak of ammonia coolant that cools the batteries on the station's P6 truss, which occurred last week. Expedition 35 Flight Engineers Tom Marshburn and Chris Cassidy conducted a spacewalk May 11 to fix that leak. The planning and readiness for the spacewalk took place in record time.
Flight controllers are still monitoring the system for leaks and will need a couple of months to make their final assessment of the situation.
Watch the full Space Station Live broadcast weekdays on NASA TV at 10 a.m. CDT.
For more information on science and operations aboard the station, visit http://www.nasa.gov/station.</t>
  </si>
  <si>
    <t>cx3Gjjefoy4</t>
  </si>
  <si>
    <t>https://youtu.be/0KsetzWBv8g</t>
  </si>
  <si>
    <t>Space Station Live  May 16, 2013</t>
  </si>
  <si>
    <t>The Space Station Live recap video for May 16, 2013. Watch the full Space Station Live broadcast weekdays on NASA TV at 10 a.m. CDT. http://www.nasa.gov/ntv</t>
  </si>
  <si>
    <t>0KsetzWBv8g</t>
  </si>
  <si>
    <t>2013 05 15</t>
  </si>
  <si>
    <t>https://youtu.be/E5iaZakqkAQ</t>
  </si>
  <si>
    <t>Space Station Live  May 15, 2013</t>
  </si>
  <si>
    <t>The Space Station Live recap video for May 15, 2013. Watch the full Space Station Live broadcast weekdays on NASA TV at 10 a.m. CDT. http://www.nasa.gov/ntv</t>
  </si>
  <si>
    <t>E5iaZakqkAQ</t>
  </si>
  <si>
    <t>2013 05 14</t>
  </si>
  <si>
    <t>https://youtu.be/F0X6sv3zq6Q</t>
  </si>
  <si>
    <t>Expedition 35 Welcome Ceremony</t>
  </si>
  <si>
    <t>Expedition 35 Commander Chris Hadfield and Flight Engineers Tom Marshburn and Roman Romanenko participate in a welcome ceremony after landing aboard their Soyuz TMA-07M spacecraft in Kazakhstan on May 13.</t>
  </si>
  <si>
    <t>F0X6sv3zq6Q</t>
  </si>
  <si>
    <t>https://youtu.be/vKYXSm_5Rcs</t>
  </si>
  <si>
    <t>Expedition 35 Crew Lands Safely in Kazakhstan</t>
  </si>
  <si>
    <t>Expedition 35 Commander Chris Hadfield and Flight Engineers Tom Marshburn and Roman Romanenko landed their Soyuz TMA-07M spacecraft in southern Kazakhstan at 10:31 p.m. EDT Monday. Russian recovery teams were on hand to help the crew exit the Soyuz vehicle and adjust to gravity after 146 days in space.</t>
  </si>
  <si>
    <t>vKYXSm_5Rcs</t>
  </si>
  <si>
    <t>https://youtu.be/qZSirA-ODuE</t>
  </si>
  <si>
    <t>Expedition 35 Farewell and Undocking</t>
  </si>
  <si>
    <t>The Expedition 35 crew says goodbye to their station crew mates and undocks in their Soyuz TMA-07M spacecraft.</t>
  </si>
  <si>
    <t>qZSirA-ODuE</t>
  </si>
  <si>
    <t>2013 05 13</t>
  </si>
  <si>
    <t>https://youtu.be/kdf8ahuHJ0A</t>
  </si>
  <si>
    <t>Combustion Integrated Rack (revised)</t>
  </si>
  <si>
    <t>This is one of a series of short features about some of the experiment racks on station. This video focuses on the Combustion Integrated Rack (CIR) and features the Multi-User Droplet Combustion Apparatus (MDCA), the Constrained Vapor Bubble (CVB) and the Flame Extinguishment Experiment (FLEX).</t>
  </si>
  <si>
    <t>kdf8ahuHJ0A</t>
  </si>
  <si>
    <t>https://youtu.be/eac6SP7z4VQ</t>
  </si>
  <si>
    <t>Space Station Live  Preparing for the Ride Home on a Soyuz Spacecraft</t>
  </si>
  <si>
    <t>NASA Public Affairs Officer Kelly Humphries interviews astronaut Shannon Walker  who served as an Expedition 24/25 flight engineer in 2010. She talks about preparations station crew members make before leaving the International Space Station.
She also describes what the crew is experiencing in the Soyuz spacecraft when the vehicle undocks and lands. Just before re-entering the atmosphere the Soyuz vehicle separates into three modules with the descent module returning the three crewmembers to Earth. The orbital module, filled with trash, and the propulsion and instrumentation module are destroyed during the fiery reentry into Earth's atmosphere.
As the descent module descends into the atmosphere the Soyuz deploys its parachutes. An instant before the Soyuz hits the ground it fires rockets to soften the landing in Kazakhstan.
http://www.nasa.gov/mission_pages/station/structure/elements/soyuz/index.html
Watch the full Space Station Live broadcast weekdays on NASA TV at 10 a.m. CDT.
For more information on science and operations aboard the station, visit http://www.nasa.gov/station.</t>
  </si>
  <si>
    <t>eac6SP7z4VQ</t>
  </si>
  <si>
    <t>https://youtu.be/ZYBfPJbIG_0</t>
  </si>
  <si>
    <t>Space Station Live  May 13, 2013</t>
  </si>
  <si>
    <t>The Space Station Live recap video for May 13, 2013. Watch the full Space Station Live broadcast weekdays on NASA TV at 10 a.m. CDT. http://www.nasa.gov/ntv</t>
  </si>
  <si>
    <t>ZYBfPJbIG_0</t>
  </si>
  <si>
    <t>https://youtu.be/NDrAnbY0DNE</t>
  </si>
  <si>
    <t>Microgravity Science Glovebox</t>
  </si>
  <si>
    <t>This video is one of a series of short features about some of the experiment racks on station. This video focuses on the Microgravity Science Glovebox (MSG) and features the Structure and Liftoff in Combustion Experiment (SLICE) and the Burning and Suppression of Solids (BASS).</t>
  </si>
  <si>
    <t>NDrAnbY0DNE</t>
  </si>
  <si>
    <t>https://youtu.be/54I_Qk12OEk</t>
  </si>
  <si>
    <t>Minus Eighty-Degree Laboratory Freezer for ISS</t>
  </si>
  <si>
    <t>This  is one of a series of short features about some of the experiment racks on station. This video focuses on the Minus Eighty-Degree Laboratory Freezer for ISS (MELFI).</t>
  </si>
  <si>
    <t>54I_Qk12OEk</t>
  </si>
  <si>
    <t>https://youtu.be/39jeHBFwW7Y</t>
  </si>
  <si>
    <t>Human Research Facility</t>
  </si>
  <si>
    <t>This is one of a series of short features about some of the experiment racks on station. This video focuses on the Human Research Facility (HRF) and features the Space Linear Acceleration Mass Measurement Device (SLAMMD).</t>
  </si>
  <si>
    <t>39jeHBFwW7Y</t>
  </si>
  <si>
    <t>https://youtu.be/qyIc597iit4</t>
  </si>
  <si>
    <t>ExPRESS Rack</t>
  </si>
  <si>
    <t>This is one of a series of short features about some of the experiment racks on station. This video focuses on the ExPRESS rack and features the Binary Colloidal Alloy Test (BCAT),  the Advanced Biological Research System (ABRS) and the Commercial Generic Bioprocessing Apparatus (CGBA).</t>
  </si>
  <si>
    <t>qyIc597iit4</t>
  </si>
  <si>
    <t>2013 05 12</t>
  </si>
  <si>
    <t>https://youtu.be/9FxyAwD4ERI</t>
  </si>
  <si>
    <t>Expedition 35 Commander Chris Hadfield handed command of the station over to Expedition 36 Commander Pavel Vinogradov during a ceremony held on Sunday, May 12, 2013.</t>
  </si>
  <si>
    <t>9FxyAwD4ERI</t>
  </si>
  <si>
    <t>2013 05 10</t>
  </si>
  <si>
    <t>https://youtu.be/3A0SWg7dC2c</t>
  </si>
  <si>
    <t>Space Station Live  May 10, 2013</t>
  </si>
  <si>
    <t>The Space Station Live recap video for May 10, 2013. Watch the full Space Station Live broadcast weekdays on NASA TV at 10 a.m. CDT. http://www.nasa.gov/ntv</t>
  </si>
  <si>
    <t>3A0SWg7dC2c</t>
  </si>
  <si>
    <t>https://youtu.be/DQREC9-zkY0</t>
  </si>
  <si>
    <t>Station Ammonia Leak Prompts Spacewalk Preps</t>
  </si>
  <si>
    <t>Aboard the International Space Station a leak of ammonia coolant was detected on May 9, coming from a location on the station's P6 truss.</t>
  </si>
  <si>
    <t>DQREC9-zkY0</t>
  </si>
  <si>
    <t>2013 05 09</t>
  </si>
  <si>
    <t>https://youtu.be/KgGcBO6aHhs</t>
  </si>
  <si>
    <t>Students Learn About Spacesuits</t>
  </si>
  <si>
    <t>From NASA's International Space Station Mission Control Center, spacesuit engineer Heather Paul participates in a Digital Learning Network (DLN) event with students at Memorial Middle School in Atlanta. The DLN connects students and teachers with NASA experts and education specialists using online communication technologies like video/web conferencing and webcasting. Register for free, interactive events listed in the catalog or watch the webcasts. http://dln.nasa.gov</t>
  </si>
  <si>
    <t>KgGcBO6aHhs</t>
  </si>
  <si>
    <t>https://youtu.be/bOYHUfEl45U</t>
  </si>
  <si>
    <t>Astronaut Karen Nyberg Discusses Parenting in Advance of ISS Mission</t>
  </si>
  <si>
    <t>Astronaut Karen Nyberg is preparing for her upcoming mission to the International Space Station. Slated to launch on May 28, 2013, Karen shares her thoughts and feelings about parenthood while preparing for her long-duration stay in space.
In this interview, Karen answers questions from Parenting magazine's Elina Bolokhova. This was one of several interviews airing on NASA television Thursday, May 9, 2013 leading up to Nyberg's launch.
For more information about the International Space Station visit: http://go.nasa.gov/9cE4DW
For more information about the benefits from space research visit: http://go.nasa.gov/wOelvu
For Karen Nyberg's biography visit: http://go.nasa.gov/np5ICw
For information on Karen's misson visit: http://go.nasa.gov/139pjnN
You can follow Karen on Twitter: @AstroKarenN or @NASA_Astronauts</t>
  </si>
  <si>
    <t>bOYHUfEl45U</t>
  </si>
  <si>
    <t>https://youtu.be/P-9mJ45Q1Fw</t>
  </si>
  <si>
    <t>Astronaut Mom Nicole Stott On Being a Mom and Space Explorer</t>
  </si>
  <si>
    <t>Astronaut Nicole Stott is no stranger to long-distance relationships. As a veteran space-flyer, Nicole has spent more than 100 days in space, and as a wife and mother, knows well the unique aspects and challenges of being away from family. 
In this interview, Stott discusses how she prepared for her long-duration mission and how she stayed close with friends, family and especially her son while at her home in space.
For more information about the International Space Station visit: http://go.nasa.gov/9cE4DW
For more information about the benefits from space research visit: http://go.nasa.gov/wOelvu
For more information about Nicole Stott, you can find her biography here: http://go.nasa.gov/cNQGpR
Follow Nicole Stott on Twitter: @Astro_Nicole
Follow NASA Astronauts on Twitter: @NASA_Astronauts</t>
  </si>
  <si>
    <t>P-9mJ45Q1Fw</t>
  </si>
  <si>
    <t>https://youtu.be/4Cqbc-VVzKs</t>
  </si>
  <si>
    <t>Space Station Live  May 9, 2013</t>
  </si>
  <si>
    <t>The Space Station Live recap video for May 9, 2013. Watch the full Space Station Live broadcast weekdays on NASA TV at 10 a.m. CDT. http://www.nasa.gov/ntv</t>
  </si>
  <si>
    <t>4Cqbc-VVzKs</t>
  </si>
  <si>
    <t>2013 05 08</t>
  </si>
  <si>
    <t>https://youtu.be/As6wf-D-iZo</t>
  </si>
  <si>
    <t>Karen Nyberg Talks International Space Station Benefits</t>
  </si>
  <si>
    <t>Astronaut Karen Nyberg, a flight engineer of the International Space Station Expedition 36 and 37 crew, is launching to space May 28, 2013. In this brief message, Karen shares some of the benefits of ISS research and how science and experiments being conducted in space help life on Earth. Research and development in the areas of medicine, Earth observation imagery and materials sciences not only help advance space exploration, but also help our day-to-day lives on our home planet. 
Want to learn more? Visit www.nasa.gov 
Learn more about NASA Astronaut Karen Nyberg: http://go.nasa.gov/109uXm2 
Learn more about research on the International Space Station: http://go.nasa.gov/9cE4DW 
Learn more about the space station's benefits: http://go.nasa.gov/wOelvu 
Learn more about space station ultrasound research: http://go.nasa.gov/18MPX2P
Learn more about space station cancer treatment research: http://go.nasa.gov/109vdl5
Learn more about the space station's role in vaccine development: http://go.nasa.gov/109vggB
Follow @AstroKarenN and @ISS_Research on Twitter!</t>
  </si>
  <si>
    <t>As6wf-D-iZo</t>
  </si>
  <si>
    <t>https://youtu.be/VlkIffycQWA</t>
  </si>
  <si>
    <t>Space Station Live  May 8, 2013</t>
  </si>
  <si>
    <t>The Space Station Live recap video for May 8, 2013. Watch the full Space Station Live broadcast weekdays on NASA TV at 10 a.m. CDT. http://www.nasa.gov/ntv</t>
  </si>
  <si>
    <t>VlkIffycQWA</t>
  </si>
  <si>
    <t>2013 05 07</t>
  </si>
  <si>
    <t>https://youtu.be/MRakLLNnpUY</t>
  </si>
  <si>
    <t>Space Station Live  Students Help Build Station Trainers</t>
  </si>
  <si>
    <t>NASA Public Affairs Officer Josh Byerly speaks with students Ben Holloway, Helmut Brenner and Robert Lipham from Cypress Woods High School in Cypress, Texas, about their experiences in the HUNCH educational program. HUNCH (High school students United with NASA to Create Hardware) involves students fabricating real-world products for NASA as they apply their science, technology, engineering and mathematics skills as well as learning to work in teams and think creatively.
The three students designed a test model of the International Space Station's Microgravity Science Glovebox that will be used by astronauts on Earth to train for their stay aboard the orbiting laboratory.
The Microgravity Science Glovebox is one of the major dedicated science facilities inside the station's Destiny laboratory. It has a large front window and built-in gloves to provide a sealed environment for conducting science and technology experiments. The Glovebox is particularly suited for handling hazardous materials when the crew is present.
Watch the full Space Station Live broadcast weekdays on NASA TV at 10 a.m. CDT.</t>
  </si>
  <si>
    <t>MRakLLNnpUY</t>
  </si>
  <si>
    <t>https://youtu.be/XNQpJlxMR4E</t>
  </si>
  <si>
    <t>Space Station Live  May 7, 2013</t>
  </si>
  <si>
    <t>The Space Station Live recap video for May 7, 2013. Watch the full Space Station Live broadcast weekdays on NASA TV at 10 a.m. CDT. http://www.nasa.gov/ntv</t>
  </si>
  <si>
    <t>XNQpJlxMR4E</t>
  </si>
  <si>
    <t>2013 05 06</t>
  </si>
  <si>
    <t>https://youtu.be/1XCDErtngO4</t>
  </si>
  <si>
    <t>Space Station Live  May 6, 2013</t>
  </si>
  <si>
    <t>The Space Station Live recap video for May 6, 2013. Watch the full Space Station Live broadcast weekdays on NASA TV at 10 a.m. CDT. http://www.nasa.gov/ntv</t>
  </si>
  <si>
    <t>1XCDErtngO4</t>
  </si>
  <si>
    <t>2013 05 03</t>
  </si>
  <si>
    <t>https://youtu.be/lSGZo2vDbQk</t>
  </si>
  <si>
    <t>Orion Parachute Drop Test on May 1, 2013</t>
  </si>
  <si>
    <t>A test version of NASA's Orion spacecraft landed safely during a simulation of two types of parachute failures Wednesday, May 1, 2013.</t>
  </si>
  <si>
    <t>lSGZo2vDbQk</t>
  </si>
  <si>
    <t>https://youtu.be/842RBYOhTUQ</t>
  </si>
  <si>
    <t>Space Station Live  Weekly Recap for May 3, 2013</t>
  </si>
  <si>
    <t>The Space Station Live weekly recap video for April 29 - May 3, 2013. Watch the full Space Station Live broadcast weekdays on NASA TV at 10 a.m. CDT. http://www.nasa.gov/ntv</t>
  </si>
  <si>
    <t>842RBYOhTUQ</t>
  </si>
  <si>
    <t>2013 05 02</t>
  </si>
  <si>
    <t>https://youtu.be/qQhybvzfyJY</t>
  </si>
  <si>
    <t>Spacesuit Engineer Chats With Students</t>
  </si>
  <si>
    <t>From NASA's International Space Station Mission Control Center, spacesuit engineer Cinda Chullen participates in a Digital Learning Network (DLN) event with students at Naperville North High School in Naperville, Ill. The DLN connects students and teachers with NASA experts and education specialists using online communication technologies like video/web conferencing and webcasting. Register for free, interactive events listed in the catalog or watch the webcasts. http://dln.nasa.gov</t>
  </si>
  <si>
    <t>qQhybvzfyJY</t>
  </si>
  <si>
    <t>https://youtu.be/22Q7TyyRqAE</t>
  </si>
  <si>
    <t>Space Station Live  Space Station Science</t>
  </si>
  <si>
    <t>NASA Public Affairs Officer Dan Huot speaks with Assistant ISS Program Scientist Kirt Costello about the various science experiments and research currently being conducted aboard the International Space Station.
The International Space Station is an unprecedented achievement in global human endeavors to conceive, plan, build, operate and utilize a research platform in space. 
Costello and his team advise the ISS Program Manager on the science that is being selected and flown to the station and work to prioritize the experiments that are being conducted. 
Results from the science and research conducted aboard the station provide advantages to many areas of our lives here on Earth -- health and telemedicine, pharmaceuticals, physical science, engineering safety, better consumer goods, and Earth science and observation.
To learn more about space station science and research visit:
http://www.nasa.gov/mission_pages/station/research/index.html
Watch the full Space Station Live broadcast weekdays on NASA TV at 10 a.m. CDT.</t>
  </si>
  <si>
    <t>22Q7TyyRqAE</t>
  </si>
  <si>
    <t>https://youtu.be/1CucBl5YcI4</t>
  </si>
  <si>
    <t>Space Station Live  Payload Communicator Stacy Jones</t>
  </si>
  <si>
    <t>Public Affairs Officer Lori Meggs from NASA's Marshall Space Flight Center talks with Stacy Jones, Payload Communicator, or PAYCOM.</t>
  </si>
  <si>
    <t>1CucBl5YcI4</t>
  </si>
  <si>
    <t>https://youtu.be/mscPhtqc8XQ</t>
  </si>
  <si>
    <t>Space Station Live  May 2, 2013</t>
  </si>
  <si>
    <t>The Space Station Live recap video for May 2, 2013. Watch the full Space Station Live broadcast weekdays on NASA TV at 10 a.m. CDT. http://www.nasa.gov/ntv</t>
  </si>
  <si>
    <t>mscPhtqc8XQ</t>
  </si>
  <si>
    <t>2013 05 01</t>
  </si>
  <si>
    <t>https://youtu.be/t1-avNrh_uY</t>
  </si>
  <si>
    <t>Space Station Live  May 1, 2013</t>
  </si>
  <si>
    <t>The Space Station Live recap video for May 1, 2013. Watch the full Space Station Live broadcast weekdays on NASA TV at 10 a.m. CDT. http://www.nasa.gov/ntv</t>
  </si>
  <si>
    <t>t1-avNrh_uY</t>
  </si>
  <si>
    <t>2013 04 30</t>
  </si>
  <si>
    <t>https://youtu.be/Mpyr_dm8Pho</t>
  </si>
  <si>
    <t>Space Station Live  Robotic Refueling Mission</t>
  </si>
  <si>
    <t>NASA Public Affairs Officer Dan Huot speaks with Robert Pickle, Robotic Refueling Mission ROBO lead, about the International Space Station demonstration of the tools, technologies and techniques to refuel and repair satellites in orbit - especially satellites not designed to be serviced.</t>
  </si>
  <si>
    <t>Mpyr_dm8Pho</t>
  </si>
  <si>
    <t>https://youtu.be/qUxSLKDzpaI</t>
  </si>
  <si>
    <t>Space Station Live  April 30, 2013</t>
  </si>
  <si>
    <t>The Space Station Live recap video for April 30, 2013. Watch the full Space Station Live broadcast weekdays on NASA TV at 10 a.m. CDT. http://www.nasa.gov/ntv</t>
  </si>
  <si>
    <t>qUxSLKDzpaI</t>
  </si>
  <si>
    <t>https://youtu.be/cjGkYp8fv0o</t>
  </si>
  <si>
    <t>Expedition 36 Final Exams and Training</t>
  </si>
  <si>
    <t>The Expedition 36 crew members conduct final training at the Gagarin Cosmonaut Training Center before their May 28 launch to the International Space Station. Flight Engineers Karen Nyberg, Fyodor Yurchikhin, Luca Parmitano are in Star City, Russia, conducting Russian Soyuz and Russian segment qualification exams and simulations.</t>
  </si>
  <si>
    <t>cjGkYp8fv0o</t>
  </si>
  <si>
    <t>2013 04 29</t>
  </si>
  <si>
    <t>https://youtu.be/w6XBpiaEkvA</t>
  </si>
  <si>
    <t>Space Station Live  April 29, 2013</t>
  </si>
  <si>
    <t>The Space Station Live recap video for April 29, 2013. Watch the full Space Station Live broadcast weekdays on NASA TV at 10 a.m. CDT. http://www.nasa.gov/ntv</t>
  </si>
  <si>
    <t>w6XBpiaEkvA</t>
  </si>
  <si>
    <t>2013 04 26</t>
  </si>
  <si>
    <t>https://youtu.be/UKwFEyZp9gI</t>
  </si>
  <si>
    <t>Space Station Live  EarthKAM Gives Students Window on World</t>
  </si>
  <si>
    <t>Since the earliest days of the space program, astronauts have taken photos of the Earth from space to capture the beauty of the planet and to document the impacts of man-made and natural events. While only a small percentage of people are fortunate enough to witness this view firsthand, since 2001 the EarthKAM investigation has enabled students to remotely program a camera positioned in an Earth-facing window of the International Space Station and capture their own photographs of the world from space.
Space Station Live commentator Pat Ryan recently spoke with several EarthKAM participants to learn more about how teachers and students are using this experiment to study our home planet.
Dave Curry, an 8th grade Earth and space science teacher at Holland Middle School in Holland, Pa., has incorporated EarthKAM in his classroom every year since 2006. Curry was drawn to the program because it allowed kids to get involved in doing something themselves and seeing a result from that.  As Curry pointed out, "Middle school is really an age where we try to hook kids on science."
Two of Curry's students, Alison Castronuovo and Andrew Harman, shared with Space Station Live viewers some of the photos they captured from the station and the things they learned from studying these images.  The students found more than they initially expected, because as Alison explained, "I never expected all that detail."
View Alison's EarthKAM photo: http://images.earthkam.ucsd.edu/main.php?g2_itemId=153658
View Andrew's EarthKAM photo: http://images.earthkam.ucsd.edu/main.php?g2_itemId=140932
Teachers interested in incorporating EarthKAM into their own classrooms are invited to visit the EarthKAM site and sign up for the next mission. 
https://earthkam.ucsd.edu/home</t>
  </si>
  <si>
    <t>UKwFEyZp9gI</t>
  </si>
  <si>
    <t>https://youtu.be/JPGraWV7Z08</t>
  </si>
  <si>
    <t>Space Station Live  Weekly Recap for April 26, 2013</t>
  </si>
  <si>
    <t>The Space Station Live weekly recap video for April 26, 2013. Watch the full Space Station Live broadcast weekdays on NASA TV at 10 a.m. CDT. http://www.nasa.gov/ntv</t>
  </si>
  <si>
    <t>JPGraWV7Z08</t>
  </si>
  <si>
    <t>2013 04 25</t>
  </si>
  <si>
    <t>https://youtu.be/OGU5Sz1UInE</t>
  </si>
  <si>
    <t>Georgia Astronaut Speaks to Students in Home State</t>
  </si>
  <si>
    <t>From NASA's International Space Station Mission Control Center, NASA astronaut Eric Boe participates in a Digital Learning Network (DLN) event with students at the Ball Ground STEM Academy  in Ball Ground, Ga. The DLN connects students and teachers with NASA experts and education specialists using online communication technologies like video/web conferencing and webcasting. Register for free, interactive events listed in the catalog or watch the webcasts. http://dln.nasa.gov</t>
  </si>
  <si>
    <t>OGU5Sz1UInE</t>
  </si>
  <si>
    <t>https://youtu.be/vqJkwhKn-Co</t>
  </si>
  <si>
    <t>Space Station Live  April 25, 2013</t>
  </si>
  <si>
    <t>The Space Station Live recap video for April 25, 2013. Watch the full Space Station Live broadcast weekdays on NASA TV at 10 a.m. CDT. http://www.nasa.gov/ntv</t>
  </si>
  <si>
    <t>vqJkwhKn-Co</t>
  </si>
  <si>
    <t>2013 04 24</t>
  </si>
  <si>
    <t>https://youtu.be/SFDQytJWVxQ</t>
  </si>
  <si>
    <t>Space Station Live  International Space Apps Challenge</t>
  </si>
  <si>
    <t>Space Station Live commentator Pat Ryan recently spoke with Nick Skytland, NASA Open Innovation Project Manager, about the International Space Apps Challenge.
On April 20 and 21, over 9,000 people participated in the second International Space Apps Challenge hosted by NASA and government agencies worldwide, with events across all seven continents and in space. Participants were encouraged to develop mobile applications, software, hardware, data visualization and platform solutions that could contribute to space exploration missions and help improve life on Earth. 
"There's a lot of people outside NASA who love what we do, but have never had an opportunity to participate firsthand," remarked Skytland. "What we've done here is provide a way for people to actually contribute."
According to Skytland, 770 solutions were submitted for judging. Around a hundred of the best solutions were chosen from that group, and the public is invited to go online, learn more about these solutions and vote for their favorite: http://spaceappschallenge.org</t>
  </si>
  <si>
    <t>SFDQytJWVxQ</t>
  </si>
  <si>
    <t>https://youtu.be/l1h36bHQMhE</t>
  </si>
  <si>
    <t>Space Station Live  Window Observational Research Facility</t>
  </si>
  <si>
    <t>Public Affairs Officer Lori Meggs from NASA's Marshall Space Flight Center talks with Yancy Young, the project manager for the International Space Station's Window Observational Research Facility, or WORF.</t>
  </si>
  <si>
    <t>l1h36bHQMhE</t>
  </si>
  <si>
    <t>https://youtu.be/KeBA8LJ5Auo</t>
  </si>
  <si>
    <t>Space Station Live  April 24, 2013</t>
  </si>
  <si>
    <t>The Space Station Live recap video for April 24, 2013. Watch the full Space Station Live broadcast weekdays on NASA TV at 10 a.m. CDT. http://www.nasa.gov/ntv</t>
  </si>
  <si>
    <t>KeBA8LJ5Auo</t>
  </si>
  <si>
    <t>https://youtu.be/geqpkP4L1fw</t>
  </si>
  <si>
    <t>ISS Progress 51 Cargo Craft Launches to Station</t>
  </si>
  <si>
    <t>The unpiloted ISS Progress 51 cargo craft launched from the Baikonur Cosmodrome in Kazakhstan at 6:12 a.m. EDT Wednesday on a two-day trip to the International Space Station.</t>
  </si>
  <si>
    <t>geqpkP4L1fw</t>
  </si>
  <si>
    <t>2013 04 23</t>
  </si>
  <si>
    <t>https://youtu.be/cbum3v8cj7I</t>
  </si>
  <si>
    <t>Space Station Live  Using EarthKAM During Earth Week</t>
  </si>
  <si>
    <t>Space Station Live commentator Pat Ryan interviews Brion Au, EarthKAM Payload Developer. The NASA education program enables middle school students to take pictures of the Earth from the International Space Station.
EarthKAM, or Earth Knowledge Acquired by Middle School Students, was started by astronaut Sally Ride in 1995. It allows students to control a digital camera on the space station and photograph the Earth's geographic features. The photographic targets are programmed by students based on the space station's orbital track. The images that are successfully captured are then posted on the internet for public viewing.
Originally named KidSat, the payload was successfully operated on three space shuttle flights. Renamed EarthKAM in 1998, the payload flew two more shuttle flights before being permanently placed on the space station in 2001 during Expedition 1. 
https://earthkam.ucsd.edu/about
http://www.nasa.gov/mission_pages/station/research/experiments/90.html
Watch the full Space Station Live broadcast weekdays on NASA TV at 10 a.m. CDT. 
For more information on science and operations aboard the station, visit http://www.nasa.gov/station.</t>
  </si>
  <si>
    <t>cbum3v8cj7I</t>
  </si>
  <si>
    <t>https://youtu.be/Gwr6jxxhyjg</t>
  </si>
  <si>
    <t>Space Station Live  April 23, 2013</t>
  </si>
  <si>
    <t>The Space Station Live recap video for April 23, 2013. Watch the full Space Station Live broadcast weekdays on NASA TV at 10 a.m. CDT.
http://www.nasa.gov/ntv</t>
  </si>
  <si>
    <t>Gwr6jxxhyjg</t>
  </si>
  <si>
    <t>2013 04 22</t>
  </si>
  <si>
    <t>https://youtu.be/jxcjj4ukpJw</t>
  </si>
  <si>
    <t>Space Station Live  Astronaut Don Pettit on Earth Photography</t>
  </si>
  <si>
    <t>In celebration of Earth Day, Space Station Live commentator Pat Ryan sat down with NASA astronaut Don Pettit to learn more about the experience of viewing and photographing our planet from the International Space Station. 
A veteran of three spaceflights, including two long-duration stays aboard the International Space Station, Pettit first became interested in photography when he was in the sixth grade and got his first Brownie camera. 
"I spent all my allowance doing film work in a darkroom," reminisced Pettit, "so I could see these mysterious images appear when you ran this film through the chemistry." 
From December 2011 to July 2012, Pettit and his Expedition 30/31 crewmates took about a half a million photographs of the Earth from the station. Pettit shared some of his favorite photos with Space Station Live viewers, including images of elusive noctilucent clouds on the fringes of space and long-exposure "star trail" photographs. 
Pettit's Earth photos, as well as more than a million others taken by astronauts in space, are available online at the Gateway to Astronaut Photography of Earth. For Earth Day, the Crew Earth Observations team has selected some favorites that highlight the value of the station as a remote platform for photography. 
Visit the Gateway to Astronaut Photography of Earth: http://eol.jsc.nasa.gov/
Visit the Earth Day page: http://eol.jsc.nasa.gov/FeaturedEvents/EarthDay2013/</t>
  </si>
  <si>
    <t>jxcjj4ukpJw</t>
  </si>
  <si>
    <t>https://youtu.be/LaiBNI2VvOE</t>
  </si>
  <si>
    <t>Space Station Live  April 22, 2013</t>
  </si>
  <si>
    <t>The Space Station Live recap video for April 22, 2013. Watch the full Space Station Live broadcast weekdays on NASA TV at 10 a.m. CDT.
http://www.nasa.gov/ntv</t>
  </si>
  <si>
    <t>LaiBNI2VvOE</t>
  </si>
  <si>
    <t>2013 04 18</t>
  </si>
  <si>
    <t>https://youtu.be/0Dph7KLdQgQ</t>
  </si>
  <si>
    <t>Middle School Students From Georgia Ask About Earth Science</t>
  </si>
  <si>
    <t>From NASA's International Space Station Mission Control Center, Will Stefanov, Chief Earth Scientist at Johnson Space Center, participates in a Digital Learning Network (DLN) event with students at the Lanier Middle School in Buford, Georgia. The DLN connects students and teachers with NASA experts and education specialists using online communication technologies like video/web conferencing and webcasting. Register for free, interactive events listed in the catalog or watch the webcasts. http://dln.nasa.gov</t>
  </si>
  <si>
    <t>0Dph7KLdQgQ</t>
  </si>
  <si>
    <t>https://youtu.be/pwJXfiohhUo</t>
  </si>
  <si>
    <t>Space Station Live  Antares Test Launch</t>
  </si>
  <si>
    <t>Public Affairs Officer Amiko Kauderer interviews John Steinmeyer, Senior Project Manager for Orbital Sciences Launch Services Group. Steinmeyer discusses the Antares rocket, it's first test launch attempt and the company's commercial partnership with NASA.
Antares is a two-stage rocket which can lift payloads up to 5,000 kilograms to orbit. The first stage, or booster, is fueled by kerosene and liquid oxygen. The upper stage portion, which actually carries the payload, is filled with solid fuel.
Antares first test launch attempt was scrubbed Wednesday April 17, 2013 due to the premature disconnection of a data communications umbilical cable from the rocket's upper stage. Antares launched successfully April 21, 2013, at 5 p.m. EDT. A demonstration launch attempt to deliver cargo to the International Space Station is scheduled for this summer.</t>
  </si>
  <si>
    <t>pwJXfiohhUo</t>
  </si>
  <si>
    <t>https://youtu.be/u4BLIX-5Ods</t>
  </si>
  <si>
    <t>Space Station Live  April 18, 2013</t>
  </si>
  <si>
    <t>The Space Station Live recap video for April 18, 2013. Watch the full Space Station Live broadcast weekdays on NASA TV at 10 a.m. CDT.</t>
  </si>
  <si>
    <t>u4BLIX-5Ods</t>
  </si>
  <si>
    <t>2013 04 17</t>
  </si>
  <si>
    <t>https://youtu.be/ftPwwWHpIRk</t>
  </si>
  <si>
    <t>Space Station Live  Bruce Manners Talks About the Antares Test Launch</t>
  </si>
  <si>
    <t>Public Affairs Officer Amiko Kauderer interviews Bruce Manners, COTS Orbital Sciences Project Executive, from Mission Control Center at Johnson Space Center. Manners discusses the two-stage Antares rocket built by Orbital Sciences which is planned to launch from Wallops Flight Facility in Virginia.</t>
  </si>
  <si>
    <t>ftPwwWHpIRk</t>
  </si>
  <si>
    <t>https://youtu.be/Am2Sj3zRb88</t>
  </si>
  <si>
    <t>Space Station Live  Astronaut Mike Fossum Talks About Life on the Station</t>
  </si>
  <si>
    <t>Public Affairs Officer Amiko Kauderer interviews NASA astronaut Mike Fossum in the Mission Control Center at Johnson Space Center. Fossum, who also served as Expedition 29 commander, discusses living and working aboard the International Space Station.</t>
  </si>
  <si>
    <t>Am2Sj3zRb88</t>
  </si>
  <si>
    <t>https://youtu.be/2AlmzF38xz8</t>
  </si>
  <si>
    <t>Space Station Live  April 17, 2013</t>
  </si>
  <si>
    <t>The Space Station Live recap video for April 17, 2013. Watch the full Space Station Live broadcast weekdays on NASA TV at 10 a.m. CDT.</t>
  </si>
  <si>
    <t>2AlmzF38xz8</t>
  </si>
  <si>
    <t>2013 04 16</t>
  </si>
  <si>
    <t>https://youtu.be/VZhyp2bGAJE</t>
  </si>
  <si>
    <t>Space Station Live  April 16, 2013</t>
  </si>
  <si>
    <t>The Space Station Live recap video for April 16, 2013. Watch the full Space Station Live broadcast weekdays on NASA TV at 10 a.m. CDT.</t>
  </si>
  <si>
    <t>VZhyp2bGAJE</t>
  </si>
  <si>
    <t>2013 04 15</t>
  </si>
  <si>
    <t>https://youtu.be/dCESddMJu2U</t>
  </si>
  <si>
    <t>Space Station Live  April 15, 2013</t>
  </si>
  <si>
    <t>The Space Station Live recap video for April 15, 2013. Watch the full Space Station Live broadcast weekdays on NASA TV at 10 a.m. CDT.</t>
  </si>
  <si>
    <t>dCESddMJu2U</t>
  </si>
  <si>
    <t>2013 04 12</t>
  </si>
  <si>
    <t>https://youtu.be/GnA-YbdhjoA</t>
  </si>
  <si>
    <t>Space Station Live  Station Communications Upgrade</t>
  </si>
  <si>
    <t>NASA Public Affairs Officer Nicole Cloutier-Lemasters recently spoke with Penny Roberts, one of the leads for the International Space Station Avionics and Software group, about the upgrade of the Ku-band communications gear aboard the station.
Over the past few weeks the Expedition 35 crew has been involved in installing the new High Rate Communications System hardware, which adds two additional video downlink channels from the station and doubles the number of space-to-ground audio channels.  
The additional bandwidth is a welcome new resource for scientists and researchers eager to retrieve data from their experiments aboard the station. As Roberts pointed out, "We're positive that the bandwidth will be filled -- and is already filled -- by the payloads needing to get data to the ground."</t>
  </si>
  <si>
    <t>GnA-YbdhjoA</t>
  </si>
  <si>
    <t>https://youtu.be/h9sDCJXTfbw</t>
  </si>
  <si>
    <t>Space Station Live  Astronaut Photos Highlight Earth Month</t>
  </si>
  <si>
    <t>Melissa Dawson, an Earth scientist with NASA's Johnson Space Center, recently spoke by phone with Public Affairs Officer Nicole Cloutier-Lemasters to discuss the importance of astronaut photography of Earth from space. 
Beginning with the Mercury missions in the early 1960s, astronauts have taken photographs of the Earth. The Crew Earth Observation team collects the locations and supporting data for these images and makes them available on their website, the Gateway to Astronaut Photography of Earth. These images include more than a million photos taken from the International Space Station.
Visit the Gateway to Astronaut Photography of Earth at http://eol.jsc.nasa.gov/
All month long in celebration of Earth Day coming up on April 22, the Crew Earth Observation team is highlighting some of the best photos taken by the Expedition 35 crew currently aboard the station. The team is also sharing some earlier photos and videos that demonstrate the importance of the station as a remote sensing platform for collecting striking imagery of our planet.
Visit the Crew Earth Observation team's Earth Day page at http://eol.jsc.nasa.gov/FeaturedEvents/EarthDay2013/</t>
  </si>
  <si>
    <t>h9sDCJXTfbw</t>
  </si>
  <si>
    <t>https://youtu.be/gMwMfI5X1cw</t>
  </si>
  <si>
    <t>Space Station Live  Weekly Recap for April 12, 2013</t>
  </si>
  <si>
    <t>The Space Station Live weekly recap video for April 12, 2013. Watch the full Space Station Live broadcast weekdays on NASA TV at 10 a.m. CDT.</t>
  </si>
  <si>
    <t>gMwMfI5X1cw</t>
  </si>
  <si>
    <t>2013 04 11</t>
  </si>
  <si>
    <t>https://youtu.be/Mu4yWaNWK80</t>
  </si>
  <si>
    <t>Space Station Live  EarthKAM Recreating View From Gemini</t>
  </si>
  <si>
    <t>Ken Ramsley, a graduate student in the Planetary Geosciences group at Brown University in Providence, R.I., joined NASA Public Affairs Officer Nicole Cloutier-Lemasters by phone to discuss his work with EarthKAM in recreating a Gemini astronaut's memorable view. 
EarthKAM is a NASA education program that enables students to photograph and examine Earth with a special digital camera mounted onboard the International Space Station.
After the recovery from a dangerously stuck thruster on the Gemini 8 spacecraft in 1966 and prior to its landing, astronaut David Scott was awestruck by the view from the spacecraft's window as the vehicle soared over Asia and the Himalayas. 
Years later, when the opportunity to use EarthKAM arose, Scott, who is now a visiting professor at Brown, suggested recapturing those views of Gemini's final pass over the Himalayas that he found so memorable.
Working with archived Gemini data from NASA, Ramsley selected eight target opportunities along Gemini's final orbital track and submitted them to EarthKAM.  To date, two of the images have been acquired and Ramsley is working to gather the remaining images. 
Teachers and  students who are interested in controlling EarthKAM on the station are encouraged to visit the EarthKAM website to learn more about this program.
Visit ISS EarthKAM website: https://earthkam.ucsd.edu/
Watch the full Space Station Live broadcast weekdays on NASA TV at 10 a.m. CDT.
http://www.nasa.gov/ntv
For more information on science and operations aboard the station, visit http://www.nasa.gov/station</t>
  </si>
  <si>
    <t>Mu4yWaNWK80</t>
  </si>
  <si>
    <t>https://youtu.be/xLxDlUdhs6s</t>
  </si>
  <si>
    <t>Space Station Live  Veteran Astronaut Talks Crew Orientation</t>
  </si>
  <si>
    <t>NASA Public Affairs Officer Nicole Cloutier-Lemasters recently spoke with NASA astronaut Cady Coleman, who lived aboard the International Space Station as Expedition 26/27 crew member from December 2010 to May 2011. 
Coleman described some of the day-to-day chores aboard the orbiting complex. She also discussed the crew orientation activities of Flight Engineer Chris Cassidy as he learns the ropes of his new orbital home.  Cassidy, along with Flight Engineers Pavel Vinogradov and Alexander Misurkin, arrived at the station on March 28 aboard a Soyuz spacecraft. 
While the crew focuses as much time as possible on supporting important scientific research during the week, the weekend is the time for some light-duty housekeeping chores like vacuuming vents to ensure proper air flow through the station. "It's really actually kind of fun, too," remarked Coleman, "because we get to fly everywhere up there."  
Joked Coleman, "If I got to fly around the house vacuuming, I think I would do it a lot more often."
Watch the full Space Station Live broadcast weekdays on NASA TV at 10 a.m. CDT.
For more information on science and operations aboard the station, visit http://www.nasa.gov/station</t>
  </si>
  <si>
    <t>xLxDlUdhs6s</t>
  </si>
  <si>
    <t>https://youtu.be/B2gt6EL9alU</t>
  </si>
  <si>
    <t>Students Speak With Vacuum Chamber Project Manager Mary Cerimele</t>
  </si>
  <si>
    <t>From the International Space Station Flight Control Room at NASA's Johnson Space Center, Vacuum Chamber A Project Manager Mary Cerimele participates in a Digital Learning Network (DLN) event with students at Clark All Saints Episcopal in Ft. Worth, Texas. The DLN connects students and teachers with NASA experts and education specialists using online communication technologies like video/web conferencing and webcasting. Register for free, interactive events listed in the catalog or watch the webcasts. http://dln.nasa.gov</t>
  </si>
  <si>
    <t>B2gt6EL9alU</t>
  </si>
  <si>
    <t>https://youtu.be/9JgZWZOok6I</t>
  </si>
  <si>
    <t>Space Station Live  April 11, 2013</t>
  </si>
  <si>
    <t>The Space Station Live recap video for April 11, 2013. Watch the full Space Station Live broadcast weekdays on NASA TV at 10 a.m. CDT.</t>
  </si>
  <si>
    <t>9JgZWZOok6I</t>
  </si>
  <si>
    <t>2013 04 09</t>
  </si>
  <si>
    <t>https://youtu.be/OlQmktfM_7o</t>
  </si>
  <si>
    <t>Space Station Live  EarthKAM with Kelly McCormick</t>
  </si>
  <si>
    <t>NASA Public Affairs Officer Nicole Cloutier-Lemasters interviews Teaching in Space Project Coordinator Kelly McCormick about Earth Knowledge Acquired by Middle school students, or EarthKAM.</t>
  </si>
  <si>
    <t>OlQmktfM_7o</t>
  </si>
  <si>
    <t>https://youtu.be/tpCbJc6oR_0</t>
  </si>
  <si>
    <t>Space Station Live  April 9, 2013</t>
  </si>
  <si>
    <t>The Space Station Live recap video for April 9, 2013.  Watch the full Space Station Live broadcast weekdays on NASA TV at 10 a.m. CDT.
Watch NASA TV: http://www.nasa.gov/ntv
Learn more about station: http://www.nasa.gov/station</t>
  </si>
  <si>
    <t>tpCbJc6oR_0</t>
  </si>
  <si>
    <t>2013 04 08</t>
  </si>
  <si>
    <t>https://youtu.be/KlsXaubo05E</t>
  </si>
  <si>
    <t>Space Station Live  ISS Communications Unit Upgrade</t>
  </si>
  <si>
    <t>NASA Public Affairs Officer Nicole Cloutier-Lemasters interviews International Space Station Flight Director Mike Lammers about the recent Ku communications unit upgrade work taking place aboard the orbiting laboratory.</t>
  </si>
  <si>
    <t>KlsXaubo05E</t>
  </si>
  <si>
    <t>https://youtu.be/yKiY2AduNJA</t>
  </si>
  <si>
    <t>Space Station Live  April 8, 2013</t>
  </si>
  <si>
    <t>The Space Station Live recap video for April 8, 2013. Watch the full Space Station Live broadcast weekdays on NASA TV at 10 a.m. CDT.</t>
  </si>
  <si>
    <t>yKiY2AduNJA</t>
  </si>
  <si>
    <t>2013 04 05</t>
  </si>
  <si>
    <t>https://youtu.be/-ZB3-6uR4nA</t>
  </si>
  <si>
    <t>Space Station Live  Historic Vacuum Chamber to Test Webb Telescope</t>
  </si>
  <si>
    <t>NASA Public Affairs Officer Dan Huot recently visited Johnson Space Center's 400,000 cubic foot vacuum chamber, Chamber A, and spoke with Mary Cerimele, the lab manager for this historic facility. 
Upgrades have been made to the facility, which is one of the largest vacuum chambers in the world, to prepare it for testing NASA's deep space James Webb Space Telescope. Scientists plan to use the Webb telescope to see further back into history than ever before. 
Chamber A has been used in component tests for Apollo-Soyuz, Skylab, space shuttle, International Space Station, Department of Defense communication antennas and various other large-scale satellite systems. 
The chamber and its impressive  40-foot diameter door have even been featured in several movies such as "Armageddon" and "Futureworld."  As Cerimele jokes, "It's our resident diva."
Since 2007, the chamber has been significantly modified to support testing of the Webb telescope the agency's successor to the Hubble Space Telescope. Scheduled to launch in 2018, it will fly in deep space orbit more than a million miles from Earth. To ensure it will function in the extreme environment of space, Chamber A will be equipped with instruments to measure and evaluate the shape and focus of the mirrors. 
"Originally the chamber could go to about -300 degrees Fahrenheit," Cerimele points out, "but in order to test the James Webb Space Telescope we need it to operate around -440 degrees Fahrenheit." With its modifications, Chamber A can get much colder than any other facility its size -- and stay that way throughout a 90-day test. 
To learn more about the Webb telescope, visit http://www.jwst.nasa.gov.
Watch the full Space Station Live broadcast weekdays on NASA TV at 10 a.m. CDT.
Watch NASA TV: http://www.nasa.gov/ntv
Learn more about station: http://www.nasa.gov/station</t>
  </si>
  <si>
    <t>-ZB3-6uR4nA</t>
  </si>
  <si>
    <t>https://youtu.be/wjahMmjb1b0</t>
  </si>
  <si>
    <t>Space Station Live  Weekly Recap for April 5, 2013</t>
  </si>
  <si>
    <t>The Space Station Live weekly recap video for April 5, 2013. Watch the full Space Station Live broadcast weekdays on NASA TV at 10 a.m. CDT.
Watch NASA TV: http://www.nasa.gov/ntv
Learn more about station: http://www.nasa.gov/station</t>
  </si>
  <si>
    <t>wjahMmjb1b0</t>
  </si>
  <si>
    <t>https://youtu.be/wG1z7JRYMSQ</t>
  </si>
  <si>
    <t>Station Commander Praises AMS</t>
  </si>
  <si>
    <t>When asked what's the most important International Space Station experiment, Commander Chris Hadfield names the Alpha Magnetic Spectrometer-2, a state-of-the-art particle physics detector that could change our concept of the cosmos.
Read more about AMS:
http://www.nasa.gov/mission_pages/station/research/ams.html</t>
  </si>
  <si>
    <t>wG1z7JRYMSQ</t>
  </si>
  <si>
    <t>2013 04 04</t>
  </si>
  <si>
    <t>https://youtu.be/hCVJrXVtrnM</t>
  </si>
  <si>
    <t>Space Station Live  Installing the AMS</t>
  </si>
  <si>
    <t>PAO Officer Kyle Herring interviews NASA astronaut Mike Fincke about his contribution during STS-134, the shuttle mission that installed the Alpha Magnetic Spectrometer (AMS) in May 2011. As a mission specialist, Fincke conducted a spacewalk and operated the shuttle's robotic arm during the installation of the AMS.</t>
  </si>
  <si>
    <t>hCVJrXVtrnM</t>
  </si>
  <si>
    <t>https://youtu.be/JS64JfzjtEk</t>
  </si>
  <si>
    <t>Space Station Live  First Findings from the AMS</t>
  </si>
  <si>
    <t>PAO Officer Kyle Herring interviews Alpha Magnetic Spectrometer (AMS) Project Manager Trent Martin about the first findings from the AMS. A small team from Johnson Space Center collaborates with AMS experiment operators at control centers at CERN in Geneva, in Taiwan and in Huntsville, Ala.</t>
  </si>
  <si>
    <t>JS64JfzjtEk</t>
  </si>
  <si>
    <t>https://youtu.be/LCY3UrxvBkY</t>
  </si>
  <si>
    <t>Space Station Live  April 4, 2013</t>
  </si>
  <si>
    <t>The Space Station Live recap video for April 4, 2013.  Watch the full Space Station Live broadcast weekdays on NASA TV at 10 a.m. Central.
Watch NASA TV: http://www.nasa.gov/ntv
Learn more about station: http://www.nasa.gov/station</t>
  </si>
  <si>
    <t>LCY3UrxvBkY</t>
  </si>
  <si>
    <t>2013 04 03</t>
  </si>
  <si>
    <t>https://youtu.be/YFua31-_cVQ</t>
  </si>
  <si>
    <t>Space Station Live  April 3, 2013</t>
  </si>
  <si>
    <t>The Space Station Live recap video for April 3, 2013.  Watch the full Space Station Live broadcast weekdays on NASA TV at 10 a.m. Central.
Watch NASA TV: http://www.nasa.gov/ntv
Learn more about station: http://www.nasa.gov/station</t>
  </si>
  <si>
    <t>YFua31-_cVQ</t>
  </si>
  <si>
    <t>2013 04 02</t>
  </si>
  <si>
    <t>https://youtu.be/cCJsw3INeic</t>
  </si>
  <si>
    <t>Space Station Live  April 2, 2013</t>
  </si>
  <si>
    <t>The Space Station Live recap video for April 2, 2013.  
Watch the full Space Station Live broadcast weekdays on NASA TV at 10 a.m. Central.
http://www.nasa.gov/ntv</t>
  </si>
  <si>
    <t>cCJsw3INeic</t>
  </si>
  <si>
    <t>2013 04 01</t>
  </si>
  <si>
    <t>https://youtu.be/tclDxFY5kjU</t>
  </si>
  <si>
    <t>Space Station Live  April 1, 2013</t>
  </si>
  <si>
    <t>The Space Station Live recap video for April 1, 2013.
Watch the full Space Station Live broadcast weekdays on NASA TV at 10 a.m. Central.
http://www.nasa.gov/ntv</t>
  </si>
  <si>
    <t>tclDxFY5kjU</t>
  </si>
  <si>
    <t>2013 03 29</t>
  </si>
  <si>
    <t>https://youtu.be/n2cDAxv0NT4</t>
  </si>
  <si>
    <t>Space Station Live Recap  March 29, 2013</t>
  </si>
  <si>
    <t>The Space Station Live Recap video for March 29, 2013.
Watch the full Space Station Live broadcast weekdays on NASA TV at 10 a.m. Central.
http://www.nasa.gov/ntv</t>
  </si>
  <si>
    <t>n2cDAxv0NT4</t>
  </si>
  <si>
    <t>https://youtu.be/zny8BLEfong</t>
  </si>
  <si>
    <t>New Crew on Station After Express Flight</t>
  </si>
  <si>
    <t>Three new Expedition 35 crew members are welcomed aboard the International Space Station early Friday, less than eight hours after their launch from the Baikonur Cosmodrome in Kazakhstan.</t>
  </si>
  <si>
    <t>zny8BLEfong</t>
  </si>
  <si>
    <t>https://youtu.be/3UG8mYtSW2I</t>
  </si>
  <si>
    <t>Fast-Tracked Soyuz Docks to Station</t>
  </si>
  <si>
    <t>The Soyuz TMA-08M spacecraft carrying three new Expedition 35 crew members docks with the International Space Station at 10:28 p.m. EDT Thursday, completing its accelerated journey to the orbiting complex in less than six hours.</t>
  </si>
  <si>
    <t>3UG8mYtSW2I</t>
  </si>
  <si>
    <t>2013 03 28</t>
  </si>
  <si>
    <t>https://youtu.be/DZLASbCEDKM</t>
  </si>
  <si>
    <t>The Soyuz TMA-08M Spacecraft Launches</t>
  </si>
  <si>
    <t>The Soyuz TMA-08M spacecraft carrying three new Expedition 35 crew members launched from the Baikonur Cosmodrome in Kazakhstan at 4:43 p.m. EDT Thursday (2:43 a.m. Friday, Baikonur time) to begin an accelerated six-hour journey to the International Space Station.</t>
  </si>
  <si>
    <t>DZLASbCEDKM</t>
  </si>
  <si>
    <t>2013 03 27</t>
  </si>
  <si>
    <t>https://youtu.be/ro0QTHD_wqc</t>
  </si>
  <si>
    <t>ISS Servir Environmental Research and Visualization System</t>
  </si>
  <si>
    <t>From the Marshall Space Flight Center's Payload Operations Integration Center (POIC) in Huntsville, Ala., NASA Public Affairs Officer Lori Meggs interviews Burgess Howell, Principal Investigator for the International Space Station Servir Environmental Research and Visualization System (ISERV).</t>
  </si>
  <si>
    <t>ro0QTHD_wqc</t>
  </si>
  <si>
    <t>https://youtu.be/V5K1CKuMH94</t>
  </si>
  <si>
    <t>ISS Update - March 27, 2013</t>
  </si>
  <si>
    <t>The International Space Station update video for March 27, 2013.</t>
  </si>
  <si>
    <t>V5K1CKuMH94</t>
  </si>
  <si>
    <t>2013 03 26</t>
  </si>
  <si>
    <t>https://youtu.be/8PL0vLwjraE</t>
  </si>
  <si>
    <t>ISS Update - March 26, 2013</t>
  </si>
  <si>
    <t>The International Space Station update video for March 26, 2013.</t>
  </si>
  <si>
    <t>8PL0vLwjraE</t>
  </si>
  <si>
    <t>https://youtu.be/aYPvBVVGe9w</t>
  </si>
  <si>
    <t>Dragon Released for Departure, Prepares for Splashdown</t>
  </si>
  <si>
    <t>The SpaceX Dragon's release from Canadarm2 occurred at Tuesday 6:56 a.m. EDT. Now the Expedition 35 crew will command the spacecraft to slowly depart from the International Space Station. Ground controllers earlier sent commands to the Canadarm2 to unberth Dragon from the Harmony node at 4:10 a.m. EDT.</t>
  </si>
  <si>
    <t>aYPvBVVGe9w</t>
  </si>
  <si>
    <t>https://youtu.be/vVDzGF5Z4AY</t>
  </si>
  <si>
    <t>Soyuz Rolled to Launch Pad in Kazakhstan</t>
  </si>
  <si>
    <t>The Soyuz rocket is rolled out to the launch pad by train on Tuesday, March 26, 2013, at the Baikonur Cosmodrome in Kazakhstan. Launch of the Soyuz rocket is scheduled for March 29 and will send Expedition 35 Soyuz Commander Pavel Vinogradov, and Flight Engineers Chris Cassidy of NASA and Alexander Misurkin of Russia on a five-and-a-half-month mission aboard the International Space Station.</t>
  </si>
  <si>
    <t>vVDzGF5Z4AY</t>
  </si>
  <si>
    <t>2013 03 25</t>
  </si>
  <si>
    <t>https://youtu.be/KjnTZiYYIzg</t>
  </si>
  <si>
    <t>ISS Update - March 25, 2013</t>
  </si>
  <si>
    <t>The International Space Station update video for March 25, 2013.</t>
  </si>
  <si>
    <t>KjnTZiYYIzg</t>
  </si>
  <si>
    <t>https://youtu.be/ILG9Xkiv5Y8</t>
  </si>
  <si>
    <t>New Expedition 35 Trio Checks out Soyuz</t>
  </si>
  <si>
    <t>The newest Expedition 35 trio, Soyuz Commander Pavel Vinogradov and Flight Engineers Chris Cassidy and Alexander Misurkin, are in Kazakhstan preparing for their March 28 launch and docking to the International Space Station. Ground personnel at the Baikonur Cosmodrome are readying the Soyuz TMA-08M spacecraft and attaching it to the Soyuz rocket before its roll out to launch pad.</t>
  </si>
  <si>
    <t>ILG9Xkiv5Y8</t>
  </si>
  <si>
    <t>2013 03 22</t>
  </si>
  <si>
    <t>https://youtu.be/54pvHhahPxg</t>
  </si>
  <si>
    <t>ISS Update  CASIS Award Recipient Jud Ready on Materials Science</t>
  </si>
  <si>
    <t>NASA Public Affairs Officer Kelly Humphries interviews Georgia Tech Research Institute's Principal Research Engineer and Adjunct Professor, Jud Ready, Ph.D. Ready who received word that his research in Materials Science will be heading to the International Space Station National Lab through a Center for the Advancement of Science in Space (CASIS) grant.</t>
  </si>
  <si>
    <t>54pvHhahPxg</t>
  </si>
  <si>
    <t>https://youtu.be/Rqxt5sQWgDc</t>
  </si>
  <si>
    <t>ISS Update  Weekly Recap for March 22, 2013</t>
  </si>
  <si>
    <t>The International Space Station weekly recap video for March 18-22, 2013.</t>
  </si>
  <si>
    <t>Rqxt5sQWgDc</t>
  </si>
  <si>
    <t>2013 03 21</t>
  </si>
  <si>
    <t>https://youtu.be/R588TXrn_nc</t>
  </si>
  <si>
    <t>Next Station Crew in Kazakhstan for Soyuz Launch</t>
  </si>
  <si>
    <t>Expedition 35/36 Soyuz Commander Pavel Vinogradov of the Russian Federal Space Agency, NASA Flight Engineer Chris Cassidy and Russian Flight Engineer Alexander Misurkin arrive at the Baikonur Cosmodrome in Kazakhstan and prepare for their March 28 Soyuz launch to the International Space Station.</t>
  </si>
  <si>
    <t>R588TXrn_nc</t>
  </si>
  <si>
    <t>https://youtu.be/fvvIg7ttoLA</t>
  </si>
  <si>
    <t>ISS Update - March 21, 2013</t>
  </si>
  <si>
    <t>The International Space Station update video for March 21, 2013.</t>
  </si>
  <si>
    <t>fvvIg7ttoLA</t>
  </si>
  <si>
    <t>2013 03 20</t>
  </si>
  <si>
    <t>https://youtu.be/Ky1mQfAmXsc</t>
  </si>
  <si>
    <t>Students in Austin, Texas Learn About Space Exploration and Science</t>
  </si>
  <si>
    <t>From NASA's International Space Station Mission Control Center, Christie Sauers, Orion Cockpit Working Group Deputy, participates in a Digital Learning Network (DLN) event with students at the Ann Richards School For Young Women Leaders in Austin, Texas. The DLN connects students and teachers with NASA experts and education specialists using online communication technologies like video/web conferencing and webcasting. Register for free, interactive events listed in the catalog or watch the webcasts. http://dln.nasa.gov</t>
  </si>
  <si>
    <t>Ky1mQfAmXsc</t>
  </si>
  <si>
    <t>https://youtu.be/R8J5xfc661w</t>
  </si>
  <si>
    <t>ISS Update  Human Research Aboard Station</t>
  </si>
  <si>
    <t>Learning about the human body and how it functions in microgravity is paramount as NASA moves toward sending astronauts deeper into space than ever before. NASA Public Affairs Officer Lori Meggs at the Marshall Space Flight Center's Payload Operations Integration Center in Huntsville, Ala., recently spoke with Public Affairs Officer Kelly Humphries about the human research program going on aboard the International Space Station and shares some insights about vision changes observed in long-duration crew members.</t>
  </si>
  <si>
    <t>R8J5xfc661w</t>
  </si>
  <si>
    <t>https://youtu.be/NOwnd2JOuD4</t>
  </si>
  <si>
    <t>ISS Update - March 20, 2013</t>
  </si>
  <si>
    <t>The International Space Station update video for March 20, 2013.</t>
  </si>
  <si>
    <t>NOwnd2JOuD4</t>
  </si>
  <si>
    <t>2013 03 19</t>
  </si>
  <si>
    <t>https://youtu.be/8RVfoKS0XCA</t>
  </si>
  <si>
    <t>ISS Update  Coarsening in Solid Liquid Mixtures-3 Experiment</t>
  </si>
  <si>
    <t>NASA Public Affairs Officer Kelly Humphries interviews Northwestern University's Principal Investigator of the Coarsening in Solid Liquid Mixtures-3 (CSLM-3) experiment, Peter Voorhees, Ph.D.</t>
  </si>
  <si>
    <t>8RVfoKS0XCA</t>
  </si>
  <si>
    <t>https://youtu.be/hy-kKBHkO9s</t>
  </si>
  <si>
    <t>ISS Update - March 19, 2013</t>
  </si>
  <si>
    <t>The International Space Station update video for March 19, 2013.</t>
  </si>
  <si>
    <t>hy-kKBHkO9s</t>
  </si>
  <si>
    <t>https://youtu.be/d4fGW2pm3AI</t>
  </si>
  <si>
    <t>Tom Marshburn Talks to Thirty Seconds to Mars</t>
  </si>
  <si>
    <t>Expedition 35 Flight Engineer Tom Marshburn speaks with Jared Leto of the band Thirty Seconds to Mars during a visit to the International Space Station Flight Control Room in Houston, Texas.</t>
  </si>
  <si>
    <t>d4fGW2pm3AI</t>
  </si>
  <si>
    <t>2013 03 18</t>
  </si>
  <si>
    <t>https://youtu.be/enR1xA5VM5w</t>
  </si>
  <si>
    <t>ISS Update - March 18, 2013</t>
  </si>
  <si>
    <t>The International Space Station update video for March 18, 2013.</t>
  </si>
  <si>
    <t>enR1xA5VM5w</t>
  </si>
  <si>
    <t>https://youtu.be/PBZ4a-dvf0w</t>
  </si>
  <si>
    <t>The Expedition 34 Crew Lands in Kazakhstan</t>
  </si>
  <si>
    <t>Expedition 34 Commander Kevin Ford and Flight Engineers Evgeny Tarelkin and Oleg Novitskiy landed their Soyuz TMA-06M spacecraft in the steppe of Kazakhstan, northeast of the remote town of Arkalyk on Friday. Despite fog, low visibility and below freezing temperatures Russian recovery teams were on hand to help the crew exit the Soyuz vehicle and adjust to gravity after 144 days in space.</t>
  </si>
  <si>
    <t>PBZ4a-dvf0w</t>
  </si>
  <si>
    <t>https://youtu.be/THCL6ByyWzs</t>
  </si>
  <si>
    <t>Expedition 35 36 Crew Departs Star City</t>
  </si>
  <si>
    <t>Expedition 35 Flight Engineers Chris Cassidy, Pavel Vinogradov and Alexander Misurkin participated in traditional ceremonies at the Gagarin Cosmonaut Training Center in Star City, Russia outside Moscow March 16. Afterward, they departed for the Baikonur Cosmodrome in Kazakhstan to complete training for their launch to the International Space Station in the Soyuz TMA-08M spacecraft March 28.</t>
  </si>
  <si>
    <t>THCL6ByyWzs</t>
  </si>
  <si>
    <t>2013 03 16</t>
  </si>
  <si>
    <t>https://youtu.be/VyaMw0dmfGM</t>
  </si>
  <si>
    <t>Expedition 34 Says Goodbye and Undocks</t>
  </si>
  <si>
    <t>Three Expedition 34 crew members said goodbye to three of their International Space Station crewmates Friday afternoon March 15, 2013. Commander Kevin Ford and Flight Engineers Oleg Novitskiy and Evgeny Tarelkin entered their Soyuz TMA-06M spacecraft and undocked at 7:43 p.m. EST after five months in space. Staying behind is new Expedition 35 Commander Chris Hadfield with Flight Engineers Tom Marshburn and Roman Romanenko. They await a new trio of station residents scheduled for liftoff from Kazakhstan at the end of March.</t>
  </si>
  <si>
    <t>VyaMw0dmfGM</t>
  </si>
  <si>
    <t>2013 03 15</t>
  </si>
  <si>
    <t>https://youtu.be/ofbbTf7Ihtc</t>
  </si>
  <si>
    <t>ISS Update  Weekly Recap for March 15, 2013</t>
  </si>
  <si>
    <t>The International Space Station weekly recap video for March 11-15, 2013.</t>
  </si>
  <si>
    <t>ofbbTf7Ihtc</t>
  </si>
  <si>
    <t>2013 03 14</t>
  </si>
  <si>
    <t>https://youtu.be/149ij147DCo</t>
  </si>
  <si>
    <t>ISS Update  Keeping Track of Station Inventory -- 03 14 13</t>
  </si>
  <si>
    <t>Public Affairs Officer Dan Huot interviews Rob Adams, Inventory and Stowage Officer, inside the Mission Control Center. Adams and his team keep track of the gear aboard the International Space Station and its location on the orbital laboratory.
The team works with the station crew relying on their inputs in the Inventory Management System. The ground team will often cross-check the inventory with imagery and video of the gear and its serial numbers.
Adams is the team lead for the SpaceX-2 Dragon mission keeping track of the cargo going in and out of the commercial cargo craft. He also pays attention to the bags, or containers, the gear arrives in to ensure returning cargo is properly stowed in an orderly fashion for the return flight home.
For more information on the science and operations about the space station, visit http://www.nasa.gov/station</t>
  </si>
  <si>
    <t>149ij147DCo</t>
  </si>
  <si>
    <t>https://youtu.be/sr9kMfLQnys</t>
  </si>
  <si>
    <t>ISS Update - March 14, 2013</t>
  </si>
  <si>
    <t>The International Space Station update video for March 14, 2013.</t>
  </si>
  <si>
    <t>sr9kMfLQnys</t>
  </si>
  <si>
    <t>2013 03 13</t>
  </si>
  <si>
    <t>https://youtu.be/K8H6Uk2UDh0</t>
  </si>
  <si>
    <t>Expedition 34 35 Change of Command Ceremony</t>
  </si>
  <si>
    <t>Expedition 34 Commander Kevin Ford of NASA passes the helm of the International Space Station to Expedition 35 Commander Chris Hadfield of the Canadian Space Agency.</t>
  </si>
  <si>
    <t>K8H6Uk2UDh0</t>
  </si>
  <si>
    <t>https://youtu.be/ejZmvJQwy0c</t>
  </si>
  <si>
    <t>ISS Update  Materials Science Aboard Station</t>
  </si>
  <si>
    <t>From the Marshall Space Flight Center's Payload Operations Integration Center (POIC) in Huntsville, Ala., NASA Public Affairs Officer Lori Meggs interviews John Kramer of the Microgravity Science Glovebox (MSG) and Material Science Research Rack (MSRR) team and Shawn Reagan, MSRR Project Manager. 
A range of materials, including metals, ceramics and plastics, have been tested on the International Space Station, and the MSG and the MSRR are the station's "workhorses" that have processed these samples. The team at Marshall's POIC coordinates the testing with the station's onboard crew, answering any questions the astronauts may have as they work through the written procedures. 
The materials research aboard the station allows researchers to see how different types of materials form and bond without the effects of gravity that are always present in Earthbound laboratories. 
For more information on the science and operations about the space station, visit http://www.nasa.gov/station</t>
  </si>
  <si>
    <t>ejZmvJQwy0c</t>
  </si>
  <si>
    <t>https://youtu.be/YdwHrdzRhrk</t>
  </si>
  <si>
    <t>ISS Update - March 13, 2013</t>
  </si>
  <si>
    <t>The International Space Station update video for March 13, 2013.</t>
  </si>
  <si>
    <t>YdwHrdzRhrk</t>
  </si>
  <si>
    <t>2013 03 12</t>
  </si>
  <si>
    <t>https://youtu.be/h7P6vL5vIsA</t>
  </si>
  <si>
    <t>Australian Students Contact Space Station</t>
  </si>
  <si>
    <t>Commander Kevin Ford aboard the International Space Station answers questions from students at  Mt. Ousley Public School, Fairy Meadow, New South Wales, Australia via ham radio.</t>
  </si>
  <si>
    <t>h7P6vL5vIsA</t>
  </si>
  <si>
    <t>https://youtu.be/bGBSQMTiaa4</t>
  </si>
  <si>
    <t>ISS Update - March 12, 2013</t>
  </si>
  <si>
    <t>The International Space Station update video for March 12, 2013.</t>
  </si>
  <si>
    <t>bGBSQMTiaa4</t>
  </si>
  <si>
    <t>2013 03 08</t>
  </si>
  <si>
    <t>https://youtu.be/oNLxqvYkgik</t>
  </si>
  <si>
    <t>Expedition 35 Crew Profile</t>
  </si>
  <si>
    <t>Learn more about Expedition 35 Flight Engineers Pavel Vinogradov, Alexander Misurkin and Chris Cassidy during this video profile.</t>
  </si>
  <si>
    <t>oNLxqvYkgik</t>
  </si>
  <si>
    <t>https://youtu.be/PB10DQmRFAE</t>
  </si>
  <si>
    <t>ISS Update  Weekly Recap for March 8, 2013</t>
  </si>
  <si>
    <t>The International Space Station weekly recap video for March 1-8, 2013.</t>
  </si>
  <si>
    <t>PB10DQmRFAE</t>
  </si>
  <si>
    <t>2013 03 07</t>
  </si>
  <si>
    <t>https://youtu.be/Sv0XiI6qJH4</t>
  </si>
  <si>
    <t>ISS Update  Huntsville Control Center Celebrates 12 Years -- 03 07 13</t>
  </si>
  <si>
    <t>From Mission Control Center, JSC Public Affairs Officer Josh Byerly commemorates 12 years of continuous space station science operations at the Payload Operations Center (POC) at Marshall Space Flight Center (MSFC) in Huntsville, Ala. Byerly calls over to MSFC where Public Affairs Officer Lori Meggs interviews Katie Pressor, Payload Operations Director.
International Space Station flight activities are controlled in Houston at MCC. However, all station science activities are coordinated in Huntsville at the POC. Not all experiments require an astronaut's attention, though. Some experiments can be controlled remotely from the ground allowing a greater scientific output aboard the orbital laboratory.
Pressor decided the best way to celebrate the ongoing science operations would be to introduce students to STEM (Science, Technology, Engineering and Math) activities and excite them about science and space careers. Digital Learning Events will be conducted with several schools live on the web from the POC. Experts will also visit the schools themselves for one-on-one experiences.
Students also have the opportunity to participate in actual space station experiments. For instance, the SPHERES-Zero-Robotics experiment allows high school students to act as ground controllers and design algorithms to control small satellites. The interaction with these small satellites provides benefits to future space missions.</t>
  </si>
  <si>
    <t>Sv0XiI6qJH4</t>
  </si>
  <si>
    <t>https://youtu.be/c9qH3c-0vzU</t>
  </si>
  <si>
    <t>Astronaut Doug Wheelock Speaks with Students</t>
  </si>
  <si>
    <t>From NASA's International Space Station Mission Control Center, NASA astronaut Doug Wheelock participates in a Digital Learning Network (DLN) event with students at Clark Creek STEM Academy in Acworth, Georgia. The DLN connects students and teachers with NASA experts and education specialists using online communication technologies like video/web conferencing and webcasting. Register for free, interactive events listed in the catalog or watch the webcasts. http://dln.nasa.gov</t>
  </si>
  <si>
    <t>c9qH3c-0vzU</t>
  </si>
  <si>
    <t>https://youtu.be/_lXuGTJO6C0</t>
  </si>
  <si>
    <t>Expedition 35 News Conference and Prelaunch Activities</t>
  </si>
  <si>
    <t>Expedition 35 crew members participate in a news conference and traditional preflight activities in Moscow as preparations continue for their launch to the International Space Station on March 28.</t>
  </si>
  <si>
    <t>_lXuGTJO6C0</t>
  </si>
  <si>
    <t>https://youtu.be/2jbgzU6n_r0</t>
  </si>
  <si>
    <t>ISS Update - March 7, 2013</t>
  </si>
  <si>
    <t>The International Space Station update video for March 7, 2013.</t>
  </si>
  <si>
    <t>2jbgzU6n_r0</t>
  </si>
  <si>
    <t>2013 03 06</t>
  </si>
  <si>
    <t>https://youtu.be/efgtXVjKzuw</t>
  </si>
  <si>
    <t>ISS Update  Optical Communications</t>
  </si>
  <si>
    <t>NASA Public Affairs Officer Lori Meggs talks with OPALS Project Systems Engineer Bogdan Oaida from NASA's  Jet Propulsion Laboratory. OPALS, short for Optical PAyload for Lasercomm Science,  looks at using lasers to transmit data from the International Space Station at  much higher data rates than what is possible currently with radio-frequency  transmissions. 
OPALS will demonstrate and test optical communications technologies from a space-based platform by transferring video data via the laser hardware on the space station to a ground receiver at the Jet Propulsion Laboratory's Optical Communications Telescope Laboratory in Wrightwood, Calif. 
"Using laser beams, which can be hundreds-to-thousands of times narrower than radio-frequency beams, allows us to achieve higher data rates," said Oaida. 
To learn more about OPALS, visit http://www.nasa.gov/mission_pages/station/research/news/opals.html
For more information on the science and operations about the space station, visit http://www.nasa.gov/station</t>
  </si>
  <si>
    <t>efgtXVjKzuw</t>
  </si>
  <si>
    <t>https://youtu.be/9yJD1VjtJgc</t>
  </si>
  <si>
    <t>ISS Update  Expedition 34 Flight Director Describes Station Science Operations</t>
  </si>
  <si>
    <t>NASA Public Affairs Officer Josh Byerly interviews Chris Edelen, Expedition 34 Lead Flight Director, at Johnson Space Center's Mission Control Center. Edelen has overseen the research and utilization aboard the International Space Station during the Expedition 34 increment.
With the assembly stage of the station complete, crews can now focus on science and exploration providing benefits back on Earth. The six-member Expedition 34 crew is on track to set a record for the amount of research conducted aboard the orbital laboratory. A total of 166 experiments have been conducted during Expedition 34.
Two different experiments taking place during Expedition 34 include a materials science study and a life sciences study. The Coarsening of Solids and Liquid Mixtures study will help identify processes to build smarter and stronger materials. The Medaka study used fish as model to observe how vertebrates adapt to microgravity.</t>
  </si>
  <si>
    <t>9yJD1VjtJgc</t>
  </si>
  <si>
    <t>https://youtu.be/wtG78LgX-NE</t>
  </si>
  <si>
    <t>ISS Update - March 6, 2013</t>
  </si>
  <si>
    <t>The International Space Station update video for March 6, 2013.</t>
  </si>
  <si>
    <t>wtG78LgX-NE</t>
  </si>
  <si>
    <t>2013 03 05</t>
  </si>
  <si>
    <t>https://youtu.be/CZMEMoxrjKY</t>
  </si>
  <si>
    <t>Expedition 35 36 Final Exams</t>
  </si>
  <si>
    <t>Three Expedition 35/36 crew members prepare for their final exams in their Sokol launch and entry suits at the Gagarin Cosmonaut Training Center in Star City, Russia. NASA astronaut Chris Cassidy and Roscosmos cosmonauts Pavel Vinogradov and Alexander Misurkin are scheduled to launch to the International Space Station on March 28, U.S. time (March 29, Kazakhstan time) in the Soyuz TMA-08M spacecraft.</t>
  </si>
  <si>
    <t>CZMEMoxrjKY</t>
  </si>
  <si>
    <t>https://youtu.be/rxE_EkaGbDg</t>
  </si>
  <si>
    <t>ISS Update - March 5, 2013</t>
  </si>
  <si>
    <t>The International Space Station update video for March 5, 2013.</t>
  </si>
  <si>
    <t>rxE_EkaGbDg</t>
  </si>
  <si>
    <t>2013 03 04</t>
  </si>
  <si>
    <t>https://youtu.be/0bOC00wkBmY</t>
  </si>
  <si>
    <t>ISS Update - March 4, 2013</t>
  </si>
  <si>
    <t>The International Space Station update video for March 4, 2013.</t>
  </si>
  <si>
    <t>0bOC00wkBmY</t>
  </si>
  <si>
    <t>https://youtu.be/Im2hEma_a1E</t>
  </si>
  <si>
    <t>Dragon Grapple and Berthing to Station</t>
  </si>
  <si>
    <t>The SpaceX Dragon capsule is grappled by the International Space Station's robotic arm and berthed to the Harmony module on Sunday, March 3, 2013.</t>
  </si>
  <si>
    <t>Im2hEma_a1E</t>
  </si>
  <si>
    <t>2013 03 01</t>
  </si>
  <si>
    <t>https://youtu.be/mscH1UEXsdg</t>
  </si>
  <si>
    <t>ISS Update  Weekly Recap for March 1, 2013</t>
  </si>
  <si>
    <t>The International Space Station weekly recap video for Feb. 25-March 1, 2013.</t>
  </si>
  <si>
    <t>mscH1UEXsdg</t>
  </si>
  <si>
    <t>https://youtu.be/FIfrN698g0Y</t>
  </si>
  <si>
    <t>SpaceX Dragon Launches</t>
  </si>
  <si>
    <t>The SpaceX Falcon 9 rocket carrying the Dragon spacecraft lifted off at 10:10 a.m. EST from Cape Canaveral Air Force Station in Florida, beginning its mission to resupply the International Space Station.
The mission will mark the third trip by a Dragon capsule to the orbiting laboratory, following a demonstration flight in May 2012 and the first resupply mission in October 2012.</t>
  </si>
  <si>
    <t>FIfrN698g0Y</t>
  </si>
  <si>
    <t>2013 02 28</t>
  </si>
  <si>
    <t>https://youtu.be/flDAxWxK984</t>
  </si>
  <si>
    <t>ISS Update - Feb. 28, 2013</t>
  </si>
  <si>
    <t>The International Space Station update video for Feb. 28, 2013.</t>
  </si>
  <si>
    <t>flDAxWxK984</t>
  </si>
  <si>
    <t>https://youtu.be/gPxEyWFIoj4</t>
  </si>
  <si>
    <t>Astronaut Connects With Phoenix Students</t>
  </si>
  <si>
    <t>From NASA's International Space Station Mission Control Center, NASA astronaut Tracy Caldwell Dyson participates in a Digital Learning Network (DLN) event with students at  Centennial Middle School in Phoenix. The DLN connects students and teachers with NASA experts and education specialists using online communication technologies like video/web conferencing and webcasting. Register for free, interactive events listed in the catalog or watch the webcasts. http://dln.nasa.gov</t>
  </si>
  <si>
    <t>gPxEyWFIoj4</t>
  </si>
  <si>
    <t>2013 02 27</t>
  </si>
  <si>
    <t>https://youtu.be/oES7QpePqMo</t>
  </si>
  <si>
    <t>Preparing America for Deep Space Exploration  Episode 1</t>
  </si>
  <si>
    <t>NASA is continuing to make great strides towards sending humans farther than we have ever gone before. Take a look at the work being done by teams all across the nation on NASA's exploration programs, including the Space Launch System, the Orion Crew Capsule and the Ground System Development and Operations Program, as they continue to propel human spaceflight into the next generation.</t>
  </si>
  <si>
    <t>oES7QpePqMo</t>
  </si>
  <si>
    <t>https://youtu.be/Y1bDwYWpLPI</t>
  </si>
  <si>
    <t>ISS Update  Improving Crews' Efficiency With CRUISE</t>
  </si>
  <si>
    <t>ISS Update commentator Pat Ryan talks with Mikael Wolff about the  Crew User Interface System Enhancement (CRUISE) experiment taking place aboard the International Space Station.</t>
  </si>
  <si>
    <t>Y1bDwYWpLPI</t>
  </si>
  <si>
    <t>https://youtu.be/ZVErKaF6J30</t>
  </si>
  <si>
    <t>ISS Update - Feb. 27, 2013</t>
  </si>
  <si>
    <t>The International Space Station update video for Feb. 27, 2013.</t>
  </si>
  <si>
    <t>ZVErKaF6J30</t>
  </si>
  <si>
    <t>2013 02 26</t>
  </si>
  <si>
    <t>https://youtu.be/nNnDR_sQdsA</t>
  </si>
  <si>
    <t>ISS Update  SPHERES-VERTIGO</t>
  </si>
  <si>
    <t>Since 2003, a trio of bowling-ball-sized free-flying satellites known as Synchronized Position Hold, Engage, Reorient, Experimental Satellites, or SPHERES, have been operating aboard the International Space Station in a variety of demonstrations to test  techniques that could lead to advancements in automated dockings, satellite servicing, spacecraft assembly and emergency repairs. To date, these robots have relied upon special ultrasonic beacons to determine their position within the station.  Now the SPHERES are being fitted with their own "goggles" -- a computer and stereoscopic camera setup named the Visual Estimation and Relative Tracking for Inspection of Generic Objects, or VERTIGO --  to demonstrate critical technologies for relative navigation based on a visual model. 
Brent Tweddle, a member of the MIT Space Systems Laboratory SPHERES-VERTIGO experiment team, recently spoke with ISS Update commentator Pat Ryan to discuss the technology behind these tests taking place aboard the station and its applicability for future spaceflight. 
Commenting on the appearance of the VERTIGO hardware, Tweddle remarked, "It's sort of funny the way that fell out. I mean, we weren't trying to make it look like anything, but a lot of people have commented it kind of looks like a WALL-E figure. But it really just fell out of the requirements."</t>
  </si>
  <si>
    <t>nNnDR_sQdsA</t>
  </si>
  <si>
    <t>https://youtu.be/qsDHbxhufO8</t>
  </si>
  <si>
    <t>ISS Update - Feb. 26, 2013</t>
  </si>
  <si>
    <t>The International Space Station update video for Feb. 26, 2013.</t>
  </si>
  <si>
    <t>qsDHbxhufO8</t>
  </si>
  <si>
    <t>2013 02 25</t>
  </si>
  <si>
    <t>https://youtu.be/ZdMRoMi8F0I</t>
  </si>
  <si>
    <t>Tom Marshburn Talks Life Onboard Station</t>
  </si>
  <si>
    <t>NASA astronaut Tom Marshburn, Expedition 34 flight engineer, talks about life aboard the orbiting International Space Station.</t>
  </si>
  <si>
    <t>ZdMRoMi8F0I</t>
  </si>
  <si>
    <t>https://youtu.be/sQ0IsRY1XPY</t>
  </si>
  <si>
    <t>ISS Update - Feb. 25, 2013</t>
  </si>
  <si>
    <t>sQ0IsRY1XPY</t>
  </si>
  <si>
    <t>2013 02 22</t>
  </si>
  <si>
    <t>https://youtu.be/eP36uID1_FY</t>
  </si>
  <si>
    <t>ISS Update  Weekly Recap for Feb. 22, 2013</t>
  </si>
  <si>
    <t>The International Space Station weekly recap video for Feb. 18-22, 2013.</t>
  </si>
  <si>
    <t>eP36uID1_FY</t>
  </si>
  <si>
    <t>2013 02 21</t>
  </si>
  <si>
    <t>https://youtu.be/fmo_K4Ztq6M</t>
  </si>
  <si>
    <t>Students Learn About SpaceX-2</t>
  </si>
  <si>
    <t>From NASA's International Space Station Mission Control Center, Dorrie Tomayko, SpaceX-2 lead visiting vehicle officer, participates in a Digital Learning Network (DLN) event with students at Salt River High School  in Scottsdale, Ariz. The DLN connects students and teachers with NASA experts and education specialists using online communication technologies like video/web conferencing and webcasting. Register for free, interactive events listed in the catalog or watch the webcasts. http://dln.nasa.gov</t>
  </si>
  <si>
    <t>fmo_K4Ztq6M</t>
  </si>
  <si>
    <t>https://youtu.be/Vaa3Qm9PBj8</t>
  </si>
  <si>
    <t>ISS Update  SpaceX 2 Lead Visiting Vehicle Officer Dorrie Tomayko</t>
  </si>
  <si>
    <t>NASA Public Affairs Officer Brandi Dean conducts an interview with SpaceX 2 Lead Visiting Vehicle Officer Dorrie Tomayko about the second commercial resupply mission to the International Space Station by SpaceX.</t>
  </si>
  <si>
    <t>Vaa3Qm9PBj8</t>
  </si>
  <si>
    <t>https://youtu.be/I8xCyURa7K0</t>
  </si>
  <si>
    <t>Peter Gabriel Talks With Space Station Crew</t>
  </si>
  <si>
    <t>Aboard the International Space Station, Expedition 34 Commander Kevin Ford of NASA, Flight Engineer Tom Marshburn of NASA and Flight Engineer Chris Hadfield of the Canadian Space Agency were treated to a late afternoon call from entertainer Peter Gabriel on Feb. 20 during a visit to the Johnson Space Center's ISS Flight Control Room at Mission Control in Houston. Gabriel and his family were the guests of astronaut Ron Garan during a tour of the center's facilities. Gabriel discussed life and work on orbit with the three crew members and was treated to a few chords of music from Hadfield, who is never far from his guitar aboard the orbital laboratory.</t>
  </si>
  <si>
    <t>I8xCyURa7K0</t>
  </si>
  <si>
    <t>https://youtu.be/rkP9n_Me3eY</t>
  </si>
  <si>
    <t>ISS Update - Feb. 21, 2013</t>
  </si>
  <si>
    <t>The International Space Station update video for Feb. 21, 2013.</t>
  </si>
  <si>
    <t>rkP9n_Me3eY</t>
  </si>
  <si>
    <t>2013 02 20</t>
  </si>
  <si>
    <t>https://youtu.be/hxSXcIAFymA</t>
  </si>
  <si>
    <t>ISS Update  Meteorite and Asteroid Flyby</t>
  </si>
  <si>
    <t>NASA Public Affairs Officer Brandi Dean conducts an interview with Lead Scientist For Planetary Small Bodies Paul Abell about the meteorite that hit Russia and the asteroid flyby that took place on Feb. 15.
Asteroid 2012 DA14 is a small near-Earth asteroid that passed very close to Earth on Feb. 15, so close that it passed inside the ring of geosynchronous weather and communications satellites. The flyby provides a unique opportunity for researchers to study a near-Earth object up close.
A meteor, which was about one-third the diameter of asteroid 2012 DA14, entered the atmosphere and disintegrated in the skies over Chelyabinsk, Russia, on Feb. 14. The trajectory of the Russia meteor was significantly different than the trajectory of the asteroid 2012 DA14, which hours later made its flyby of Earth, indicating that it was a completely unrelated object. The Russia meteor is the largest reported since 1908, when a meteor hit Tunguska, Siberia.
NASA detects, tracks and characterizes asteroids and comets passing close to Earth using both ground- and space-based telescopes. The Near-Earth Object Observations Program, commonly called "Spaceguard," discovers these objects, characterizes a subset of them, and plots their orbits to determine if any could be potentially hazardous to our planet.
Abell also talks briefly about orbital debris, or "space junk," which is tracked as it orbits the Earth.</t>
  </si>
  <si>
    <t>hxSXcIAFymA</t>
  </si>
  <si>
    <t>https://youtu.be/92uMIgfcs5Q</t>
  </si>
  <si>
    <t>ISS Update - Feb. 20, 2013</t>
  </si>
  <si>
    <t>The International Space Station update video for Feb. 20, 2013.</t>
  </si>
  <si>
    <t>92uMIgfcs5Q</t>
  </si>
  <si>
    <t>2013 02 19</t>
  </si>
  <si>
    <t>https://youtu.be/ghR2TxhnDb4</t>
  </si>
  <si>
    <t>ISS Update - Feb. 19, 2013</t>
  </si>
  <si>
    <t>The International Space Station update video for Feb. 19, 2013.</t>
  </si>
  <si>
    <t>ghR2TxhnDb4</t>
  </si>
  <si>
    <t>2013 02 15</t>
  </si>
  <si>
    <t>https://youtu.be/6J27cK4-KMY</t>
  </si>
  <si>
    <t>ISS Update  Weekly Recap for Feb. 15, 2013</t>
  </si>
  <si>
    <t>The International Space Station weekly recap video for Feb. 11-15, 2013</t>
  </si>
  <si>
    <t>6J27cK4-KMY</t>
  </si>
  <si>
    <t>2013 02 14</t>
  </si>
  <si>
    <t>https://youtu.be/WfOt8EFXO9M</t>
  </si>
  <si>
    <t>Lead Capcom Hal Getzelman Talks With Students</t>
  </si>
  <si>
    <t>From the International Space Station Flight Control Room, Capcom Chief Engineer Hal Getzelman participates in a Digital Learning Network (DLN) event with students from Clark Creek STEM Academy in Ackworth, Georgia. The DLN connects students and teachers with NASA experts and education specialists using online communication technologies like video/web conferencing and webcasting. Register for free, interactive events listed in the catalog or watch the webcasts.</t>
  </si>
  <si>
    <t>WfOt8EFXO9M</t>
  </si>
  <si>
    <t>https://youtu.be/gIKb_rT_sV8</t>
  </si>
  <si>
    <t>ISS Update  Capcom Chief Engineer Hal Getzeiman</t>
  </si>
  <si>
    <t>NASA Public Affairs Officer Nicole Cloutier conducts an interview with Capsule Communicator (capcom) Chief Engineer Hal Getzeiman about the capcom position and the duties he performs.</t>
  </si>
  <si>
    <t>gIKb_rT_sV8</t>
  </si>
  <si>
    <t>https://youtu.be/h-r1cMDhoKc</t>
  </si>
  <si>
    <t>ISS Update - Feb. 14, 2013</t>
  </si>
  <si>
    <t>The International Space Station update video for Feb. 14, 2013.</t>
  </si>
  <si>
    <t>h-r1cMDhoKc</t>
  </si>
  <si>
    <t>2013 02 13</t>
  </si>
  <si>
    <t>https://youtu.be/B_R48zlvCwA</t>
  </si>
  <si>
    <t>SPHERES Smartphone Workbench</t>
  </si>
  <si>
    <t>The Smart SPHERES space robot (Synchronized Position Hold, Engage, Reorient, Experimental Satellites) equipped with an Android smartphone performs a video survey inside of the International Space Station's Kibo laboratory in December 2012. The survey plan involves the robot flying in a lawnmower-like pattern to nine pre-defined "stations," or locations. The robot travels to each of these stations in consecutive order. Additionally, the robot examines a visual target taped to the wall of the station to help engineers on Earth assess the quality of the smartphone camera. This is the first time flight controllers on the ground commanded a free-flying robot to perform mobile camera work inside the station.
The ability to remotely control robots has the potential to significantly improve flight controllers' real-time awareness of activities and systems on the station. This smartphone-enhanced SPHERES experiment is managed by the Intelligent Robotics Group at NASA's Ames Research Center, Moffett Field, Calif., with funding from the Technology Demonstration Missions (TDM) Program in the NASA Space Technology Program.
The next Smart SPHERES activity will be in September, during which the ISS crew will control the Smart SPHERES to perform a visual inspection onboard. The crew interface will be the same as what was used last December.</t>
  </si>
  <si>
    <t>B_R48zlvCwA</t>
  </si>
  <si>
    <t>https://youtu.be/ta1uPWcFpT0</t>
  </si>
  <si>
    <t>ISS Update - Feb. 13, 2013</t>
  </si>
  <si>
    <t>The International Space Station update video for Feb. 13, 2013.</t>
  </si>
  <si>
    <t>ta1uPWcFpT0</t>
  </si>
  <si>
    <t>2013 02 12</t>
  </si>
  <si>
    <t>https://youtu.be/TQEWlZRQQcM</t>
  </si>
  <si>
    <t>ISS Update - Feb. 12, 2013</t>
  </si>
  <si>
    <t>The International Space Station update video for Feb. 12, 2013.</t>
  </si>
  <si>
    <t>TQEWlZRQQcM</t>
  </si>
  <si>
    <t>2013 02 11</t>
  </si>
  <si>
    <t>https://youtu.be/wliA3ZGv9Ic</t>
  </si>
  <si>
    <t>ISS Update  Progress 50 Launch and Docking with Tom Erkenswick</t>
  </si>
  <si>
    <t>NASA Public Affairs Officer Rob Navias conducts an interview with Visiting Vehicle Officer Tom Erkenswick about the launch of the ISS Progress 50 resupply ship and its docking to the International Space Station.</t>
  </si>
  <si>
    <t>wliA3ZGv9Ic</t>
  </si>
  <si>
    <t>https://youtu.be/qjyGnv8rYrA</t>
  </si>
  <si>
    <t>Station Cargo Craft Docks Six Hours After Launch</t>
  </si>
  <si>
    <t>The unpiloted ISS Progress 50 cargo craft docked to the International Space Station at 3:35 p.m. EST Monday, less than six hours after launching from the Baikonur Cosmodrome in Kazakhstan.</t>
  </si>
  <si>
    <t>qjyGnv8rYrA</t>
  </si>
  <si>
    <t>https://youtu.be/c1zdm7DipQs</t>
  </si>
  <si>
    <t>ISS Update - Feb. 11, 2013</t>
  </si>
  <si>
    <t>The International Space Station update video for Feb. 11, 2013.</t>
  </si>
  <si>
    <t>c1zdm7DipQs</t>
  </si>
  <si>
    <t>https://youtu.be/UnacW5KV2I4</t>
  </si>
  <si>
    <t>Russian Cargo Ship Heads to Station</t>
  </si>
  <si>
    <t>The ISS Progress 50 resupply ship launched from the Baikonur Cosmodrome in Kazakhstan at  9:41 a.m. EST (8:41 p.m. Kazakhstan time) Monday on an accelerated, four-orbit journey to rendezvous with the International Space Station.</t>
  </si>
  <si>
    <t>UnacW5KV2I4</t>
  </si>
  <si>
    <t>2013 02 09</t>
  </si>
  <si>
    <t>https://youtu.be/8uy1-26JIj4</t>
  </si>
  <si>
    <t>Russian Cargo Ship Departs Station</t>
  </si>
  <si>
    <t>The ISS Progress 48 cargo craft undocked from the International Space Station's Pirs docking compartment at 8:15 a.m. EST Saturday, clearing the way for the launch of ISS Progress 50 Monday.
Read more about the Progress 48 undocking:  http://go.nasa.gov/XusjBY</t>
  </si>
  <si>
    <t>8uy1-26JIj4</t>
  </si>
  <si>
    <t>2013 02 08</t>
  </si>
  <si>
    <t>https://youtu.be/SgGYBOjlny4</t>
  </si>
  <si>
    <t>ISS Update  Weekly Recap for Feb. 8, 2013</t>
  </si>
  <si>
    <t>The International Space Station weekly recap for Feb. 4 - Feb. 8, 2013</t>
  </si>
  <si>
    <t>SgGYBOjlny4</t>
  </si>
  <si>
    <t>2013 02 07</t>
  </si>
  <si>
    <t>https://youtu.be/yCqh_fc3lQk</t>
  </si>
  <si>
    <t>ISS Update - Feb. 7, 2013</t>
  </si>
  <si>
    <t>The International Space Station update video for Feb. 7, 2013.</t>
  </si>
  <si>
    <t>yCqh_fc3lQk</t>
  </si>
  <si>
    <t>2013 02 06</t>
  </si>
  <si>
    <t>https://youtu.be/dWi0Y1lfNBg</t>
  </si>
  <si>
    <t>Orion Heats Up</t>
  </si>
  <si>
    <t>The first Orion spacecraft is coming together in preparation for its test flight in 2014. Systems and parts are being built across the country before shipping to Kennedy Space Center in Florida, and the Mission Control Center in Houston is being transformed to support the flight from the ground.
Learn more at http://www.nasa.gov/orion</t>
  </si>
  <si>
    <t>dWi0Y1lfNBg</t>
  </si>
  <si>
    <t>https://youtu.be/Sky0FG6jBAM</t>
  </si>
  <si>
    <t>NASA Astronaut Mike Fossum Talks With Students</t>
  </si>
  <si>
    <t>From NASA's International Space Station Mission Control Center, NASA Astronaut Mike Fossum participates in a Digital Learning Network (DLN) event with students from Clark Creek STEM Academy in Ackworth, Georgia. The DLN connects students and teachers with NASA experts and education specialists using online communication technologies like video/web conferencing and webcasting. Register for free, interactive events listed in the catalog or watch the webcasts.</t>
  </si>
  <si>
    <t>Sky0FG6jBAM</t>
  </si>
  <si>
    <t>https://youtu.be/EGX0cNd0ue0</t>
  </si>
  <si>
    <t>ISS Update - Feb. 6, 2013</t>
  </si>
  <si>
    <t>The International Space Station update video for Feb. 6, 2013.</t>
  </si>
  <si>
    <t>EGX0cNd0ue0</t>
  </si>
  <si>
    <t>2013 02 05</t>
  </si>
  <si>
    <t>https://youtu.be/nGb-ZW0frGU</t>
  </si>
  <si>
    <t>Gene Cernan Speaks with Station Commander Kevin Ford</t>
  </si>
  <si>
    <t>Apollo 17 Commander Gene Cernan visits the International Space Station Mission Control Center in Houston, Texas and has a brief conversation with Expedition 34 Commander Kevin Ford.</t>
  </si>
  <si>
    <t>nGb-ZW0frGU</t>
  </si>
  <si>
    <t>https://youtu.be/HeQa8KCC3h8</t>
  </si>
  <si>
    <t>ISS Update - Feb. 5, 2013</t>
  </si>
  <si>
    <t>The International Space Station update video for Feb. 5, 2013.</t>
  </si>
  <si>
    <t>HeQa8KCC3h8</t>
  </si>
  <si>
    <t>2013 02 04</t>
  </si>
  <si>
    <t>https://youtu.be/ZDAR4v3VDqw</t>
  </si>
  <si>
    <t>ISS Update - Feb. 4, 2013</t>
  </si>
  <si>
    <t>The International Space Station update video for Feb. 4, 2013.</t>
  </si>
  <si>
    <t>ZDAR4v3VDqw</t>
  </si>
  <si>
    <t>https://youtu.be/Ybsq1KA274s</t>
  </si>
  <si>
    <t>Behind the Scenes of NASA Johnson Style</t>
  </si>
  <si>
    <t>Check out a behind the scenes look at the making of the NASA Johnson Style video.</t>
  </si>
  <si>
    <t>Ybsq1KA274s</t>
  </si>
  <si>
    <t>2013 02 01</t>
  </si>
  <si>
    <t>https://youtu.be/juVkvcjE10o</t>
  </si>
  <si>
    <t>ISS Update  Record-Setting Science on Station</t>
  </si>
  <si>
    <t>On Friday, Feb. 1, Expedition 34 Commander Kevin Ford and Flight Engineers Tom Marshburn and Chris Hadfield wrapped up a week that included a 67 hours of science work aboard the International Space Station, the greatest number of hours spent on science in one week by any Expedition crew so far. 
One important factor in reaching this milestone was the prioritization and coordination of station experiments by an international team headed by Vic Cooley, lead increment scientist. 
Cooley recently sat down with NASA Public Affairs Officer Brandi Dean in the station's Flight Control Room at the Mission Control Center in Houston to discuss his role as lead increment scientist and share some of the experiments performed by the Expedition 34 crew.
Remarking upon the wide range of experiments that utilize the unique environment of the station Cooley noted, "That is one of the neat things about my job; I get the chance to learn about just the beauty of science and the nature that surrounds all of us. ... I'm truly happy to be a part of that."</t>
  </si>
  <si>
    <t>juVkvcjE10o</t>
  </si>
  <si>
    <t>https://youtu.be/VuVBXJbgfPY</t>
  </si>
  <si>
    <t>ISS Update  Weekly Recap for Feb. 1, 2013</t>
  </si>
  <si>
    <t>The International Space Station weekly recap for Jan. 28 - Feb. 1, 2013</t>
  </si>
  <si>
    <t>VuVBXJbgfPY</t>
  </si>
  <si>
    <t>2013 01 31</t>
  </si>
  <si>
    <t>https://youtu.be/H66DDimfd8o</t>
  </si>
  <si>
    <t>EVA Systems Flight Controller Talks With Students</t>
  </si>
  <si>
    <t>From NASA's International Space Station Mission Control Center, EVA Systems Flight Controller Sandy Fletcher participates in a Digital Learning Network (DLN) event with students from Northtowne Elementary School in Columbus, Ohio. The DLN connects students and teachers with NASA experts and education specialists using online communication technologies like video/web conferencing and webcasting. Register for free, interactive events listed in the catalog or watch the webcasts.</t>
  </si>
  <si>
    <t>H66DDimfd8o</t>
  </si>
  <si>
    <t>https://youtu.be/K-PQE-VEdhc</t>
  </si>
  <si>
    <t>ISS Update  Capillary Flow Experiments-2</t>
  </si>
  <si>
    <t>NASA Public Affairs Officer Kelly Humphries interviews Dr. Mark Weislogel, Principal Investigator for the Capillary Flow Experiments-2 (CFE), from the Portland State University in Oregon. The CFE is a set of handheld experiments conducted by astronauts which observes the flow of liquids in microgravity using surface tension.</t>
  </si>
  <si>
    <t>K-PQE-VEdhc</t>
  </si>
  <si>
    <t>https://youtu.be/re2Uztpr6Hc</t>
  </si>
  <si>
    <t>ISS Update  ISTAR -- International Space Station Testbed for Analog Research</t>
  </si>
  <si>
    <t>NASA Public Affairs Officer Kelly Humphries interviews Sandra Fletcher, EVA Systems Flight Controller. They discuss the International Space Station Testbed for Analog Research (ISTAR) activity that mimics robotic and remotely controlled activities that may one day be used on a voyage to Mars. The station offers a unique platform to test future exploration systems and operations because it provides a long-duration, zero-gravity space environment and the opportunity to evaluate many factors not available in other analog missions.</t>
  </si>
  <si>
    <t>re2Uztpr6Hc</t>
  </si>
  <si>
    <t>https://youtu.be/sLIUV2k57oo</t>
  </si>
  <si>
    <t>ISS Update - Jan. 31, 2013</t>
  </si>
  <si>
    <t>The International Space Station update video for Jan. 31, 2013.</t>
  </si>
  <si>
    <t>sLIUV2k57oo</t>
  </si>
  <si>
    <t>2013 01 30</t>
  </si>
  <si>
    <t>https://youtu.be/8rpjoSlMGYg</t>
  </si>
  <si>
    <t>ISS Update  Studying Smart Fluids in Space</t>
  </si>
  <si>
    <t>Aboard the orbiting International Space Station, an experiment known as Investigating the Structure of Paramagnetic Aggregates from Colloidal Emulsions-3, or InSPACE-3, is providing researchers with new insights into smart fluids whose properties change when influenced by a magnetic field. 
The principal investigator for InSPACE-3, Dr. Eric Furst of the University of Delaware, recently joined NASA Public Affairs Officer Kelly Humphries in the Mission Control Center in Houston via telephone to discuss the science behind this experiment and its potential benefits. 
InSpace-3 takes a look at a magnetorheological fluid, which consists of microscopic particles suspended in water that quickly transitions to solid when a magnetic field is applied. Furst and his team are investigating the underlying phenomena of how these particles come together and assemble into structures and how to control the process. 
Performing this experiment in the station's microgravity environment prevents the particles from falling out of suspension. By eliminating that effect, the results from InSPACE-3 become easier to generalize and apply to particles of all different sizes. "What we're especially interested in are particles that are really small," noted Furst, "nanoparticles that we can't necessarily do experiments easily like this with anywhere." 
Furst foresees the knowledge gleaned from this investigation contributing to new technologies and new manufacturing processes based on the idea of having these nanoparticles act as self-assembling building blocks for larger structures. 
Questions? Ask us on Twitter @NASA_Johnson and include the hashtag #askStation.</t>
  </si>
  <si>
    <t>8rpjoSlMGYg</t>
  </si>
  <si>
    <t>https://youtu.be/2X6goDUNoiM</t>
  </si>
  <si>
    <t>ISS Update - Jan. 30, 2013</t>
  </si>
  <si>
    <t>The International Space Station update video for Jan. 30, 2013.</t>
  </si>
  <si>
    <t>2X6goDUNoiM</t>
  </si>
  <si>
    <t>2013 01 29</t>
  </si>
  <si>
    <t>https://youtu.be/d7NiO4PEi2A</t>
  </si>
  <si>
    <t>ISS Update - Jan. 29, 2013</t>
  </si>
  <si>
    <t>The International Space Station update video for Jan. 29, 2013.</t>
  </si>
  <si>
    <t>d7NiO4PEi2A</t>
  </si>
  <si>
    <t>2013 01 28</t>
  </si>
  <si>
    <t>https://youtu.be/jABL6bqdVzc</t>
  </si>
  <si>
    <t>ISS Update - Jan. 28, 2013</t>
  </si>
  <si>
    <t>The International Space Station update video for Jan. 28, 2013.</t>
  </si>
  <si>
    <t>jABL6bqdVzc</t>
  </si>
  <si>
    <t>2013 01 25</t>
  </si>
  <si>
    <t>https://youtu.be/_5XOoqxb6g8</t>
  </si>
  <si>
    <t>ISS Update  Robotic Refueling Mission Payload Overview</t>
  </si>
  <si>
    <t>Public Affairs Officer Kyle Herring talks by phone with Ben Reed, Deputy Project Manager of the Satellite Servicing Capabilities Office at Goddard Space Flight Center. They talk about the Robotic Refueling Mission (RRM) activities going on outside the International Space Station. The RRM is an experiment that uses Canadarm2 and Dextre to test techniques to service and refuel satellites to extend their original missions.</t>
  </si>
  <si>
    <t>_5XOoqxb6g8</t>
  </si>
  <si>
    <t>https://youtu.be/T9GqT6oZu6Y</t>
  </si>
  <si>
    <t>ISS Update  Weekly Recap for Jan. 25, 2013</t>
  </si>
  <si>
    <t>The International Space Station weekly recap video for Jan. 21-25, 2013.</t>
  </si>
  <si>
    <t>T9GqT6oZu6Y</t>
  </si>
  <si>
    <t>2013 01 24</t>
  </si>
  <si>
    <t>https://youtu.be/j7e16ECtZgY</t>
  </si>
  <si>
    <t>Associate ISS Program Scientist Talks With Students</t>
  </si>
  <si>
    <t>From NASA's International Space Station Mission Control Center, Associate ISS Program Scientist Pete Hasbrook participates in a Digital Learning Network (DLN) event with students from Clark Creek STEM Academy in Ackworth, Ga. The DLN connects students and teachers with NASA experts and education specialists using online communication technologies like video/web conferencing and webcasting. Register for free, interactive events listed in the catalog or watch the webcasts.</t>
  </si>
  <si>
    <t>j7e16ECtZgY</t>
  </si>
  <si>
    <t>https://youtu.be/JmXZgaMpDPw</t>
  </si>
  <si>
    <t>ISS Update - Jan. 24, 2013</t>
  </si>
  <si>
    <t>The International Space Station update video for Jan. 24, 2013.</t>
  </si>
  <si>
    <t>JmXZgaMpDPw</t>
  </si>
  <si>
    <t>2013 01 23</t>
  </si>
  <si>
    <t>https://youtu.be/wPCM623dutM</t>
  </si>
  <si>
    <t>ISS Update - Jan. 23, 2013</t>
  </si>
  <si>
    <t>The International Space Station update video for Jan. 23, 2013.</t>
  </si>
  <si>
    <t>wPCM623dutM</t>
  </si>
  <si>
    <t>2013 01 22</t>
  </si>
  <si>
    <t>https://youtu.be/2yM-TIcZ8mo</t>
  </si>
  <si>
    <t>ISS Update - Jan. 22, 2013</t>
  </si>
  <si>
    <t>The International Space Station update video for Jan. 22, 2013.</t>
  </si>
  <si>
    <t>2yM-TIcZ8mo</t>
  </si>
  <si>
    <t>2013 01 18</t>
  </si>
  <si>
    <t>https://youtu.be/QYv5nhKUBs8</t>
  </si>
  <si>
    <t>Expedition 35 36 Science Briefing</t>
  </si>
  <si>
    <t>Julie Robinson, ISS Program Scientist, discusses the research agenda for Expedition 35/36.</t>
  </si>
  <si>
    <t>QYv5nhKUBs8</t>
  </si>
  <si>
    <t>2013 01 17</t>
  </si>
  <si>
    <t>https://youtu.be/YUsdUvER8tM</t>
  </si>
  <si>
    <t>ISS Update - Jan. 17, 2013</t>
  </si>
  <si>
    <t>The International Space Station update video for Jan. 17, 2013.</t>
  </si>
  <si>
    <t>YUsdUvER8tM</t>
  </si>
  <si>
    <t>2013 01 16</t>
  </si>
  <si>
    <t>https://youtu.be/JVp0mY7JNOE</t>
  </si>
  <si>
    <t>Orion Exploration Mission-1 Animation</t>
  </si>
  <si>
    <t>Animation of the Orion spacecraft's Exploration Mission-1 in 2017. Exploration Mission-1 will be the first integrated flight test with both the Orion spacecraft and NASA's new Space Launch System.</t>
  </si>
  <si>
    <t>JVp0mY7JNOE</t>
  </si>
  <si>
    <t>https://youtu.be/ZNhuIedTTqI</t>
  </si>
  <si>
    <t>Bigelow Expandable Activity Module Installation Animation</t>
  </si>
  <si>
    <t>An animation of the Bigelow Expandable Activity Module's extraction and installation on the International Space Station.</t>
  </si>
  <si>
    <t>ZNhuIedTTqI</t>
  </si>
  <si>
    <t>2013 01 15</t>
  </si>
  <si>
    <t>https://youtu.be/wjfoDC_6Qsg</t>
  </si>
  <si>
    <t>ISS Update  Robotic Refueling Mission</t>
  </si>
  <si>
    <t>NASA Public Affairs Officer Josh Byerly conducts a phone interview with Benjamin Reed, Deputy Program Manager of NASA's Satellite Servicing Capabilities Office, about this week's Robotic Refueling Mission activities.</t>
  </si>
  <si>
    <t>wjfoDC_6Qsg</t>
  </si>
  <si>
    <t>https://youtu.be/aPkMf56YXtc</t>
  </si>
  <si>
    <t>ISS Update - Jan. 15, 2013</t>
  </si>
  <si>
    <t>The International Space Station update video for Jan. 15, 2013.</t>
  </si>
  <si>
    <t>aPkMf56YXtc</t>
  </si>
  <si>
    <t>2013 01 14</t>
  </si>
  <si>
    <t>https://youtu.be/iVDpESbzyLQ</t>
  </si>
  <si>
    <t>ISS Update  EarthKAM Mission</t>
  </si>
  <si>
    <t>Coming up at the end of January, students around the world will once again have an opportunity to remotely program a camera aboard the International Space Station and take photographs of the Earth through an educational outreach program known as Earth Knowledge Acquired by Middle School Students, or EarthKAM.
Diane Bowen, a teacher from Brunswick, Maine, recently joined NASA Public Affairs Officer Josh Byerly in the Mission Control Center in Houston via telephone to discuss her experiences with EarthKAM.
By controlling a special digital camera aboard the station, students can photograph the Earth's coastlines, mountain ranges and other geographic items of interest from the unique vantage point of space.  Bowen's students were able to capture images that showed the impacts of faulting, earthquakes, deforestation and other environmental changes.
 "We also got a picture of New Orleans right after Katrina, which was very sad," said Bowen, "but you could see the breaks in the levee ."
Students and teachers can visit the EarthKAM website to learn more about this program and sign up to participate in the upcoming mission. 
For more info, visit:
http://www.nasa.gov/station
https://earthkam.ucsd.edu/</t>
  </si>
  <si>
    <t>iVDpESbzyLQ</t>
  </si>
  <si>
    <t>https://youtu.be/zkgeELUO_2w</t>
  </si>
  <si>
    <t>ISS Update - Jan. 14, 2013</t>
  </si>
  <si>
    <t>The International Space Station update video for Jan. 14, 2013.</t>
  </si>
  <si>
    <t>zkgeELUO_2w</t>
  </si>
  <si>
    <t>2013 01 11</t>
  </si>
  <si>
    <t>https://youtu.be/87oRyH52q3g</t>
  </si>
  <si>
    <t>ISS Update  Adam Naids on Creating  NASA Johnson Style  -- 01.11.13</t>
  </si>
  <si>
    <t>The interview is preceded by the "NASA Johnson Style" video...
Public Affairs Officer Dan Huot talks to Adam Naids, Hardware Development Engineer, one of the creators of the successful "Gangnam Style" parody video "NASA Johnson Style." Featured on NASA's YouTube channel ReelNASA, the video has accumulated over 4 million views.</t>
  </si>
  <si>
    <t>87oRyH52q3g</t>
  </si>
  <si>
    <t>https://youtu.be/4ZdGkeL2rhg</t>
  </si>
  <si>
    <t>ISS Update  Weekly Recap for Jan. 11, 2013</t>
  </si>
  <si>
    <t>The International Space Station recap video for the week of Jan. 7-11, 2013.</t>
  </si>
  <si>
    <t>4ZdGkeL2rhg</t>
  </si>
  <si>
    <t>https://youtu.be/z4pg_edw2_A</t>
  </si>
  <si>
    <t>ISS Update  Final Week for Long Time Flight Director Paul Dye -- 01.11.13</t>
  </si>
  <si>
    <t>Public Affairs Officer Dan Huot sits down with Flight Director Paul Dye in the Station Flight Control Room. In his final week as a flight director, Dye discusses his experiences from the beginning with the shuttle program to his current role with the station program.
Paul Dye began his career at NASA as a student from the University of Minnesota. He already had a commercial pilot's license and was an experienced diver before being hired as a flight controller. Dye describes the flight director's role as a leadership position rather than a management position. In Mission Control, Dye says a flight controller's two main duties are "flight safety and mission success."
It was during STS-63, NASA's second mission to the Russian Mir space station, that Dye directed his first shuttle flight in 1995. He was flight director for 38 more missions and lead flight director during nine. He was also one of the flight directors for STS-135 in 2011, the final mission of the Space Shuttle Program.</t>
  </si>
  <si>
    <t>z4pg_edw2_A</t>
  </si>
  <si>
    <t>https://youtu.be/mWr0pUYyODM</t>
  </si>
  <si>
    <t>Meet the Students of NASA Johnson Style</t>
  </si>
  <si>
    <t>Meet the Students behind the NASA Johnson Style video, NASA's most popular web video ever. The video highlights activities at Johnson Space Center and uses footage of the International Space Station, Mission Control, and JSC's Rocket Park. The lead singer is Eric Sim, a North Carolina State University aerospace engineering student, who breaks into the famous "Gangnam Style" dance.</t>
  </si>
  <si>
    <t>mWr0pUYyODM</t>
  </si>
  <si>
    <t>2013 01 10</t>
  </si>
  <si>
    <t>https://youtu.be/CYl87KeObYo</t>
  </si>
  <si>
    <t>ISS Update  Students Test Their Satellite Control Skills -- 01.10.13</t>
  </si>
  <si>
    <t>Public Affairs Officer Dan Huot conducts a phone interview with Dr. Alvar Saenz-Otero from the Massachusetts Institute of Technology (MIT). Saenz-Otero is the lead scientist for the SPHERES-Zero-Robotics experiment.</t>
  </si>
  <si>
    <t>CYl87KeObYo</t>
  </si>
  <si>
    <t>https://youtu.be/NBPe-XSSACk</t>
  </si>
  <si>
    <t>ISS Update - Jan. 10, 2013</t>
  </si>
  <si>
    <t>The International Space Station update video for Jan. 10, 2013.</t>
  </si>
  <si>
    <t>NBPe-XSSACk</t>
  </si>
  <si>
    <t>2013 01 09</t>
  </si>
  <si>
    <t>https://youtu.be/lCJilxVH8e4</t>
  </si>
  <si>
    <t>Station Program Scientist Talks With Students</t>
  </si>
  <si>
    <t>From NASA's International Space Station Mission Control Center, Dr. Tara Ruttley, ISS Program Scientist,  participates in a Digital Learning Network (DLN) event with students from Clark Creek STEM Academy in Acworth, Ga. The DLN connects students and teachers with NASA experts and education specialists using online communication technologies like video/web conferencing and webcasting. Register for free, interactive events listed in the catalog or watch the webcasts.</t>
  </si>
  <si>
    <t>lCJilxVH8e4</t>
  </si>
  <si>
    <t>https://youtu.be/J2286bF4CG0</t>
  </si>
  <si>
    <t>ISS Update - Jan. 9, 2013</t>
  </si>
  <si>
    <t>The International Space Station update video for Jan. 9, 2013.</t>
  </si>
  <si>
    <t>J2286bF4CG0</t>
  </si>
  <si>
    <t>2013 01 08</t>
  </si>
  <si>
    <t>https://youtu.be/Uy6ScRS3XC0</t>
  </si>
  <si>
    <t>ISS Update - Jan. 8, 2013</t>
  </si>
  <si>
    <t>The International Space Station update video for Jan. 8, 2013.</t>
  </si>
  <si>
    <t>Uy6ScRS3XC0</t>
  </si>
  <si>
    <t>2013 01 07</t>
  </si>
  <si>
    <t>https://youtu.be/8ZqLNMGSRjY</t>
  </si>
  <si>
    <t>ISS Update  Robonaut 2</t>
  </si>
  <si>
    <t>ISS Update commentator Pat Ryan sits down with Dr. Ron Diftler, Robonaut 2 project lead, to discuss the tests going on aboard the International Space Station with Robonaut 2 and the future plans for the first dexterous humanoid robot in space. 
Designed and built through a partnership between NASA and General Motors, Robonaut was conceived to take on tasks deemed too dangerous or mundane for astronauts, perhaps even venturing outside the complex someday to assist spacewalkers. Robonaut's form and dexterity allow it to use the same tools as its human counterparts aboard the station and eliminates the need for specialized tools just for robots. 
Recently, Robonaut worked with its first tool aboard space station -- a handheld air flow meter.  Normally, astronauts collect air flow data by holding a wand and a meter in front of an air vent and relay that data to personnel on the ground by reporting the averages seen on the meter.  "Actually, a perfect job for a robot," as Diftler points out, because "nothing can hold something still better than a robot." As Robonaut performed this task, personnel on the ground were able to use Robonaut's eyes to see the meter and acquire real-time data for the first time.
The Robonaut team is now looking toward the future, with plans to eventually add climbing legs to the robot to provide it with the mobility needed to assist the crew both inside and outside the station. 
Questions? Ask us on Twitter @NASA_Johnson and include the hashtag #askStation.</t>
  </si>
  <si>
    <t>8ZqLNMGSRjY</t>
  </si>
  <si>
    <t>https://youtu.be/cykQ1vtyPkA</t>
  </si>
  <si>
    <t>ISS Update - Jan. 7, 2013</t>
  </si>
  <si>
    <t>The International Space Station update video for Jan. 7, 2013.</t>
  </si>
  <si>
    <t>cykQ1vtyPkA</t>
  </si>
  <si>
    <t>2013 01 04</t>
  </si>
  <si>
    <t>https://youtu.be/UVWLpx5IDcA</t>
  </si>
  <si>
    <t>ISS Update  Weekly Recap for Jan. 4, 2013</t>
  </si>
  <si>
    <t>The International Space Station recap video for the week of Dec. 31 2012 - Jan. 4, 2013.</t>
  </si>
  <si>
    <t>UVWLpx5IDcA</t>
  </si>
  <si>
    <t>2013 01 03</t>
  </si>
  <si>
    <t>https://youtu.be/52ANeHXvKPQ</t>
  </si>
  <si>
    <t>ISS Update - Jan. 3, 2013</t>
  </si>
  <si>
    <t>The International Space Station update video for Jan. 3, 2013.</t>
  </si>
  <si>
    <t>52ANeHXvKPQ</t>
  </si>
  <si>
    <t>2013 01 02</t>
  </si>
  <si>
    <t>https://youtu.be/HksVhjBHvI8</t>
  </si>
  <si>
    <t>ISS Update - Jan. 2, 2013</t>
  </si>
  <si>
    <t>The International Space Station update video for Jan. 2, 2013.</t>
  </si>
  <si>
    <t>HksVhjBHvI8</t>
  </si>
  <si>
    <t>2012 12 28</t>
  </si>
  <si>
    <t>https://youtu.be/MI8W0HS2I70</t>
  </si>
  <si>
    <t>New Year's Message From Space Station</t>
  </si>
  <si>
    <t>Commander Kevin Ford and Flight Engineers Chris Hadfield and Tom Marshburn of the International Space Station's Expedition 34 crew send down their best wishes for a happy new year.</t>
  </si>
  <si>
    <t>MI8W0HS2I70</t>
  </si>
  <si>
    <t>https://youtu.be/yCZew8p9O0Y</t>
  </si>
  <si>
    <t>ISS Update  Weekly Recap for Dec. 28, 2012</t>
  </si>
  <si>
    <t>The International Space Station Weekly Recap for Dec. 28, 2012.</t>
  </si>
  <si>
    <t>yCZew8p9O0Y</t>
  </si>
  <si>
    <t>2012 12 27</t>
  </si>
  <si>
    <t>https://youtu.be/j-j3RjQmmZ0</t>
  </si>
  <si>
    <t>ISS Update - Dec. 27, 2012</t>
  </si>
  <si>
    <t>The International Space Station update video for Dec. 27, 2012.</t>
  </si>
  <si>
    <t>j-j3RjQmmZ0</t>
  </si>
  <si>
    <t>2012 12 26</t>
  </si>
  <si>
    <t>https://youtu.be/pzEGn-P-id0</t>
  </si>
  <si>
    <t>Station Crew Celebrates Christmas</t>
  </si>
  <si>
    <t>Aboard the orbiting International Space Station, Expedition 34 Commander Kevin Ford, Russian Flight Engineers Oleg Novitskiy, Evgeny Tarelkin and Roman Romanenko, NASA Flight Engineer Tom Marshburn and Canadian Space Agency Chris Hadfield celebrated Christmas on the orbital laboratory Dec. 25, 2012 through song and downlink messages of cheer for flight controllers on the ground.  The crew spent Christmas enjoying a joint meal with one another, sharing holiday greetings with their families in private conferences and soaking up the view of the Earth from the outpost.</t>
  </si>
  <si>
    <t>pzEGn-P-id0</t>
  </si>
  <si>
    <t>https://youtu.be/7BeyCjpB3_Y</t>
  </si>
  <si>
    <t>ISS Update - Dec. 26, 2012</t>
  </si>
  <si>
    <t>The International Space Station video update for Dec. 26, 2012.</t>
  </si>
  <si>
    <t>7BeyCjpB3_Y</t>
  </si>
  <si>
    <t>2012 12 21</t>
  </si>
  <si>
    <t>https://youtu.be/PfQsFMRCrBQ</t>
  </si>
  <si>
    <t>Expedition 34 Welcomes New Trio</t>
  </si>
  <si>
    <t>The Soyuz TMA-07M carrying new Expedition 34 crew members Chris Hadfield, Roman Romanenko and Tom Marshburn docked to the International Space Station's Rassvet module at 9:09 a.m. EST on Friday. The hatches between the Soyuz and the Rassvet module were opened at 11:37 a.m. and Expedition 34 Commander Kevin Ford and Flight Engineers Oleg Novitskiy and Evgeny Tarelkin welcomed their new crewmates aboard.</t>
  </si>
  <si>
    <t>PfQsFMRCrBQ</t>
  </si>
  <si>
    <t>https://youtu.be/eWliKjdsvoU</t>
  </si>
  <si>
    <t>Expedition 34 Crew Profile</t>
  </si>
  <si>
    <t>Learn more about Expedition 34 Commander Kevin Ford and Flight Engineers Oleg Novitskiy, Evgeny Tarelkin, Tom Marshburn, Roman Romanenko and Chris Hadfield during this video profile.</t>
  </si>
  <si>
    <t>eWliKjdsvoU</t>
  </si>
  <si>
    <t>2012 12 20</t>
  </si>
  <si>
    <t>https://youtu.be/zCgdN-rraFo</t>
  </si>
  <si>
    <t>Station Crew Training Integrator Talks With Students</t>
  </si>
  <si>
    <t>From NASA's International Space Station Mission Control Center, Expedition 34/35 Training Integrator Alicia Simpson participates in a Digital Learning Network (DLN) event with students from Christ the King School, Rutland, Vt. The DLN connects students and teachers with NASA experts and education specialists using online communication technologies like video/web conferencing and webcasting. Register for free, interactive events listed in the catalog or watch the webcasts.</t>
  </si>
  <si>
    <t>zCgdN-rraFo</t>
  </si>
  <si>
    <t>https://youtu.be/ll9i9pI1kbg</t>
  </si>
  <si>
    <t>ISS Update  How Canada and NASA Work Together to Support the Station</t>
  </si>
  <si>
    <t>NASA Public Affairs Officer Kelly Humphries interviews Tim Braithwaite, Canadian Space Agency (CSA) Liaison Office Manager. The CSA Liaison Office is a small office at the Johnson Space Center (JSC) and the manager works with the space station program to ensure the agencies are working and communicating effectively together.</t>
  </si>
  <si>
    <t>ll9i9pI1kbg</t>
  </si>
  <si>
    <t>https://youtu.be/tng5OEkw9mE</t>
  </si>
  <si>
    <t>ISS Update - Dec. 20, 2012</t>
  </si>
  <si>
    <t>The International Space Station video update for Dec. 20, 2012.</t>
  </si>
  <si>
    <t>tng5OEkw9mE</t>
  </si>
  <si>
    <t>2012 12 19</t>
  </si>
  <si>
    <t>https://youtu.be/xLYeZKDv0Ig</t>
  </si>
  <si>
    <t>ISS Update  Plants in Space</t>
  </si>
  <si>
    <t>NASA Public Affairs Officer Kelly Humphries talks with Camille Alleyne, International Space Station Program Scientist, about the plant research taking place aboard the station. Dr. Anna-Lisa Paul, a research associate professor from the University of Florida, joins the conversation by phone to discuss one of those experiments: the Transgenic Arabidopsis Gene Expression System , or TAGES.
TAGES uses genetically engineered plants with reporter genes that "report" back on the various reactions of the plants by using sensors sensitive to the stresses of spaceflight.  Changes in the plants can be monitored in real time while on orbit. The reporter genes are visualized as a green fluorescent glow by imaging systems built into the hardware carrying the experiment.
Plant research aboard the station has lead to a greater understanding of biological processes previously cloaked by gravity, and as researchers continue to gain new knowledge of how plants grow and develop at a molecular level, this insight also may lead to significant advances in agriculture production on Earth. 
The ability of plants to provide a source of food and recycle carbon dioxide into breathable oxygen also may prove critical for astronauts as NASA sends humans deeper into space than ever before.</t>
  </si>
  <si>
    <t>xLYeZKDv0Ig</t>
  </si>
  <si>
    <t>https://youtu.be/NIIuweV1JYw</t>
  </si>
  <si>
    <t>New Expedition 34 Trio Makes Final Preparations Before Launch</t>
  </si>
  <si>
    <t>Expedition 34 crew members Chris Hadfield, Roman Romanenko and Tom Marshburn are seen during final launch preparations to join orbiting crewmates Commander Kevin Ford, Oleg Novitskiy and Evgeny Tarelkin. They take a few moments to say goodbye to family and friends. The trio is also blessed by a Russian Orthodox priest when they leave crew quarters. They don their Sokol launch and entry suits before heading to the launch pad at Baikonur Cosmodrome, Kazakhstan. Finally, they meet mission officials who greet them before they climb into the Soyuz TMA-07M spacecraft. The station's newest trio launched at 7:12 a.m. EST (6:12 p.m. Baikonur time) Dec. 19, 2012.</t>
  </si>
  <si>
    <t>NIIuweV1JYw</t>
  </si>
  <si>
    <t>https://youtu.be/gKlL4ohKaDU</t>
  </si>
  <si>
    <t>New Trio Launches to Join Expedition 34</t>
  </si>
  <si>
    <t>The Soyuz TMA-07M spacecraft launched from the Baikonur Cosmodrome in Kazakhstan to the International Space Station at 7:12 a.m. EST on Wednesday, Dec. 19.</t>
  </si>
  <si>
    <t>gKlL4ohKaDU</t>
  </si>
  <si>
    <t>2012 12 18</t>
  </si>
  <si>
    <t>https://youtu.be/ROzCgKtsGTQ</t>
  </si>
  <si>
    <t>Commander Kevin Ford Offers Holiday Greetings from Space</t>
  </si>
  <si>
    <t>From 250 miles above the Earth Expedition 34 Commander Kevin Ford of NASA downlinked his holiday greetings from the Destiny laboratory on the International Space Station.</t>
  </si>
  <si>
    <t>ROzCgKtsGTQ</t>
  </si>
  <si>
    <t>https://youtu.be/U_e7lbeAv9Q</t>
  </si>
  <si>
    <t>Flight Engineer Chris Hadfield Offers Holiday Greetings from Russia (French version)</t>
  </si>
  <si>
    <t>Canadian Space Agency Flight Engineer Chris Hadfield offered his greetings from Russia before departing for the Baikonur Cosmodrome in Kazakhstan where he will launch Dec. 19 on a Soyuz TMA-07M spacecraft to join Expedition 34 on the station.</t>
  </si>
  <si>
    <t>U_e7lbeAv9Q</t>
  </si>
  <si>
    <t>https://youtu.be/wxDbL81pW70</t>
  </si>
  <si>
    <t>Flight Engineer Chris Hadfield Offers Holiday Greetings from Russia (English version)</t>
  </si>
  <si>
    <t>wxDbL81pW70</t>
  </si>
  <si>
    <t>https://youtu.be/HfuUFBQIdfg</t>
  </si>
  <si>
    <t>Flight Engineer Tom Marshburn Offers Holiday Greetings from Russia</t>
  </si>
  <si>
    <t>NASA Flight Engineer Tom Marshburn offered his greetings from Russia before departing for the Baikonur Cosmodrome in Kazakhstan where he will launch Dec. 19 on a Soyuz TMA-07M spacecraft to join Expedition 34 on the station.</t>
  </si>
  <si>
    <t>HfuUFBQIdfg</t>
  </si>
  <si>
    <t>https://youtu.be/jl2LgoCwypg</t>
  </si>
  <si>
    <t>ISS Update - Dec. 18, 2012</t>
  </si>
  <si>
    <t>The International Space Station video update for Dec. 18, 2012.</t>
  </si>
  <si>
    <t>jl2LgoCwypg</t>
  </si>
  <si>
    <t>2012 12 17</t>
  </si>
  <si>
    <t>https://youtu.be/EbQrLoFiutk</t>
  </si>
  <si>
    <t>ISS Update  Integrating International Training for the Crew</t>
  </si>
  <si>
    <t>NASA Public Affairs Officer Kelly Humphries interviews Alicia Simpson, Expedition 34/35 Training Integrator, about organizing the international training required for station crew members. Station crews learn everything from Russian station systems, Canadian robotics to Japanese experiments.
Simpson works with the International Partners building a training plan that lasts about 2 ½ years for crew members. Expedition crews train all over the world in places such as Russia, America, Japan, Europe and Canada.
Simpson says that orbiting crew members often report back saying living and working in space is just like their training experiences. She works for United Space Alliance and has worked for both the Shuttle and Station programs.</t>
  </si>
  <si>
    <t>EbQrLoFiutk</t>
  </si>
  <si>
    <t>https://youtu.be/uIL9CStXN0c</t>
  </si>
  <si>
    <t>ISS Update - Dec. 17, 2012</t>
  </si>
  <si>
    <t>The International Space Station video update for Dec. 17, 2012.</t>
  </si>
  <si>
    <t>uIL9CStXN0c</t>
  </si>
  <si>
    <t>2012 12 14</t>
  </si>
  <si>
    <t>https://youtu.be/Nzm3aaxTXUs</t>
  </si>
  <si>
    <t>Environmental Scientist Chemist Dan Gazda Speaks With Students</t>
  </si>
  <si>
    <t>From NASA's International Space Station Mission Control Center, Environmental Scientist/Chemist Dan Gazda participates in a Digital Learning Network (DLN) event with students at from St. Peter's Prep High School, Jersey City, New Jersey. The DLN connects students and teachers with NASA experts and education specialists using online communication technologies like video/web conferencing and webcasting. Register for free, interactive events listed in the catalog or watch the webcasts.</t>
  </si>
  <si>
    <t>Nzm3aaxTXUs</t>
  </si>
  <si>
    <t>https://youtu.be/vPHM-rR4wN4</t>
  </si>
  <si>
    <t>iSS</t>
  </si>
  <si>
    <t>Learn more about NASA:- www.nasa.gov
Learn more about the International Space Station: http://www.nasa.gov/station
Sign up to get space station sighting information sent to you: spotthestation.nasa.gov/
Are you a student? Check out:     JSC Students-    www.facebook.com/nasa.jsc.students
                                                   www.twitter.com/nasajscstudents
Students at Johnson Space Center sit down and talk about the extraordinary feat of engineering called the International Space Station. This football-sized castle in space is the home of astronauts and cosmonauts that conduct scientific experiments for the benefit of the human race.</t>
  </si>
  <si>
    <t>vPHM-rR4wN4</t>
  </si>
  <si>
    <t>https://youtu.be/scO2FD-Ku2o</t>
  </si>
  <si>
    <t xml:space="preserve">ISS Update  Nutrition Manager Talks About Children's Book  Space Nutrition </t>
  </si>
  <si>
    <t>NASA Public Affairs Officer Brandi Dean interviews Scott Smith, Manager of Nutritional Biochemistry at Johnson Space Center, about the children's book he co-authored called "Space Nutrition." The book talks about the history of spaceflight, the various space programs and of course space food.
Smith talks about how the project developed from a newsletter with illustrations to a children's book. In the book he introduces the "scientific method" and highlights current space experiments and various nutrients and vitamins.
Smith says the book is useful for 5th -- 8th graders who are curious about what's going on in space. There is also a teacher's guide to adapt the material for the classroom. However, the author wants the book to be helpful to everyone.
The book is available in two forms: a PDF document version and an interactive iBook version for use on iPads. Both can be accessed for free at: 
http://www.nasa.gov/centers/johnson/slsd/about/divisions/hacd/education/kids-zone.html
The interactive iBook is also directly available for free at iTunes: 
http://itunes.apple.com/us/book/space-nutrition/id515790608?ls=1</t>
  </si>
  <si>
    <t>scO2FD-Ku2o</t>
  </si>
  <si>
    <t>https://youtu.be/xEaPpLW_ybY</t>
  </si>
  <si>
    <t>Expedition 34 Crew Prepares for Soyuz Launch</t>
  </si>
  <si>
    <t>At the Baikonur Cosmodrome in Kazakhstan, Tom Marshburn of NASA, Roman Romanenko of the Russian Federal Space Agency and Chris Hadfield of the Canadian Space Agency prepare for their Dec. 19 launch aboard the Soyuz TMA-07M spacecraft to join their Expedition 34 crewmates on the International Space Station.</t>
  </si>
  <si>
    <t>xEaPpLW_ybY</t>
  </si>
  <si>
    <t>https://youtu.be/2Sar5WT76kE</t>
  </si>
  <si>
    <t>NASA Johnson Style (Gangnam Style Parody)</t>
  </si>
  <si>
    <t>Learn more about NASA: http://www.nasa.gov
Learn more about the International Space Station: http://www.nasa.gov/station
Sign up to get space station sighting information sent to you: http://spotthestation.nasa.gov/
For students interested in NASA Johnson Space Center:
http://www.facebook.com/nasa.jsc.students
http://www.twitter.com/nasajscstudents
NASA Johnson Style is a volunteer outreach video project created by the students of NASA's Johnson Space Center. It was created as an educational parody of Psy's Gangnam Style. The lyrics and scenes in the video have been re-imagined in order to inform the public about the amazing work going on at NASA and the Johnson Space Center.
To Learn About The Students Who Created "NASA Johnson Style" visit:
http://www.nasa.gov/centers/johnson/home/jsc_gangnam_style.html
Special thanks to astronauts Tracy Caldwell Dyson, Mike Massimino and Clay Anderson 
Special thanks to Mr. Mike Coats, Dr. Ellen Ochoa, and all supporting senior staff members
"NASA Johnson Style" Lyrics: 
NASA Johnson Style
Johnson Style
Welcome to NASA's Johnson Space Center
We are coming in hot so don't burn up as we enter
We do science everyday that affects your daily life
Throw them up for manned space flight
Science everywhere
As we engineer the marvels
That fly though the air 
And take us way beyond earth's levels
Science everywhere 
Because we engineer the marvels
That fly though the air 
Flys us through the air
Control the mission out of Johnson
This is ground, hey!
And this is space, hey!
Tell me Houston what's the problem 
It's okay!
It's okay!
Because there's flight controllers on the job today 
NASA Johnson STYLE!
Johnson STYLE!
NA, NA, NA, NA NASA Johnson STYLE!
Johnson STYLE!
NA, NA, NA, NA NASA Johnson STYLE!
EYYYYYY science daily!
NA, NA, NA, NA, NASA STYLE!
EYYYYYY it's amazing!
NA, NA, NA, NA ey ey ey ey ey ey!!
Orbiting earth, international space station
Where we work and live in space with a crew from several nations
Got Japanese, and Russians, that European charm 
Throw them up, like the Canada Arm
Kicking out research
29k cubic feet, revolves around the earth
Science microgravity, revolves around the earth
Columbus, JEM, and Destiny
Kicking out research
Kicking out research
Train the astronauts at Johnson
To go to space, hey!
To go to space, hey! 
Cause the missions of tomorrow 
Start today, hey!
Start today, hey!
As we engineer the future day by day
NASA Johnson STYLE!
Johnson STYLE!
NA, NA, NA, NA NASA Johnson STYLE!
Johnson STYLE!
NA, NA, NA, NA NASA Johnson STYLE!
EYYYYYY science daily!
NA, NA, NA, NA, NASA STYLE!
EYYYYYY it's amazing!
NA, NA, NA, NA ey ey ey ey ey ey!!
Orion or SLS, MPCV 
We cannot feel the floor, cause the lack gravity
The destinations are an asteroid, mars, or moon 
We are blasting off start the countdown soon
[Sound clip: launch countdown]
EYYYYYY science daily!
NA, NA, NA, NA, NASA STYLE!
EYYYYYY it's amazing!
NA, NA, NA, NA ey ey ey ey ey ey!!
NASA Johnson Style</t>
  </si>
  <si>
    <t>2Sar5WT76kE</t>
  </si>
  <si>
    <t>https://youtu.be/lD3YK5W_GEE</t>
  </si>
  <si>
    <t>ISS Update  Weekly Recap for Dec. 14, 2012</t>
  </si>
  <si>
    <t>The International Space Station Weekly Recap for Dec. 14, 2012.</t>
  </si>
  <si>
    <t>lD3YK5W_GEE</t>
  </si>
  <si>
    <t>2012 12 13</t>
  </si>
  <si>
    <t>https://youtu.be/8sWDEmYuiRQ</t>
  </si>
  <si>
    <t>ISS Update - Dec. 13, 2012</t>
  </si>
  <si>
    <t>The International Space Station video update for Dec. 13, 2012.</t>
  </si>
  <si>
    <t>8sWDEmYuiRQ</t>
  </si>
  <si>
    <t>https://youtu.be/Fsdis4DRxDA</t>
  </si>
  <si>
    <t>ISS Update  SPHERES with Telerobotics Project Manager Terry Fong</t>
  </si>
  <si>
    <t>NASA Public Affairs Officer Brandi Dean talks with Terry Fong, Telerobotics Project Manager, about how the Synchronized Position, Hold, Engage and Reorient Experimental Satellites, or SPHERES, are being used for a Human Exploration Telerobotics test. 
Questions? Ask us on Twitter @NASA_Johnson and include the hashtag #askStation.</t>
  </si>
  <si>
    <t>Fsdis4DRxDA</t>
  </si>
  <si>
    <t>2012 12 12</t>
  </si>
  <si>
    <t>https://youtu.be/7__bPjpgmJA</t>
  </si>
  <si>
    <t>ISS Update - Dec. 12, 2012</t>
  </si>
  <si>
    <t>The International Space Station video update for Dec. 12, 2012.</t>
  </si>
  <si>
    <t>7__bPjpgmJA</t>
  </si>
  <si>
    <t>2012 12 11</t>
  </si>
  <si>
    <t>https://youtu.be/UqCeche3Mqw</t>
  </si>
  <si>
    <t>ISS Update - Dec. 11, 2012</t>
  </si>
  <si>
    <t>The International Space Station video update for Dec. 11, 2012.</t>
  </si>
  <si>
    <t>UqCeche3Mqw</t>
  </si>
  <si>
    <t>2012 12 10</t>
  </si>
  <si>
    <t>https://youtu.be/8-KaQ0TtebI</t>
  </si>
  <si>
    <t>ISS Update - Dec. 10, 2012</t>
  </si>
  <si>
    <t>The International Space Station video update for Dec. 10, 2012.</t>
  </si>
  <si>
    <t>8-KaQ0TtebI</t>
  </si>
  <si>
    <t>2012 12 07</t>
  </si>
  <si>
    <t>https://youtu.be/9fYOcspAxPI</t>
  </si>
  <si>
    <t>ISS Update  Kennedy Space Center Director Robert Cabana</t>
  </si>
  <si>
    <t>NASA Public Affairs Officer Kyle Herring talks with Robert Cabana, Kennedy Space Center Director, about his career over the years with NASA and the space agency's future.
Selected as an astronaut by NASA in June 1985, Cabana is a veteran of four shuttle flights, including STS-41, STS-53, STS-65 and STS-88. He has also held a variety of management positions at NASA, including Chief of NASA's Astronaut Office, Deputy Director of the Johnson Space Center, Director of the Stennis Space Center and Director of Kennedy Space Center.
He also talked about the future of human spaceflight including the transition from the space shuttle program to the Commercial Crew Program, as well as NASA's progress with the Orion program.
Read more about Robert Cabana: http://www.jsc.nasa.gov/Bios/htmlbios/cabana.html
Questions? Ask us on Twitter @NASA_Johnson and include the hashtag #askStation.</t>
  </si>
  <si>
    <t>9fYOcspAxPI</t>
  </si>
  <si>
    <t>https://youtu.be/oU-A5NPZiQw</t>
  </si>
  <si>
    <t>ISS Update  Weekly Recap for Dec. 7, 2012</t>
  </si>
  <si>
    <t>The International Space Station Weekly Recap for Dec. 7, 2012.</t>
  </si>
  <si>
    <t>oU-A5NPZiQw</t>
  </si>
  <si>
    <t>https://youtu.be/erwprCm_WCE</t>
  </si>
  <si>
    <t>ISS Update  Interview with Expedition 34 Flight Engineer Expedition 35 Commander Chris Hadfield</t>
  </si>
  <si>
    <t>NASA Public Affairs Officer Kyle Herring conducts a telephone interview Dec. 4, 2012, with Canadian Space Agency astronaut and Expedition 34 Flight Engineer Chris Hadfield.
A new Expedition 34 trio is scheduled to launch Dec. 19 from Baikonur Cosmodrome, Kazakhstan, and join their orbiting crewmates on the International Space Station. Joining Hadfield for their launch aboard the Soyuz TMA-07M spacecraft are Flight Engineers Roman Romanenko and Tom Marshburn.
Hadfield will also become Expedition 35 commander when Expedition 34 crew members Kevin Ford, Oleg Novitskiy and Evgeny Tarelkin undock in their Soyuz TMA-06M spacecraft in March. Hadfield will be Canada's first commander of the space station.</t>
  </si>
  <si>
    <t>erwprCm_WCE</t>
  </si>
  <si>
    <t>2012 12 06</t>
  </si>
  <si>
    <t>https://youtu.be/9LbZYdwJ1AQ</t>
  </si>
  <si>
    <t>ISS Update  Interview with Expedition 34 35 Flight Engineer Tom Marshburn</t>
  </si>
  <si>
    <t>NASA Public Affairs Officer Kyle Herring conducts a telephone interview Dec. 3, 2012, with NASA astronaut and Expedition 34 Flight Engineer Tom Marshburn.
A new Expedition 34 trio is scheduled to launch Dec. 19 from Baikonur Cosmodrome, Kazakhstan, and join their orbiting crewmates on the International Space Station. Joining Marshburn for their launch aboard the Soyuz TMA-07M spacecraft are Flight Engineers Chris Hadfield and Roman Romanenko.
Marshburn will stay behind and become an Expedition 35 flight engineer when Expedition 34 crew members Kevin Ford, Oleg Novitskiy and Evgeny Tarelkin undock in their Soyuz TMA-06M spacecraft in March.</t>
  </si>
  <si>
    <t>9LbZYdwJ1AQ</t>
  </si>
  <si>
    <t>https://youtu.be/FuAtgQGSzL8</t>
  </si>
  <si>
    <t>ISS Update  Orion Recovery and Rescue Lead Tom Walker</t>
  </si>
  <si>
    <t>NASA Public Affairs Officer Brandi Dean talks with Tom Walker, Orion Recovery and Rescue Lead, about how the Neutral Buoyancy Laboratory (NBL) is being used to train rescue and recovery personnel for Orion capsule water recovery operations.
Orion's Exploration Flight Test 1 mission, set for 2014, will see an unmanned Orion capsule launch then land in the ocean off of the coast of Baja, Calif. The recovery operation calls for the capsule to be pulled out of the water and on to a ship, and then brought back to port. The first crewed test flight, currently set for 2021, will involve rescue operations in addition to the capsule recovery.   
The NBL training helps the rescue and recovery team develop new equipment and as well as rescue and recovery methods.
Questions? Ask us on Twitter @NASA_Johnson and include the hashtag #askStation.</t>
  </si>
  <si>
    <t>FuAtgQGSzL8</t>
  </si>
  <si>
    <t>https://youtu.be/yxgxUOuq9jo</t>
  </si>
  <si>
    <t>ISS Update  NBL Orion Flight Lead Tim Goddard</t>
  </si>
  <si>
    <t>NASA Public Affairs Officer Brandi Dean talks with Tim Goddard, Neutral Buoyancy Laboratory (NBL) Orion Flight Lead, about how the NBL is used to train rescue and recovery personnel for future Orion missions.
The NBL is basically a giant swimming pool that NASA team members use to develop flight procedures, verify hardware compatibility, train astronauts and refine spacewalk procedures during flight that are necessary to ensure mission success.
The NBL is currently being used to train rescue and recovery personnel for Orion capsule water recovery operations.
Questions? Ask us on Twitter @NASA_Johnson and include the hashtag #askStation.</t>
  </si>
  <si>
    <t>yxgxUOuq9jo</t>
  </si>
  <si>
    <t>https://youtu.be/kEr08rxpvoo</t>
  </si>
  <si>
    <t>Astronaut Alvin Drew Speaks With Phoenix Students</t>
  </si>
  <si>
    <t>From NASA's International Space Station Mission Control Center, NASA astronaut Alvin Drew participates in a Digital Learning Network (DLN) event with students at Monterey Park in Phoenix. The DLN connects students and teachers with NASA experts and education specialists using online communication technologies like video/web conferencing and webcasting. Register for free, interactive events listed in the catalog or watch the webcasts. http://dln.nasa.gov</t>
  </si>
  <si>
    <t>kEr08rxpvoo</t>
  </si>
  <si>
    <t>https://youtu.be/GCLnpUiNUVw</t>
  </si>
  <si>
    <t>ISS Update - Dec. 6, 2012</t>
  </si>
  <si>
    <t>The International Space Station video update for Dec. 6, 2012.</t>
  </si>
  <si>
    <t>GCLnpUiNUVw</t>
  </si>
  <si>
    <t>https://youtu.be/HsFzBhIpqII</t>
  </si>
  <si>
    <t>Expedition 34 35 Crew Departs Star City</t>
  </si>
  <si>
    <t>Expedition 34/35 Soyuz Commander Roman Romanenko, NASA Flight Engineer Tom Marshburn and Canadian Space Agency Flight Engineer Chris Hadfield participated in traditional ceremonies at the Gagarin Cosmonaut Training Center in Star City, Russia outside Moscow Dec. 6. Afterward, they departed for the Baikonur Cosmodrome in Kazakhstan to complete training for their launch to the International Space Station in the Soyuz TMA-07M spacecraft Dec. 19.</t>
  </si>
  <si>
    <t>HsFzBhIpqII</t>
  </si>
  <si>
    <t>2012 12 04</t>
  </si>
  <si>
    <t>https://youtu.be/PBA0lIkBhtQ</t>
  </si>
  <si>
    <t>ISS Update - Dec. 4, 2012</t>
  </si>
  <si>
    <t>The International Space Station video update for Dec. 4, 2012.</t>
  </si>
  <si>
    <t>PBA0lIkBhtQ</t>
  </si>
  <si>
    <t>2012 12 03</t>
  </si>
  <si>
    <t>https://youtu.be/BDJbOkGI3Y8</t>
  </si>
  <si>
    <t>ISS Update - Dec. 3, 2012</t>
  </si>
  <si>
    <t>The International Space Station video update for Dec. 3, 2012.</t>
  </si>
  <si>
    <t>BDJbOkGI3Y8</t>
  </si>
  <si>
    <t>2012 11 30</t>
  </si>
  <si>
    <t>https://youtu.be/lpQjwlCnw7k</t>
  </si>
  <si>
    <t>ISS Update  Weekly Recap for Nov. 30, 2012</t>
  </si>
  <si>
    <t>The International Space Station Weekly Recap for Nov. 30, 2012.</t>
  </si>
  <si>
    <t>lpQjwlCnw7k</t>
  </si>
  <si>
    <t>2012 11 29</t>
  </si>
  <si>
    <t>https://youtu.be/H1NRIs7M-DE</t>
  </si>
  <si>
    <t>Expedition 34 35 Mission Overview</t>
  </si>
  <si>
    <t>Commander Kevin Ford leads Expedition 34 as the six-member crew conducts science and research that cannot be performed on Earth. Ford and the other five crew members Flight Engineers Oleg Novitskiy, Evgeny Tarelkin, Chris Hadfield, Roman Romanenko and Tom Marshburn, discuss the challenges and opportunities of living and working in space. Expedition 34/35 expects visits from a Russian and European cargo vehicle as well as two commercial cargo craft vehicles, the SpaceX Dragon and Orbital Sciences' Cygnus.</t>
  </si>
  <si>
    <t>H1NRIs7M-DE</t>
  </si>
  <si>
    <t>https://youtu.be/2oc1avweaeY</t>
  </si>
  <si>
    <t>Expedition 34 35 Crew Profile, Version 1</t>
  </si>
  <si>
    <t>Learn more about Flight Engineers Chris Hasfield, Roman Romanenko and Tom Marshburn of the International Space Station's Expedition 34/35 crew.  The trio is set to launch in December to join their Expedition 34 crewmates -- Commander Kevin Ford and Flight Engineers Oleg Novitskiy and Evgeny Tarelkin-- who have been aboard the station since Oct. 25.</t>
  </si>
  <si>
    <t>2oc1avweaeY</t>
  </si>
  <si>
    <t>https://youtu.be/I8q4ZVg6Nbw</t>
  </si>
  <si>
    <t>Expedition 34 35 Crew Members Visit Red Square and the Kremlin</t>
  </si>
  <si>
    <t>Space Station crew members Chris Hadfield, Roman Romanenko and Tom Marshburn placed flowers at the Kremlin Wall in Red Square in Moscow, Russia, as part of ceremonial activities leading to their launch to the International Space Station on Dec. 19 launch.</t>
  </si>
  <si>
    <t>I8q4ZVg6Nbw</t>
  </si>
  <si>
    <t>https://youtu.be/FOPZVavOHPo</t>
  </si>
  <si>
    <t>ISS Update - Nov. 29, 2012</t>
  </si>
  <si>
    <t>The International Space Station video update for Nov. 29, 2012.</t>
  </si>
  <si>
    <t>FOPZVavOHPo</t>
  </si>
  <si>
    <t>2012 11 28</t>
  </si>
  <si>
    <t>https://youtu.be/IQZU5BITfj8</t>
  </si>
  <si>
    <t>ISS Update - Nov. 28, 2012</t>
  </si>
  <si>
    <t>The International Space Station video update for Nov. 28, 2012.</t>
  </si>
  <si>
    <t>IQZU5BITfj8</t>
  </si>
  <si>
    <t>https://youtu.be/QVK_TWXgPMA</t>
  </si>
  <si>
    <t>Expedition 34 Final Training</t>
  </si>
  <si>
    <t>The Expedition 34 crew members conduct final training at the Gagarin Cosmonaut Training Center before their Dec. 19 launch to the International Space Station. Flight Engineers Chris Hadfield, Roman Romanenko and Tom Marshburn are in Star City, Russia, conducting Russian Soyuz and Russian segment qualification exams and simulations.</t>
  </si>
  <si>
    <t>QVK_TWXgPMA</t>
  </si>
  <si>
    <t>2012 11 27</t>
  </si>
  <si>
    <t>https://youtu.be/UodoCmLxK7g</t>
  </si>
  <si>
    <t>ISS Update - Nov. 27, 2012</t>
  </si>
  <si>
    <t>The International Space Station video update for Nov. 27, 2012.</t>
  </si>
  <si>
    <t>UodoCmLxK7g</t>
  </si>
  <si>
    <t>2012 11 26</t>
  </si>
  <si>
    <t>https://youtu.be/bzb0r_KHYYo</t>
  </si>
  <si>
    <t>ISS Update - Nov. 26, 2012</t>
  </si>
  <si>
    <t>The International Space Station video update for Nov. 26, 2012.</t>
  </si>
  <si>
    <t>bzb0r_KHYYo</t>
  </si>
  <si>
    <t>2012 11 21</t>
  </si>
  <si>
    <t>https://youtu.be/SMJ8wb4-uz8</t>
  </si>
  <si>
    <t>ISS Update - Nov. 21, 2012</t>
  </si>
  <si>
    <t>The International Space Station video update for Nov. 21, 2012.</t>
  </si>
  <si>
    <t>SMJ8wb4-uz8</t>
  </si>
  <si>
    <t>https://youtu.be/rbnipg_DsJk</t>
  </si>
  <si>
    <t>ISS Update  Packing and Preparing Space Food (Part 2)</t>
  </si>
  <si>
    <t>Public Affairs Officer Amiko Kauderer talks with NASA Food Scientist Vickie Kloeris at Johnson Space Center's Space Food Laboratory. They are inside the Packaging Room that filters out contaminants and packages food for the astronauts. Beverages, freeze-dried food and snacks such as cookies and M&amp;Ms are packaged here.</t>
  </si>
  <si>
    <t>rbnipg_DsJk</t>
  </si>
  <si>
    <t>https://youtu.be/mRkI2vorhD8</t>
  </si>
  <si>
    <t>ISS Update  Packing and Preparing Space Food (Part 1)</t>
  </si>
  <si>
    <t>Public Affairs Officer Amiko Kauderer talks with NASA Food Scientist Vickie Kloeris at Johnson Space Center's Space Food Laboratory. They talk about preparing a Thanksgiving dinner for the residents of the International Space Station.</t>
  </si>
  <si>
    <t>mRkI2vorhD8</t>
  </si>
  <si>
    <t>https://youtu.be/jbZ7lDlVeIo</t>
  </si>
  <si>
    <t>Station Tour  Cupola and Leonardo</t>
  </si>
  <si>
    <t>Expedition 33 Commander Suni Williams continues the tour of the International Space Station with a look at the station's observation deck, known as the cupola, as well as the Advanced Resistive Exercise Device in the Tranquility node, before heading into the Leonardo Permanent Multi-Purpose Module.
Harmony, Tranquility, Unity:
http://www.youtube.com/watch?v=tBVUTFPate0
Destiny, Columbus, Kibo:
http://www.youtube.com/watch?v=ntYP7cRozhk
Zarya and Zvezda:
http://www.youtube.com/watch?v=IJT0FMN_Ua0</t>
  </si>
  <si>
    <t>jbZ7lDlVeIo</t>
  </si>
  <si>
    <t>https://youtu.be/IJT0FMN_Ua0</t>
  </si>
  <si>
    <t>Station Tour  Zarya and Zvezda</t>
  </si>
  <si>
    <t>Expedition 33 Commander Suni Williams concludes her tour of the International Space Station with a visit to the Russian segment, which includes Zarya, the first segment of the station launched in 1998, and Zvezda, the central command post. She also takes a look at the Poisk and Rassvet modules where Soyuz spacecraft are docked.
Harmony, Tranquility, Unity:
http://www.youtube.com/watch?v=tBVUTFPate0
Destiny, Columbus, Kibo:
http://www.youtube.com/watch?v=ntYP7cRozhk
Cupola and Leonardo:
http://www.youtube.com/watch?v=jbZ7lDlVeIo</t>
  </si>
  <si>
    <t>IJT0FMN_Ua0</t>
  </si>
  <si>
    <t>2012 11 20</t>
  </si>
  <si>
    <t>https://youtu.be/ntYP7cRozhk</t>
  </si>
  <si>
    <t>Station Tour  Destiny, Columbus, Kibo</t>
  </si>
  <si>
    <t>Expedition 33 Commander Suni Williams continues the International Space Station tour with a look at the Destiny, Kibo and Columbus laboratory modules as well as the Quest airlock.
Harmony, Tranquility, Unity:
http://www.youtube.com/watch?v=tBVUTFPate0
Cupola and Leonardo:
http://www.youtube.com/watch?v=jbZ7lDlVeIo
Zarya and Zvezda:
http://www.youtube.com/watch?v=IJT0FMN_Ua0</t>
  </si>
  <si>
    <t>ntYP7cRozhk</t>
  </si>
  <si>
    <t>https://youtu.be/tBVUTFPate0</t>
  </si>
  <si>
    <t>Station Tour  Harmony, Tranquility, Unity</t>
  </si>
  <si>
    <t>Expedition 33 Commander Suni Williams starts off her tour of the International Space Station with a look at its nodes -- Harmony, Tranquility and Unity -- which include the crew's sleeping quarters and hygiene station.
Destiny, Columbus, Kibo:
http://www.youtube.com/watch?v=ntYP7cRozhk
Cupola and Leonardo:
http://www.youtube.com/watch?v=jbZ7lDlVeIo
Zarya and Zvezda:
http://www.youtube.com/watch?v=IJT0FMN_Ua0</t>
  </si>
  <si>
    <t>tBVUTFPate0</t>
  </si>
  <si>
    <t>https://youtu.be/ofTSZR3dC4g</t>
  </si>
  <si>
    <t>Expedition 34 Thanksgiving Message</t>
  </si>
  <si>
    <t>Expedition 34 Commander Kevin Ford shares a Thanksgiving message from the International Space Station. Ford demonstrates how the crew will spend the holiday on orbit and describes the menu he and his two crewmates will share on Thursday. Flight Engineers Oleg Novitskiy and Evgeny Tarelkin joined Ford to send their best wishes in Russian.</t>
  </si>
  <si>
    <t>ofTSZR3dC4g</t>
  </si>
  <si>
    <t>2012 11 19</t>
  </si>
  <si>
    <t>https://youtu.be/K758hr-hxGw</t>
  </si>
  <si>
    <t>ISS Update - Nov. 19, 2012</t>
  </si>
  <si>
    <t>The International Space Station video update for Nov. 19, 2012.</t>
  </si>
  <si>
    <t>K758hr-hxGw</t>
  </si>
  <si>
    <t>https://youtu.be/xZCpL50SyIE</t>
  </si>
  <si>
    <t>Expedition 33 Post-Landing Activities</t>
  </si>
  <si>
    <t>Expedition 33 Commander Suni Williams and Flight Engineers Aki Hoshide and Yuri Malenchenko are greeted by local and space officials at an airport in Kostanay, Kazakhstan, after completing their mission. They landed after 127 days in space and 125 days aboard the station on Sunday Nov. 18, 2012.</t>
  </si>
  <si>
    <t>xZCpL50SyIE</t>
  </si>
  <si>
    <t>https://youtu.be/aY84PEAZETE</t>
  </si>
  <si>
    <t>Expedition 33 Lands in the Snowy Steppe of Kazakhstan</t>
  </si>
  <si>
    <t>Expedition 33 Commander Suni Williams and Flight Engineers Aki Hoshide and Yuri Malenchenko undocked from the International Space Station in their Soyuz TMA-05M spacecraft at 5:26 p.m. EST Sunday Nov. 18, 2012. The trio landed just before sunrise in the snowy steppe of Kazakhstan at 8:56 p.m. Sunday (7:56 a.m. Monday, Kazakhstan time).</t>
  </si>
  <si>
    <t>aY84PEAZETE</t>
  </si>
  <si>
    <t>https://youtu.be/TVFy0OTPsuQ</t>
  </si>
  <si>
    <t>Expedition 33 Says Goodbye and Closes The Hatches</t>
  </si>
  <si>
    <t>Expedition 33 Commander Suni Williams and Flight Engineers Aki Hoshide and Yuri Malenchenko entered their Soyuz TMA-05M spacecraft to end their mission aboard the International Space Station on Sunday Nov. 18, 2012. Expedition 34 Commander Kevin Ford and Flight Engineers Oleg Novitskiy said goodbye to their home bound crewmates and closed the hatches betweeen the Soyuz and the station. They undocked and landed several hours later just before sunrise in the snowy steppe of Kazakhstan.</t>
  </si>
  <si>
    <t>TVFy0OTPsuQ</t>
  </si>
  <si>
    <t>https://youtu.be/15hN0cmoaYU</t>
  </si>
  <si>
    <t>Expedition 33 34 Change of Command Ceremony</t>
  </si>
  <si>
    <t>Expedition 33 Commander Suni Williams hands over station command to Expedition 34 Commander Kevin Ford in a ceremony that took place Saturday Nov. 17, 2012. Williams returned to Earth with two crewmates the following day landing in Kazakhstan inside the Soyuz TMA-05M spacecraft.</t>
  </si>
  <si>
    <t>15hN0cmoaYU</t>
  </si>
  <si>
    <t>2012 11 17</t>
  </si>
  <si>
    <t>https://youtu.be/d777X1E1ga8</t>
  </si>
  <si>
    <t>Expedition 33 34 Change of Command</t>
  </si>
  <si>
    <t>Expedition 33 Commander Suni Williams ceremonially handed over command of the International Space Station on Saturday to fellow NASA astronaut Kevin Ford on the eve of her departure from the complex along with Aki Hoshide of the Japan Aerospace Exploration Agency and Russian Soyuz Commander Yuri Malenchenko.</t>
  </si>
  <si>
    <t>d777X1E1ga8</t>
  </si>
  <si>
    <t>2012 11 16</t>
  </si>
  <si>
    <t>https://youtu.be/esbzReqv4ts</t>
  </si>
  <si>
    <t>ISS Update  NASA Astronaut Anna Fisher</t>
  </si>
  <si>
    <t>ISS Update Commentator Pat Ryan interviews Dr. Anna Fisher, NASA Astronaut, about her flight on STS-51A on the anniversary of its landing, her NASA history and current work. 
Dr. Anna Fisher began her career at NASA when she was selected as an astronaut candidate in 1978. She has worked for NASA in a variety of capacities over the years, including crew representative, mission specialist, Chief of the Space Station branch and CAPCOM.
Her first trip to space happened in 1984 aboard space shuttle Discovery on the STS-51A mission. Today marks the anniversary of the successful completion of that mission when Discovery landed at Kennedy Space Center in Florida. Fisher says that during that mission, the crew deployed two satellites and retrieved the Palapa B-2 and Westar VI satellites for return to Earth, making it the first space salvage mission in history.
Fisher says that becoming an astronaut has always been her dream job and was something she has wanted to do since she was 12 years old. 
Read more about Anna Fisher: 
http://www.jsc.nasa.gov/Bios/htmlbios/fisher-a.html</t>
  </si>
  <si>
    <t>esbzReqv4ts</t>
  </si>
  <si>
    <t>https://youtu.be/L2Wx5w9-KnQ</t>
  </si>
  <si>
    <t>Johnson Space Center 2012 Highlights</t>
  </si>
  <si>
    <t>The year has seen many highlights at NASA's Johnson Space Center, Houston in the realm of human spaceflight exploration, international and commercial partnerships, and research and technology development.</t>
  </si>
  <si>
    <t>L2Wx5w9-KnQ</t>
  </si>
  <si>
    <t>https://youtu.be/HX9l_DtrhIQ</t>
  </si>
  <si>
    <t>ISS Update  Weekly Recap for Nov. 16, 2012</t>
  </si>
  <si>
    <t>The International Space Station Weekly Recap for Nov. 16, 2012.</t>
  </si>
  <si>
    <t>HX9l_DtrhIQ</t>
  </si>
  <si>
    <t>2012 11 15</t>
  </si>
  <si>
    <t>https://youtu.be/CpLvIxrBEx0</t>
  </si>
  <si>
    <t>ISS Update - Nov. 15, 2012</t>
  </si>
  <si>
    <t>The International Space Station video update for Nov. 15, 2012.</t>
  </si>
  <si>
    <t>CpLvIxrBEx0</t>
  </si>
  <si>
    <t>2012 11 14</t>
  </si>
  <si>
    <t>https://youtu.be/9J-xkMH558E</t>
  </si>
  <si>
    <t>ISS Update  Station Crew Departure Preps</t>
  </si>
  <si>
    <t>As three Expedition 33 crew members spend their final week aboard the International Space Station preparing for their return to Earth, NASA astronaut Dan Burbank joined ISS Update commentator Pat Ryan at the PAO console in Mission Control Houston to explain the process. It's a topic near and dear to Burbank as he made that same journey April 27 after spending more than five months aboard the orbiting complex as an Expedition 29 flight engineer and commander of Expedition 30.
Expedition 33 Commander Suni Williams and Flight Engineers Aki Hoshide and Yuri Malenchenko are scheduled to undock from the station at 5:26 p.m. EST Sunday  aboard their Soyuz TMA-05M spacecraft and land in the steppe of Kazakhstan a little over three hours later. However before that happens, they will need to complete packing their gear, readying the vehicle and preparing themselves mentally for the return home.
As Burbank points out, returning to Earth after to living and working  in the unique environment of the space station requires some big adjustments. "You need to spend a little bit of time -- and it's hard to do because it's very busy in the last couple of weeks -- looking out the window, internalizing, writing to your personal hard drive, if you will, those experiences," said Burbank, "because pretty soon they're going to be behind you."</t>
  </si>
  <si>
    <t>9J-xkMH558E</t>
  </si>
  <si>
    <t>https://youtu.be/z5yxS7Wqd7A</t>
  </si>
  <si>
    <t>ISS Update - Nov. 14, 2012</t>
  </si>
  <si>
    <t>The International Space Station video update for Nov. 14, 2012.</t>
  </si>
  <si>
    <t>z5yxS7Wqd7A</t>
  </si>
  <si>
    <t>2012 11 13</t>
  </si>
  <si>
    <t>https://youtu.be/KfAluCg8Qb4</t>
  </si>
  <si>
    <t>ISS Update  Earth Knowledge Acquired by Middle School Students (EarthKAM)</t>
  </si>
  <si>
    <t>ISS Update commentator Pat Ryan talks to Brion Au, Earth Knowledge Acquired by Middle School Students (EarthKAM) Payload Developer, about the EarthKAM investigation being performed aboard the International Space Station this week. 
EarthKAM is a NASA education program that enables thousands of students to photograph and examine Earth from a space crew's perspective. Using the Internet, the students control a special digital camera mounted aboard the station. This enables them to photograph the Earth's coastlines, mountain ranges and other geographic items of interest from the unique vantage point of space. The team at EarthKAM then posts these photographs on the Internet for the public and participating classrooms around the world to view.
Au says that one of the things that makes EarthKAM so unique is that it is a science payload for students, controlled by students. He says that the students have direct control of the camera aboard the station. The images are not a result of someone else's research; these are images that the students have actually targeted via web page tools provided to them. The images are then sent to the students on the ground for study.
For more info on EarthKAM:
http://www.nasa.gov/mission_pages/station/research/experiments/EarthKAM.html
http://www.earthkam.ucsd.edu</t>
  </si>
  <si>
    <t>KfAluCg8Qb4</t>
  </si>
  <si>
    <t>https://youtu.be/ECwir9-jhoI</t>
  </si>
  <si>
    <t>ISS Update - Nov. 13, 2012</t>
  </si>
  <si>
    <t>The International Space Station video update for Nov. 13, 2012.</t>
  </si>
  <si>
    <t>ECwir9-jhoI</t>
  </si>
  <si>
    <t>2012 11 09</t>
  </si>
  <si>
    <t>https://youtu.be/mpXcdOQeSHg</t>
  </si>
  <si>
    <t>ISS Update - Nov. 9, 2012</t>
  </si>
  <si>
    <t>The International Space Station video update for Nov. 9, 2012.</t>
  </si>
  <si>
    <t>mpXcdOQeSHg</t>
  </si>
  <si>
    <t>2012 11 08</t>
  </si>
  <si>
    <t>https://youtu.be/BHuh4xoCziY</t>
  </si>
  <si>
    <t>ISS Update - Nov. 8, 2012</t>
  </si>
  <si>
    <t>The International Space Station video update for Nov. 8, 2012.</t>
  </si>
  <si>
    <t>BHuh4xoCziY</t>
  </si>
  <si>
    <t>2012 11 07</t>
  </si>
  <si>
    <t>https://youtu.be/EHf9Gy-hVAw</t>
  </si>
  <si>
    <t>ISS Update - Nov. 7, 2012</t>
  </si>
  <si>
    <t>The International Space Station video update for Nov. 7, 2012.</t>
  </si>
  <si>
    <t>EHf9Gy-hVAw</t>
  </si>
  <si>
    <t>2012 11 06</t>
  </si>
  <si>
    <t>https://youtu.be/BhU2a4RydlQ</t>
  </si>
  <si>
    <t>ISS Update  SPARTAN and the Spacewalk -- 11.06.12</t>
  </si>
  <si>
    <t>NASA Public Affairs Officer Kelly Humphries talks with Anthony Vareha, International Space Station SPARTAN flight controller. SPARTAN, short for Station Power Articulation and Thermal Analysis, is in charge of the station's electrical systems, the solar arrays and external thermal control systems.
SPARTAN was monitoring an ammonia leak on a photovoltaic radiator on the station's truss structure and noticed an increasing rate of flow. They worked with mission managers and other flight controllers to identify a way to bypass the leak and ensure ongoing power for critical station systems.
Expedition 33 crew members Suni Williams and Aki Hoshide conducted a spacewalk on Nov. 1 to stop the flow and reroute the ammonia. SPARTAN is continuing to monitor the ammonia flow and evaluating if more troubleshooting is necessary.
Questions? Ask us on Twitter @NASA_Johnson and include the hashtag #askStation.</t>
  </si>
  <si>
    <t>BhU2a4RydlQ</t>
  </si>
  <si>
    <t>https://youtu.be/nP2M7HtnAKk</t>
  </si>
  <si>
    <t>ISS Update - Nov. 6, 2012</t>
  </si>
  <si>
    <t>The International Space Station video update for Nov. 6, 2012.</t>
  </si>
  <si>
    <t>nP2M7HtnAKk</t>
  </si>
  <si>
    <t>2012 11 05</t>
  </si>
  <si>
    <t>https://youtu.be/Gi9JaLp0iSc</t>
  </si>
  <si>
    <t>ISS Update - Nov. 5, 2012</t>
  </si>
  <si>
    <t>The International Space Station video update for Nov. 5, 2012.</t>
  </si>
  <si>
    <t>Gi9JaLp0iSc</t>
  </si>
  <si>
    <t>2012 11 02</t>
  </si>
  <si>
    <t>https://youtu.be/mCd1wFp-1Sk</t>
  </si>
  <si>
    <t>ISS Update  Weekly Recap for Nov. 2, 2012</t>
  </si>
  <si>
    <t>The International Space Station Weekly Recap for Nov. 2, 2012.</t>
  </si>
  <si>
    <t>mCd1wFp-1Sk</t>
  </si>
  <si>
    <t>2012 10 31</t>
  </si>
  <si>
    <t>https://youtu.be/s5WslVtLo1U</t>
  </si>
  <si>
    <t>ISS Update - Oct. 31, 2012</t>
  </si>
  <si>
    <t>The International Space Station video update for Oct. 31, 2012.</t>
  </si>
  <si>
    <t>s5WslVtLo1U</t>
  </si>
  <si>
    <t>https://youtu.be/IUS-WCbnULQ</t>
  </si>
  <si>
    <t>Russian Cargo Craft Launches</t>
  </si>
  <si>
    <t>The ISS Progress 49 cargo vehicle launched from the Baikonur Cosmodrome in Kazakhstan at 3:41 a.m. EDT Wednesday, heading for a docking to International Space Station at 9:33 a.m.</t>
  </si>
  <si>
    <t>IUS-WCbnULQ</t>
  </si>
  <si>
    <t>2012 10 30</t>
  </si>
  <si>
    <t>https://youtu.be/BqrfsdGENgA</t>
  </si>
  <si>
    <t>Post-Tropical Cyclone Sandy -- Oct. 30, 2012</t>
  </si>
  <si>
    <t>The International Space Station flies over post-tropical cyclone Sandy on Oct. 30, 2012, as it storms across the northeast United States.</t>
  </si>
  <si>
    <t>BqrfsdGENgA</t>
  </si>
  <si>
    <t>https://youtu.be/Atxa1LKyZAc</t>
  </si>
  <si>
    <t>ISS Update - Oct. 30, 2012</t>
  </si>
  <si>
    <t>The International Space Station video update for Oct. 30, 2012.</t>
  </si>
  <si>
    <t>Atxa1LKyZAc</t>
  </si>
  <si>
    <t>2012 10 29</t>
  </si>
  <si>
    <t>https://youtu.be/aLYn0vAwRVs</t>
  </si>
  <si>
    <t>Hurricane Sandy -- Pass 2, Oct. 29, 2012</t>
  </si>
  <si>
    <t>Hurricane Sandy was viewed Monday morning from the International Space Station as it orbited 260 miles above the Atlantic Ocean. Sandy had sustained winds of 90 miles an hour as the station passed above the storm.</t>
  </si>
  <si>
    <t>aLYn0vAwRVs</t>
  </si>
  <si>
    <t>https://youtu.be/b8OTeh80Er0</t>
  </si>
  <si>
    <t>ISS Update - Oct. 29, 2012</t>
  </si>
  <si>
    <t>The International Space Station video update for Oct. 29, 2012.</t>
  </si>
  <si>
    <t>b8OTeh80Er0</t>
  </si>
  <si>
    <t>https://youtu.be/surnSwajScc</t>
  </si>
  <si>
    <t>Hurricane Sandy -- Pass 1, Oct. 29, 2012</t>
  </si>
  <si>
    <t>surnSwajScc</t>
  </si>
  <si>
    <t>https://youtu.be/h5EckrNyGFk</t>
  </si>
  <si>
    <t>Dragon Released From Station</t>
  </si>
  <si>
    <t>The ground team at Mission Control Houston remotely commanded the station's robotic arm to uninstall Dragon from the Earth-facing port of the Harmony node at 7:19 a.m. EDT Sunday. Expedition 33 Commander Suni Williams removed the bolts and latches of the Common Berthing Mechanism that had secured the cargo craft to the station since Oct 10.
A set of programmed commands to Canadarm2 then maneuvered Dragon out to the 15-meter release point, where Williams and Flight Engineer Aki Hoshide ungrappled Dragon at 9:29 a.m. and backed the arm away.
The SpaceX Dragon cargo craft splashed down in the Pacific Ocean at 3:22 p.m. Sunday about 250 miles off the coast of Baja California, Mexico, marking a successful conclusion to the first contracted resupply mission to the International Space Station.</t>
  </si>
  <si>
    <t>h5EckrNyGFk</t>
  </si>
  <si>
    <t>2012 10 26</t>
  </si>
  <si>
    <t>https://youtu.be/FRyHrvkhkJo</t>
  </si>
  <si>
    <t>ISS Update  Science Aboard the Station -- 10.26.12</t>
  </si>
  <si>
    <t>NASA Public Affairs Officer Amiko Kauderer talks with Tara Rutley, Associate Program Scientist for International Space Station, about some of the science experiments performed by the Expedition 33 crew members aboard the station throughout the week.</t>
  </si>
  <si>
    <t>FRyHrvkhkJo</t>
  </si>
  <si>
    <t>https://youtu.be/pczVqGr-A3Y</t>
  </si>
  <si>
    <t>Station View of Hurricane Sandy -- Pass 2, Oct. 26, 2012</t>
  </si>
  <si>
    <t>A camera aboard the International Space Station captured this view of Hurricane Sandy on Oct. 26, 2012.</t>
  </si>
  <si>
    <t>pczVqGr-A3Y</t>
  </si>
  <si>
    <t>https://youtu.be/uDWYr1q51x4</t>
  </si>
  <si>
    <t>Station View of Hurricane Sandy -- Pass 1, Oct. 26, 2012</t>
  </si>
  <si>
    <t>uDWYr1q51x4</t>
  </si>
  <si>
    <t>https://youtu.be/R46sj822Xvo</t>
  </si>
  <si>
    <t>ISS Update  Weekly Recap for Oct. 26, 2012</t>
  </si>
  <si>
    <t>The International Space Station Weekly Recap for Oct. 26, 2012.</t>
  </si>
  <si>
    <t>R46sj822Xvo</t>
  </si>
  <si>
    <t>2012 10 25</t>
  </si>
  <si>
    <t>https://youtu.be/uk-a4LeUEZc</t>
  </si>
  <si>
    <t>Three new crew members joined their Expedition 33 crewmates after the hatches between the International Space Station and the Soyuz TMA-06M spacecraft opened at 11:08 a.m.EDT  Thursday. Flight Engineers Kevin Ford, Oleg Novitskiy and Evgeny Tarelkin join Commander Suni Williams and Flight Engineers Aki Hoshide and Yuri Malenchenko who've been residing at the orbital laboratory since July 17.</t>
  </si>
  <si>
    <t>uk-a4LeUEZc</t>
  </si>
  <si>
    <t>https://youtu.be/3g934mXdK8c</t>
  </si>
  <si>
    <t>Expedition 33 Soyuz Docks to Station</t>
  </si>
  <si>
    <t>The Soyuz capsule carrying the three Expedition 33/34 crew members docks to the International Space Station after its almost two-day journey from Earth.</t>
  </si>
  <si>
    <t>3g934mXdK8c</t>
  </si>
  <si>
    <t>2012 10 24</t>
  </si>
  <si>
    <t>https://youtu.be/Z_h6kCG3-zk</t>
  </si>
  <si>
    <t>ISS Update - Oct. 24, 2012</t>
  </si>
  <si>
    <t>The International Space Station video update for Oct. 24, 2012.</t>
  </si>
  <si>
    <t>Z_h6kCG3-zk</t>
  </si>
  <si>
    <t>2012 10 23</t>
  </si>
  <si>
    <t>https://youtu.be/QT-fyF-aSkI</t>
  </si>
  <si>
    <t>ISS Update - Oct. 23, 2012</t>
  </si>
  <si>
    <t>The International Space Station video update for Oct. 23, 2012.</t>
  </si>
  <si>
    <t>QT-fyF-aSkI</t>
  </si>
  <si>
    <t>https://youtu.be/Rmpcr8cWdKk</t>
  </si>
  <si>
    <t>New Trio Launches to Join Expedition 33</t>
  </si>
  <si>
    <t>Three new crew members are on their way to join their Expedition 33 crewmates onboard the International Space Station. They launched aboard the Soyuz TMA-06M spacecraft at 6:51 a.m. EDT (5:51 p.m. Baikonur time) Tuesday from the Baikonur Cosmodrome, Kazakhstan.
Flight Engineers Kevin Ford, Oleg Novitskiy and Evgeny Tarelkin will orbit the Earth for two days before docking to the Poisk module at 8:35 a.m. Thursday. The new trio will join Commander Suni Williams and Flight Engineers Aki Hoshide and Yuri Malenchenko who've been residing at the orbital laboratory since July 17</t>
  </si>
  <si>
    <t>Rmpcr8cWdKk</t>
  </si>
  <si>
    <t>2012 10 22</t>
  </si>
  <si>
    <t>https://youtu.be/bNiM2oLLAqI</t>
  </si>
  <si>
    <t>ISS Update - Oct. 22, 2012</t>
  </si>
  <si>
    <t>The International Space Station video update for Oct. 22, 2012.</t>
  </si>
  <si>
    <t>bNiM2oLLAqI</t>
  </si>
  <si>
    <t>https://youtu.be/FxAR1cZprZc</t>
  </si>
  <si>
    <t>Soyuz TMA-06M Rolls Out To Launch Site</t>
  </si>
  <si>
    <t>The Soyuz TMA-06M spacecraft and rocket are rolled out to the launch pad at site 31 at the Baikonur Cosmodrome in Kazakhstan.  NASA astronaut Kevin Ford, and Russian cosmonauts Oleg Novitskiy and Evgeny Tarelkin, are set to launch aboard the Soyuz on Oct. 23 for a five-month mission on the International Space Station.</t>
  </si>
  <si>
    <t>FxAR1cZprZc</t>
  </si>
  <si>
    <t>https://youtu.be/-o7KoAVHvqs</t>
  </si>
  <si>
    <t>Soyuz TMA-06M Spacecraft Mated to Rocket</t>
  </si>
  <si>
    <t>At the Integration Facility at the Baikonur Cosmodrome in Kazakhstan, the Soyuz TMA-06M spacecraft is mated to its Soyuz booster rocket. The Soyuz is being prepared for its launch to the International Space Station on Oct. 23.</t>
  </si>
  <si>
    <t>-o7KoAVHvqs</t>
  </si>
  <si>
    <t>2012 10 19</t>
  </si>
  <si>
    <t>https://youtu.be/WacisRqYiCM</t>
  </si>
  <si>
    <t>ISS Update  Update on Orbital Sciences Cargo Flights to Space Station</t>
  </si>
  <si>
    <t>NASA Public Affairs Officer Josh Byerly talks with Bruce Manners, a project executive for NASA's Commercial Orbital Transportation Services (COTS), about Orbital Sciences Corporation's work to provide cargo capability to the International Space Station.
Orbital is developing and qualifying a new launch vehicle called Antares to enable lower-cost COTS launches and the Cygnus cargo module. Antares will be launching from NASA's Wallops Flight Facility in Virginia.
Orbital plans to launch Antares on its first test flight by the end of this year. Orbital also will launch Cygnus atop an Antares rocket in 2013 for its first demonstration flight to the station.  Cygnus is designed to deliver cargo to the station then return to Earth filled with trash for destructive re-entry.</t>
  </si>
  <si>
    <t>WacisRqYiCM</t>
  </si>
  <si>
    <t>https://youtu.be/hsT_U3B5DHg</t>
  </si>
  <si>
    <t>ISS Update  Weekly Recap for Oct. 19, 2012</t>
  </si>
  <si>
    <t>The International Space Station Weekly Recap for Oct. 19, 2012.</t>
  </si>
  <si>
    <t>hsT_U3B5DHg</t>
  </si>
  <si>
    <t>2012 10 18</t>
  </si>
  <si>
    <t>https://youtu.be/eHIpTCbmk8A</t>
  </si>
  <si>
    <t>Expedition 33 34 Crew Prelaunch Activities</t>
  </si>
  <si>
    <t>Expedition 33/34 crew members Kevin Ford, Oleg Novitskiy and Evgeny Tarelkin participate in a variety of prelaunch activities at the Baikonur Cosmodrome in Kazakhstan. They are set to launch aboard their Soyuz TMA-06M spacecraft on Oct. 23 for a five-month mission on the International Space Station.</t>
  </si>
  <si>
    <t>eHIpTCbmk8A</t>
  </si>
  <si>
    <t>https://youtu.be/k9CWIh81Umo</t>
  </si>
  <si>
    <t>ISS Update - Oct. 18, 2012</t>
  </si>
  <si>
    <t>The International Space Station video update for Oct. 18, 2012.</t>
  </si>
  <si>
    <t>k9CWIh81Umo</t>
  </si>
  <si>
    <t>2012 10 17</t>
  </si>
  <si>
    <t>https://youtu.be/fx05H-wPizE</t>
  </si>
  <si>
    <t>ISS Update - Oct. 17 2012</t>
  </si>
  <si>
    <t>The International Space Station video update for Oct. 17, 2012.</t>
  </si>
  <si>
    <t>fx05H-wPizE</t>
  </si>
  <si>
    <t>2012 10 16</t>
  </si>
  <si>
    <t>https://youtu.be/FKBmO4Qsrv4</t>
  </si>
  <si>
    <t>ISS Update - Oct. 16, 2012</t>
  </si>
  <si>
    <t>The International Space Station video update for Oct. 16, 2012.</t>
  </si>
  <si>
    <t>FKBmO4Qsrv4</t>
  </si>
  <si>
    <t>https://youtu.be/Hi-fBxxBmek</t>
  </si>
  <si>
    <t>ISS Update  Capturing a Dragon</t>
  </si>
  <si>
    <t>NASA Public Affairs Officer Josh Byerly talks with Robotics Officer Melanie Miller about the Aug. 10 capture and installation of the SpaceX Dragon commercial cargo craft, a team effort by the International Space Station's Expedition 33 crew and robotics flight controllers at Mission Control Houston. 
Commander Suni Williams and Flight Engineer Aki Hoshide used the station's robotic arm, Canadarm2, to reach out and grapple Dragon as the cargo vehicle  flew within about 32 feet of the orbiting complex.  With Dragon securely in the grasp of Canadarm2, Miller and her team remotely operated the arm to guide the capsule to the Earth-facing side of the Harmony module for final installation by the station crew.
Reflecting upon the depth of her involvement with station robotics -- from training the crew before flight to participating in the robotic operations taking place on orbit -- Miller remarks, "It is an awesome privilege to be able to be certified to do this kind of job."
Questions? Ask us on Twitter @NASA_Johnson and include the hashtag #askStation.</t>
  </si>
  <si>
    <t>Hi-fBxxBmek</t>
  </si>
  <si>
    <t>https://youtu.be/lGvxVKr04VY</t>
  </si>
  <si>
    <t>NASA Safari 4 - Business at NASA</t>
  </si>
  <si>
    <t>Join the NASA JSC co-ops and interns on a journey around the Johnson Space Center. Along the way they highlight manned space flight projects and its future.</t>
  </si>
  <si>
    <t>lGvxVKr04VY</t>
  </si>
  <si>
    <t>https://youtu.be/im-XGJB2ygw</t>
  </si>
  <si>
    <t>NASA Safari 3 - Orion Multi Purpose Crew Vehicle</t>
  </si>
  <si>
    <t>im-XGJB2ygw</t>
  </si>
  <si>
    <t>https://youtu.be/9vZCz_90n3g</t>
  </si>
  <si>
    <t>NASA Safari 2 - Mission Control</t>
  </si>
  <si>
    <t>9vZCz_90n3g</t>
  </si>
  <si>
    <t>https://youtu.be/IWWtvzaKRXw</t>
  </si>
  <si>
    <t>NASA Safari 1 - An Introduction</t>
  </si>
  <si>
    <t>IWWtvzaKRXw</t>
  </si>
  <si>
    <t>2012 10 15</t>
  </si>
  <si>
    <t>https://youtu.be/kI21JD_x-cA</t>
  </si>
  <si>
    <t>ISS Update - Oct. 15, 2012</t>
  </si>
  <si>
    <t>The International Space Station video update for Oct. 15, 2012.</t>
  </si>
  <si>
    <t>kI21JD_x-cA</t>
  </si>
  <si>
    <t>2012 10 12</t>
  </si>
  <si>
    <t>https://youtu.be/fyLNkzc79Z8</t>
  </si>
  <si>
    <t>ISS Update  Weekly Recap for Oct. 12, 2012</t>
  </si>
  <si>
    <t>The International Space Station Weekly Recap for Oct. 12, 2012.</t>
  </si>
  <si>
    <t>fyLNkzc79Z8</t>
  </si>
  <si>
    <t>2012 10 11</t>
  </si>
  <si>
    <t>https://youtu.be/7FdYeNIzJr0</t>
  </si>
  <si>
    <t>ISS Update - Oct. 11, 2012</t>
  </si>
  <si>
    <t>The International Space Station video update for Oct. 11, 2012.</t>
  </si>
  <si>
    <t>7FdYeNIzJr0</t>
  </si>
  <si>
    <t>2012 10 10</t>
  </si>
  <si>
    <t>https://youtu.be/h8n0_w5CnTw</t>
  </si>
  <si>
    <t>Dragon Captured and Berthed to Station</t>
  </si>
  <si>
    <t>Expedition 33 Commander Suni Williams used the International Space Station's Canadarm2 robotic arm to install the SpaceX Dragon cargo ship to its docking port on the Earth-facing side of the Harmony node at 9:03 a.m. EDT Wednesday, Oct. 10. 
Earlier, working from the robotics workstation inside the cupola, Flight Engineer Aki Hoshide, with the assistance of Williams, captured the commercial cargo ship with the Canadian Space Agency-provided robotic arm at 6:56 a.m. as the spacecraft flew within about 32 feet of the orbiting complex.</t>
  </si>
  <si>
    <t>h8n0_w5CnTw</t>
  </si>
  <si>
    <t>https://youtu.be/1CO5sgMxbGI</t>
  </si>
  <si>
    <t>Station Crew Opens Dragon Hatch</t>
  </si>
  <si>
    <t>Expedition 33 Commander Suni Williams and Flight Engineer Aki Hoshide opened the hatch to the SpaceX Dragon cargo ship at 1:40 p.m. EDT Wednesday, Oct. 10, marking a milestone for the first commercial resupply mission to reach the International Space Station.</t>
  </si>
  <si>
    <t>1CO5sgMxbGI</t>
  </si>
  <si>
    <t>https://youtu.be/hYtOWxu4UFo</t>
  </si>
  <si>
    <t>ISS Update  Bill Gerstenmaier Interview -- 10.10.12</t>
  </si>
  <si>
    <t>NASA Public Affairs Officer Dan Huot interviews Bill Gerstenmaier, Associate Administrator for Human Exploration and Operations, about the SpaceX CRS-1 mission and the arrival of the Dragon capsule at the International Space Station.</t>
  </si>
  <si>
    <t>hYtOWxu4UFo</t>
  </si>
  <si>
    <t>https://youtu.be/3WdXNaYszys</t>
  </si>
  <si>
    <t>ISS Update - Oct. 10, 2012</t>
  </si>
  <si>
    <t>The International Space Station video update for Oct. 10, 2012.</t>
  </si>
  <si>
    <t>3WdXNaYszys</t>
  </si>
  <si>
    <t>2012 10 09</t>
  </si>
  <si>
    <t>https://youtu.be/hIDeOJNVzjE</t>
  </si>
  <si>
    <t>ISS Update - Oct. 9, 2012</t>
  </si>
  <si>
    <t>The International Space Station video update for Oct. 9, 2012.</t>
  </si>
  <si>
    <t>hIDeOJNVzjE</t>
  </si>
  <si>
    <t>https://youtu.be/LOqI32AhNs4</t>
  </si>
  <si>
    <t>Expedition 33 34 Crew Departs for Kazakh Launch Site</t>
  </si>
  <si>
    <t>Expedition 33/34 Soyuz Commander Oleg Novitskiy, NASA Flight Engineer Kevin Ford and Russian Flight Engineer Evgeny Tarelkin participated in traditional ceremonies at the Gagarin Cosmonaut Training Center in Star City, Russia outside Moscow Oct. 9. Afterward, they departed for the Baikonur Cosmodrome in Kazakhstan to complete training for their launch to the International Space Station in the Soyuz TMA-06M spacecraft Oct. 23. After arriving in Baikonur, they were scheduled to conduct a series of prelaunch activities over the next two weeks as they prepare for liftoff to the orbital outpost.</t>
  </si>
  <si>
    <t>LOqI32AhNs4</t>
  </si>
  <si>
    <t>2012 10 05</t>
  </si>
  <si>
    <t>https://youtu.be/QNli_cJt6YY</t>
  </si>
  <si>
    <t>Expedition 33 Crew Profile, Version 1</t>
  </si>
  <si>
    <t>Learn more about Flight Engineers Kevin Ford, Oleg Novitskiy and Evgeny Tarelkin of the International Space Station's Expedition 33 crew.  The trio is set to launch in October to join their Expedition 33 crewmates -- Commander Suni Williams and Flight Engineers Aki Hoshide and Yuri Malenchenko -- who have been aboard the station since July 17.</t>
  </si>
  <si>
    <t>QNli_cJt6YY</t>
  </si>
  <si>
    <t>https://youtu.be/rLwW4o5vacs</t>
  </si>
  <si>
    <t>ISS Update  Weekly Recap for Oct. 5, 2012</t>
  </si>
  <si>
    <t>The International Space Station Weekly Recap for Oct. 5, 2012.</t>
  </si>
  <si>
    <t>rLwW4o5vacs</t>
  </si>
  <si>
    <t>2012 10 04</t>
  </si>
  <si>
    <t>https://youtu.be/Nq6-OZyV4wE</t>
  </si>
  <si>
    <t>Astronaut Clay Anderson Speaks With S.C. Students</t>
  </si>
  <si>
    <t>From NASA's International Space Station Mission Control Center, NASA astronaut Clay Anderson participates in a Digital Learning Network (DLN) event with students at Crayton Middle School, Columbia, S.C. The DLN connects students and teachers with NASA experts and education specialists using online communication technologies like video/web conferencing and webcasting. Register for free, interactive events listed in the catalog or watch the webcasts. http://dln.nasa.gov</t>
  </si>
  <si>
    <t>Nq6-OZyV4wE</t>
  </si>
  <si>
    <t>https://youtu.be/IoNSlxWgnuU</t>
  </si>
  <si>
    <t>ISS Update - Oct. 4, 2012</t>
  </si>
  <si>
    <t>The International Space Station video update for Oct. 4, 2012.</t>
  </si>
  <si>
    <t>IoNSlxWgnuU</t>
  </si>
  <si>
    <t>2012 10 03</t>
  </si>
  <si>
    <t>https://youtu.be/ywPn7MMr4Yo</t>
  </si>
  <si>
    <t>ISS Update - Oct. 3, 2012</t>
  </si>
  <si>
    <t>The International Space Station video update for Oct. 3, 2012.</t>
  </si>
  <si>
    <t>ywPn7MMr4Yo</t>
  </si>
  <si>
    <t>2012 10 02</t>
  </si>
  <si>
    <t>https://youtu.be/Kh9j4cXbWLE</t>
  </si>
  <si>
    <t>ISS Update - Oct. 2, 2012</t>
  </si>
  <si>
    <t>The International Space Station video update for Oct. 2, 2012.</t>
  </si>
  <si>
    <t>Kh9j4cXbWLE</t>
  </si>
  <si>
    <t>2012 10 01</t>
  </si>
  <si>
    <t>https://youtu.be/9UaHd89lQnk</t>
  </si>
  <si>
    <t>Expedition 33 34 Mission Overview</t>
  </si>
  <si>
    <t>The work now under way on board the International Space Station is designed to support deep space exploration in the future and provide benefits on earth today. The Expedition 33 crew members are working on experiments in astrophysics and earth science, in education and in technology development, and in human physiology and performance. Suni Williams became Expedition 33 commander on Sept. 16. She and Flight Engineers Aki Hoshide and Yuri Malenchenko have been aboard the station since July 17.
A new crew is set to join Expedition 33 when Flight Engineers Kevin Ford, Oleg Novitskiy and Evgeny Tarelkin launch Oct. 23 aboard the Soyuz TMA-06M spacecraft. Read more about Expedition 33... http://go.nasa.gov/GDN7CG</t>
  </si>
  <si>
    <t>9UaHd89lQnk</t>
  </si>
  <si>
    <t>https://youtu.be/I03AFoafmV4</t>
  </si>
  <si>
    <t>ISS Update - Oct. 1, 2012</t>
  </si>
  <si>
    <t>The International Space Station video update for Oct. 1, 2012.</t>
  </si>
  <si>
    <t>I03AFoafmV4</t>
  </si>
  <si>
    <t>2012 09 28</t>
  </si>
  <si>
    <t>https://youtu.be/nt3sAAUQk9g</t>
  </si>
  <si>
    <t>ISS Update  Weekly Recap for Sept. 28, 2012</t>
  </si>
  <si>
    <t>The International Space Station Weekly Recap for Sept. 28, 2012.</t>
  </si>
  <si>
    <t>nt3sAAUQk9g</t>
  </si>
  <si>
    <t>2012 09 27</t>
  </si>
  <si>
    <t>https://youtu.be/P0_6XEx0_kA</t>
  </si>
  <si>
    <t>ISS Update  Logistics Reduction and Repurposing (Part 1)</t>
  </si>
  <si>
    <t>Public Affairs Officer Brandi Dean interviews Sarah Shull, Deputy Project Manager Logistics Reduction and Repurposing. Shull, who is with the Advanced Exploration Systems, discusses the Logistics to Living tests from the Deep Space Habitat mockup at Johnson Space Center. Watch Part 2 of  the interview... http://youtu.be/kYRKf_JBe3k</t>
  </si>
  <si>
    <t>P0_6XEx0_kA</t>
  </si>
  <si>
    <t>https://youtu.be/kYRKf_JBe3k</t>
  </si>
  <si>
    <t>ISS Update  Logistics Reduction and Repurposing (Part 2)</t>
  </si>
  <si>
    <t>Public Affairs Officer Brandi Dean interviews Sarah Shull, Deputy Project Manager Logistics Reduction and Repurposing. Shull, who is with the Advanced Exploration Systems, discusses the Logistics to Living tests from the Deep Space Habitat mockup at Johnson Space Center. Watch Part 1 of the interview... http://youtu.be/P0_6XEx0_kA</t>
  </si>
  <si>
    <t>kYRKf_JBe3k</t>
  </si>
  <si>
    <t>https://youtu.be/GWh35PwTdOo</t>
  </si>
  <si>
    <t>ISS Update - Sept. 27, 2012</t>
  </si>
  <si>
    <t>The International Space Station video update for Sept. 27, 2012.</t>
  </si>
  <si>
    <t>GWh35PwTdOo</t>
  </si>
  <si>
    <t>2012 09 26</t>
  </si>
  <si>
    <t>https://youtu.be/L4-RL4HwrKE</t>
  </si>
  <si>
    <t>ISS Update  JAXA Small Satellite Orbital Deployer</t>
  </si>
  <si>
    <t>ISS Update Commentator Pat Ryan interviews Dr. Victor Cooley, Exp. 33/34 Lead Increment Scientist, about the JAXA Small Satellite Orbital Deployer (SSOD) demonstration.
The SSOD was launched to the International Space Station aboard the Kounotori3 H-II Transfer Vehicle, or HTV-3, in July.  
During the SSOD demonstration, five small satellites will be launched into orbit using the station's robotic arm. The satellites are initially housed inside of the station and then loaded into the SSOD by Flight Engineer Aki Hoshide. Hoshide will then put the SSOD into an airlock, which is depressurized and exposed to the vacuum of space via an automatic door. Flight controllers will then use the robotic arm to grapple the SSOD in the airlock and move it out away from the station so the satellites can be deployed.
Questions? Ask us on Twitter @NASA_Johnson and include the hashtag #askStation.</t>
  </si>
  <si>
    <t>L4-RL4HwrKE</t>
  </si>
  <si>
    <t>https://youtu.be/4lABhbdKBVY</t>
  </si>
  <si>
    <t>ISS Update - Sept. 26, 2012</t>
  </si>
  <si>
    <t>The International Space Station video update for Sept. 26, 2012.</t>
  </si>
  <si>
    <t>4lABhbdKBVY</t>
  </si>
  <si>
    <t>2012 09 25</t>
  </si>
  <si>
    <t>https://youtu.be/a6LvSTZEvys</t>
  </si>
  <si>
    <t>Expedition 33 34 Crew Ceremonies in Moscow</t>
  </si>
  <si>
    <t>Expedition 33/34 Soyuz Commander Oleg Novitskiy and Flight Engineer Evgeny Tarelkin of the Russian Federal Space Agency and NASA Flight Engineer Kevin Ford participate in a variety of crew ceremonies in Moscow in advance of their launch to the International Space Station. Novitskiy, Ford and Tarelkin are scheduled to fly to the launch site at the Baikonur Cosmodrome in Kazakhstan Oct. 2 to prepare for their Oct. 23 liftoff in the Soyuz TMA-06M spacecraft. Also featured in the footage are backup crew members Pavel Vinogradov, Alexander Misurkin and NASA's Chris Cassidy.</t>
  </si>
  <si>
    <t>a6LvSTZEvys</t>
  </si>
  <si>
    <t>https://youtu.be/yFxecbe8XA8</t>
  </si>
  <si>
    <t>ISS Update - Sept. 25, 2012</t>
  </si>
  <si>
    <t>The International Space Station video update for Sept. 25, 2012.</t>
  </si>
  <si>
    <t>yFxecbe8XA8</t>
  </si>
  <si>
    <t>2012 09 24</t>
  </si>
  <si>
    <t>https://youtu.be/AHaDrVvokNo</t>
  </si>
  <si>
    <t>ISS Update  ATV-3 ReEntry Breakup Recorder</t>
  </si>
  <si>
    <t>ISS Update Commentator Pat Ryan talks with Dr. William Ailor, Principal Investigator for the ReEntry Breakup Recorder (REBR) for The Aerospace Corporation. Ailor talks about capturing data as Europe's ATV-3 cargo craft re-enters the Earth's atmosphere for a fiery destruction over the Pacific Ocean. Experts want to predict the destructive effects of a spacecraft re-entering the atmosphere for safety and cost reasons.
REBR, which is a device similar to a cell phone inside a heat shield, will be exposed to the fiery re-entry and record a variety of data such as acceleration, pressure and temperature. REBR will make an Iridium telephone call to transmit the data after it is thrown clear of the disintegrating spacecraft. The REBR is designed to survive re-entry but not impact. 
REBR has previously been used on three other cargo craft. Data was successfully captured from the atmospheric re-entry of Japan's HTV-2 and HTV-3 vehicles. During an ATV-2 re-entry experiment the REBR did not capture data. Engineers are exploring whether it was the design of the REBR, its placement in the ATV-2 or the violent nature of the re-entry itself.</t>
  </si>
  <si>
    <t>AHaDrVvokNo</t>
  </si>
  <si>
    <t>https://youtu.be/X_TPpCReclc</t>
  </si>
  <si>
    <t>ISS Update - Sept. 24, 2012</t>
  </si>
  <si>
    <t>The International Space Station video update for Sept. 24, 2012.</t>
  </si>
  <si>
    <t>X_TPpCReclc</t>
  </si>
  <si>
    <t>2012 09 21</t>
  </si>
  <si>
    <t>https://youtu.be/-tDuwIu_b9g</t>
  </si>
  <si>
    <t>ISS Update  Z1 Spacesuit and Suitport Testing</t>
  </si>
  <si>
    <t>NASA Public Affairs Officer Brandi Dean talks with Cristina Anchondo, Z1 spacesuit test director, about the Z1 spacesuit and some of the suitport tests they are performing in the building 32 vacuum chamber at Johnson Space Center.
The new Z1 spacesuit design incorporates a suitport, which is an interface between the interior of a space vehicle and the spacesuit that is mounted on the exterior of a space vehicle. This allows the wearer to quickly get into the spacesuit from the interior of a spacecraft then detach it from the suitport and begin exploring on the exterior. 
Anchondo says that they are testing the spacesuit and suitport in the vacuum chamber to help simulate space, which is important to make sure that the hardware will survive and perform well in that environment.
Questions? Ask us on Twitter @NASA_Johnson and include the hashtag #askStation.</t>
  </si>
  <si>
    <t>-tDuwIu_b9g</t>
  </si>
  <si>
    <t>https://youtu.be/jBSdHCvpl1k</t>
  </si>
  <si>
    <t>ISS Update  Weekly Recap for Sept. 21, 2012</t>
  </si>
  <si>
    <t>The International Space Station Weekly Recap for Sept. 21, 2012.</t>
  </si>
  <si>
    <t>jBSdHCvpl1k</t>
  </si>
  <si>
    <t>https://youtu.be/gW-gOleCuLQ</t>
  </si>
  <si>
    <t>Expedition 33 34 Crew Conducts Final Qualification Training</t>
  </si>
  <si>
    <t>Expedition 33/34 Soyuz Commander Oleg Novitskiy and Flight Engineer Evgeny Tarelkin of the Russian Federal Space Agency and NASA Flight Engineer Kevin Ford conducted qualification training at the Gagarin Cosmonaut Training Center in Star City, Russia, Sept. 20 and 21 in advance of their final approval for launch to the International Space Station. Novitskiy, Ford and Tarelkin are scheduled to fly to the launch site at the Baikonur Cosmodrome in Kazakhstan Oct. 2 to prepare for their Oct. 23 liftoff in the Soyuz TMA-06M spacecraft. Also featured in the footage are backup crew members Pavel Vinogradov, Alexander Misurkin and NASA's Chris Cassidy.</t>
  </si>
  <si>
    <t>gW-gOleCuLQ</t>
  </si>
  <si>
    <t>2012 09 20</t>
  </si>
  <si>
    <t>https://youtu.be/TB9Q0K-1B8E</t>
  </si>
  <si>
    <t>ISS Update - Sept. 20, 2012</t>
  </si>
  <si>
    <t>The International Space Station video update for Sept. 20, 2012.</t>
  </si>
  <si>
    <t>TB9Q0K-1B8E</t>
  </si>
  <si>
    <t>https://youtu.be/M2NHU_R8ngk</t>
  </si>
  <si>
    <t>Endeavour Departs Ellington Field</t>
  </si>
  <si>
    <t>The space shuttle Endeavour atop its 747 Shuttle Carrier Aircraft departed Houston's Ellington Field at 7:03 a.m. CDT on Thursday for California.</t>
  </si>
  <si>
    <t>M2NHU_R8ngk</t>
  </si>
  <si>
    <t>https://youtu.be/oBegeMCqPtY</t>
  </si>
  <si>
    <t>Endeavour Soars Over Houston</t>
  </si>
  <si>
    <t>Space shuttle Endeavour atop a modified 747 jetliner soars over Houston, the home of NASA's Johnson Space Center.</t>
  </si>
  <si>
    <t>oBegeMCqPtY</t>
  </si>
  <si>
    <t>2012 09 19</t>
  </si>
  <si>
    <t>https://youtu.be/UrnNS9zCk2g</t>
  </si>
  <si>
    <t>Endeavour Lands in Houston on Ferry Flight</t>
  </si>
  <si>
    <t>Space shuttle Endeavour atop a modified 747 jetliner flies over the Johnson Space Center
and lands at Ellington Field in Houston.</t>
  </si>
  <si>
    <t>UrnNS9zCk2g</t>
  </si>
  <si>
    <t>https://youtu.be/eKrFowKvWao</t>
  </si>
  <si>
    <t>Mike Coats Endeavour Message</t>
  </si>
  <si>
    <t>View a special message from JSC Director Mike Coats about space shuttle Endeavour's visit to Houston.</t>
  </si>
  <si>
    <t>eKrFowKvWao</t>
  </si>
  <si>
    <t>https://youtu.be/MlvKG5X7ARU</t>
  </si>
  <si>
    <t>Birthday Wishes for Suni Williams from Sally Ride's Family</t>
  </si>
  <si>
    <t>Sally Ride's family was in Mission Control Center to surprise Expedition 33 Commander Suni Williams and wish her a happy birthday. Read more about NASA astronaut Suni Williams... http://go.nasa.gov/ObgQJC</t>
  </si>
  <si>
    <t>MlvKG5X7ARU</t>
  </si>
  <si>
    <t>2012 09 18</t>
  </si>
  <si>
    <t>https://youtu.be/4xqPCa-Y6xo</t>
  </si>
  <si>
    <t>ISS Update - Sept. 18, 2012</t>
  </si>
  <si>
    <t>The International Space Station video update for Sept. 18, 2012.</t>
  </si>
  <si>
    <t>4xqPCa-Y6xo</t>
  </si>
  <si>
    <t>2012 09 17</t>
  </si>
  <si>
    <t>https://youtu.be/PP2-NCe9EmQ</t>
  </si>
  <si>
    <t>Astronaut Completes Triathlon in Space</t>
  </si>
  <si>
    <t>Expedition 33 Commander Suni Williams participated in the Malibu Triathlon while in space using exercise equipment aboard the International Space Station.</t>
  </si>
  <si>
    <t>PP2-NCe9EmQ</t>
  </si>
  <si>
    <t>https://youtu.be/0fj-pZauThs</t>
  </si>
  <si>
    <t>ISS Update - Sept. 17, 2012</t>
  </si>
  <si>
    <t>The International Space Station video update for Sept. 17, 2012.</t>
  </si>
  <si>
    <t>0fj-pZauThs</t>
  </si>
  <si>
    <t>2012 09 14</t>
  </si>
  <si>
    <t>https://youtu.be/_7pxJs5Td2s</t>
  </si>
  <si>
    <t>Astronaut Steve Bowen Discusses Material Analysis for Space and Undersea</t>
  </si>
  <si>
    <t>Astronaut Steve Bowen is interviewed by NASA Pathways intern Jonathan Tylka about his experience with non-destructive evaluation in his previous career as a Navy submariner and current career as a NASA astronaut.</t>
  </si>
  <si>
    <t>_7pxJs5Td2s</t>
  </si>
  <si>
    <t>https://youtu.be/Ov_FPngIn64</t>
  </si>
  <si>
    <t>ISS Update  Weekly Recap for Sept. 14, 2012</t>
  </si>
  <si>
    <t>The International Space Station Weekly Recap for Sept. 14, 2012.</t>
  </si>
  <si>
    <t>Ov_FPngIn64</t>
  </si>
  <si>
    <t>2012 09 13</t>
  </si>
  <si>
    <t>https://youtu.be/d37yEa-L2eM</t>
  </si>
  <si>
    <t>Astronaut Greets YouTube Space Lab Participants</t>
  </si>
  <si>
    <t>Expedition 32 Flight Engineer Suni Williams aboard the International Space Station talks with Bill Nye and the winners of the recent YouTube Space Lab experiment competition. 
For more info, visit http://www.youtube.com/user/spacelab</t>
  </si>
  <si>
    <t>d37yEa-L2eM</t>
  </si>
  <si>
    <t>2012 09 12</t>
  </si>
  <si>
    <t>https://youtu.be/khivVK2_QCk</t>
  </si>
  <si>
    <t>ISS Update - Sept. 12, 2012</t>
  </si>
  <si>
    <t>khivVK2_QCk</t>
  </si>
  <si>
    <t>2012 09 11</t>
  </si>
  <si>
    <t>https://youtu.be/iYJ7RwxhBCQ</t>
  </si>
  <si>
    <t>ISS Update - Sept. 11, 2012</t>
  </si>
  <si>
    <t>The International Space Station video update for Sept. 11, 2012.</t>
  </si>
  <si>
    <t>iYJ7RwxhBCQ</t>
  </si>
  <si>
    <t>2012 09 10</t>
  </si>
  <si>
    <t>https://youtu.be/VOMiCIU45JA</t>
  </si>
  <si>
    <t>ISS Update - Sept. 10, 2012</t>
  </si>
  <si>
    <t>The International Space Station video update for Sept. 10, 2012.</t>
  </si>
  <si>
    <t>VOMiCIU45JA</t>
  </si>
  <si>
    <t>2012 09 07</t>
  </si>
  <si>
    <t>https://youtu.be/D-l_YrEY2Kk</t>
  </si>
  <si>
    <t>ISS Update  Flight Surgeon Keeps Astronauts Healthy</t>
  </si>
  <si>
    <t>NASA Public Affairs Officer Amiko Kauderer talks with NASA Medical Flight Officer Steve Gilmore about the role of a flight surgeon in tracking astronaut health and coordinating crew medical experiments before, during and after spaceflight. 
Flight surgeons are involved in all phases of a human spaceflight mission, including walking the crew members through the process of becoming medically cleared for flight, coordinating the medical experiments the astronauts perform aboard the station, maintaining contact with the astronauts during spaceflight to keep track of any health issues, assuring that crew members are physically prepared for strenuous spacewalks and assisting with their rehabilitation and adaptation to gravity after they return to Earth. 
Gilmore became interested in becoming a flight surgeon while assigned to a rotation at Kennedy Space Center during medical school. "I had the opportunity to see a few launches, a couple of landings," said Gilmore, "and thought it looked like a really interesting field to get into."  
Questions? Ask us on Twitter @NASA_Johnson and include the hashtag #askStation.</t>
  </si>
  <si>
    <t>D-l_YrEY2Kk</t>
  </si>
  <si>
    <t>https://youtu.be/okLa9oIgk0U</t>
  </si>
  <si>
    <t>ISS Update  Weekly Recap for Sept. 7, 2012</t>
  </si>
  <si>
    <t>The International Space Station Weekly Recap for Sept. 3-7, 2012.</t>
  </si>
  <si>
    <t>okLa9oIgk0U</t>
  </si>
  <si>
    <t>2012 09 06</t>
  </si>
  <si>
    <t>https://youtu.be/53jq03WCpkQ</t>
  </si>
  <si>
    <t>Space Campers Speak With Station Science Communication Coordinator</t>
  </si>
  <si>
    <t>From NASA's International Space Station Mission Control Center, International Space Station Science Communication Coordinator Liz Warren participates in a Digital Learning Network (DLN) event with students at a space camp Huntsville, Ala. The DLN connects students and teachers with NASA experts and education specialists using online communication technologies like video/web conferencing and webcasting. Register for free, interactive events listed in the catalog or watch the webcasts. http://dln.nasa.gov</t>
  </si>
  <si>
    <t>53jq03WCpkQ</t>
  </si>
  <si>
    <t>https://youtu.be/jUAAWx28r9I</t>
  </si>
  <si>
    <t>ISS Update - Sept. 6, 2012</t>
  </si>
  <si>
    <t>The International Space Station video update for Sept. 6, 2012.</t>
  </si>
  <si>
    <t>jUAAWx28r9I</t>
  </si>
  <si>
    <t>2012 09 05</t>
  </si>
  <si>
    <t>https://youtu.be/AMXLDfQLENc</t>
  </si>
  <si>
    <t>Orion Parachute Test, Aug. 28, 2012</t>
  </si>
  <si>
    <t>A dart-shaped test vehicle that is used to simulate Orion's parachute compartment descends above the skies of the U.S. Yuma Army Proving Ground in Arizona. Engineers were testing the maximum pressure Orion's chutes might face when returning from exploration missions.</t>
  </si>
  <si>
    <t>AMXLDfQLENc</t>
  </si>
  <si>
    <t>2012 09 04</t>
  </si>
  <si>
    <t>https://youtu.be/GTZjdETqvVQ</t>
  </si>
  <si>
    <t>ISS Update  Sept. 4, 2012</t>
  </si>
  <si>
    <t>The International Space Station video update for Sept. 4, 2012.</t>
  </si>
  <si>
    <t>GTZjdETqvVQ</t>
  </si>
  <si>
    <t>2012 08 31</t>
  </si>
  <si>
    <t>https://youtu.be/9KQ52MgLloQ</t>
  </si>
  <si>
    <t>ISS Update  Weekly Recap for Aug. 31, 2012</t>
  </si>
  <si>
    <t>The International Space Station Weekly Recap for Aug. 27-31, 2012.</t>
  </si>
  <si>
    <t>9KQ52MgLloQ</t>
  </si>
  <si>
    <t>2012 08 29</t>
  </si>
  <si>
    <t>https://youtu.be/EXRiblU54E8</t>
  </si>
  <si>
    <t>Science off the Sphere  Yo-Yos in Space</t>
  </si>
  <si>
    <t>NASA astronaut Don Pettit uses his off-duty time to practice his microgravity yo-yo skills.  Through a partnership between NASA and the American Physical Society you can participate in Pettit's physics challenge and view experiments here: http://www.physicscentral.com/sots</t>
  </si>
  <si>
    <t>EXRiblU54E8</t>
  </si>
  <si>
    <t>https://youtu.be/SmoNDJObvkw</t>
  </si>
  <si>
    <t>Hurricane Isaac</t>
  </si>
  <si>
    <t>A camera on the International Space Station captured Hurricane Isaac on Aug. 29, 2012, as the orbital laboratory flew over the Texas and Gulf Coast area.</t>
  </si>
  <si>
    <t>SmoNDJObvkw</t>
  </si>
  <si>
    <t>https://youtu.be/jG5snBinOKQ</t>
  </si>
  <si>
    <t>ISS Update  RATS Principal Investigator Andrew Abercromby -- 08.29.12</t>
  </si>
  <si>
    <t>NASA Public Affairs Officer Brandi Dean talks to the Research And Technology Studies (RATS) Principal Investigator Andrew Abercromby in the Space Vehicle Mock-Up Facility at Johnson Space Center in Houston. 
The RATS team evaluates technology, human-robotic systems and extravehicular equipment for future human exploration missions in space. The team runs simulated missions, also known as analogs, at NASA's Johnson Space Center to provide a knowledge base that helps scientists and engineers design, build and operate better equipment, and establish requirements for operations and procedures.
The RATS team has been working in the Space Vehicle Mock-Up Facility for the past couple of weeks simulating a mission to an asteroid. 
Abercromby says that the RATS team conducts integrated mission simulations like this to test out different prototype technologies and see how they interact with each other. He also says that conducting these simulations early in the design process makes it is easier and cheaper to make needed changes to the technology. 
Questions? Ask us on Twitter @NASA_Johnson and include the hashtag #askStation.</t>
  </si>
  <si>
    <t>jG5snBinOKQ</t>
  </si>
  <si>
    <t>https://youtu.be/B9M_bT4PeAk</t>
  </si>
  <si>
    <t>ISS Update  RATS Crew Member Dave Coan -- 08.29.12</t>
  </si>
  <si>
    <t>NASA Public Affairs Officer Brandi Dean talks to the Research And Technology Studies (RATS) crew member Dave Coan in the Space Vehicle Mock-Up Facility at Johnson Space Center in Houston.
As a RATS crew member, Coan says that he helps to evaluate technology, human-robotic systems and extravehicular equipment for future human exploration missions in space. 
The RATS team has been working in the Space Vehicle Mock-Up Facility for the past couple of weeks simulating a mission to an asteroid.
The team runs simulated missions, also known as analogs, at NASA's Johnson Space Center to provide a knowledge base that helps scientists and engineers design, build and operate better equipment, and establish requirements for operations and procedures.
Questions? Ask us on Twitter @NASA_Johnson and include the hashtag #askStation</t>
  </si>
  <si>
    <t>B9M_bT4PeAk</t>
  </si>
  <si>
    <t>https://youtu.be/L6DhsHP3IDM</t>
  </si>
  <si>
    <t>ISS Update - Aug. 29, 2012</t>
  </si>
  <si>
    <t>The International Space Station video update for Aug. 29, 2012.</t>
  </si>
  <si>
    <t>L6DhsHP3IDM</t>
  </si>
  <si>
    <t>2012 08 28</t>
  </si>
  <si>
    <t>https://youtu.be/L91zu1IF1Vk</t>
  </si>
  <si>
    <t>ISS Update - Aug. 28, 2012</t>
  </si>
  <si>
    <t>The International Space Station video update for Aug. 28, 2012.</t>
  </si>
  <si>
    <t>L91zu1IF1Vk</t>
  </si>
  <si>
    <t>2012 08 27</t>
  </si>
  <si>
    <t>https://youtu.be/qRPdhgeke7g</t>
  </si>
  <si>
    <t>ISS Update - Aug. 27, 2012</t>
  </si>
  <si>
    <t>The International Space Station video update for Aug. 27, 2012.</t>
  </si>
  <si>
    <t>qRPdhgeke7g</t>
  </si>
  <si>
    <t>2012 08 24</t>
  </si>
  <si>
    <t>https://youtu.be/7miMbf3DGtA</t>
  </si>
  <si>
    <t>ISS Update  Active Response Gravity Offload System -- 08.24.12</t>
  </si>
  <si>
    <t>NASA Public Affairs Officer Brandi Dean talks to the Active Response Gravity Offload System (ARGOS) Project Manager Larry Dungan in the Space Vehicle Mock-Up Facility at Johnson Space Center in Houston.
The ARGOS is designed to simulate reduced gravity environments, such as Lunar, Martian, or microgravity, using an overhead gantry crane system. ARGOS supplies continuous offload of a portion of a subject's weight during dynamic motions such as walking, running, and jumping, to simulate Lunar, Martian or microgravity.
Dungan explains that the system can be helpful in a variety of training exercises and simulations, including simulating a Research And Technology Studies (RATS) spacewalk on an asteroid, which is demonstrated in the video.
Questions? Ask us on Twitter @NASA_Johnson and include the hashtag #askStation.</t>
  </si>
  <si>
    <t>7miMbf3DGtA</t>
  </si>
  <si>
    <t>https://youtu.be/pxu3zm4qiC4</t>
  </si>
  <si>
    <t>ISS Update  Powering the Space Exploration Vehicle</t>
  </si>
  <si>
    <t>In the Space Vehicle Mock-Up Facility at Johnson Space Center in Houston, NASA Public Affairs Officer Brandi Dean talks with Abbie Ryan, lead engineer for the fuel cell of the multi-mission Space Exploration Vehicle (SEV).
In the latest Research and Technology Studies (RATS) mission, crew members are living and working inside the SEV to simulate a mission to an asteroid as the RATS team evaluates the technology, human-robotic systems and extravehicular equipment for future human exploration missions in space. One important piece of technology being tested is the fuel cell that powers the SEV.
Fuel cells, which have been used aboard NASA spacecraft since the Gemini and Apollo days, combine hydrogen and oxygen to produce power and water. The newest generation of fuel cell being tested by RATS incorporates a lot of new technology, including regulators designed here at NASA. As Ryan points out, "Obviously, space shuttle was our last big fuel cell program, and that technology is about 40 years old by this point."
Using this fuel cell, the RATS team also can predict the power requirements for future missions because they are able to collect accurate data on exactly how much power is being consumed on a daily basis during these tests.
Questions? Ask us on Twitter @NASA_Johnson and include the hashtag #askStation.</t>
  </si>
  <si>
    <t>pxu3zm4qiC4</t>
  </si>
  <si>
    <t>https://youtu.be/l7rLv9C6cfg</t>
  </si>
  <si>
    <t>ISS Update  Weekly Recap for Aug. 24, 2012</t>
  </si>
  <si>
    <t>The International Space Station Weekly Recap for Aug. 20-24, 2012.</t>
  </si>
  <si>
    <t>l7rLv9C6cfg</t>
  </si>
  <si>
    <t>2012 08 23</t>
  </si>
  <si>
    <t>https://youtu.be/OIq7Rt7BI38</t>
  </si>
  <si>
    <t>ISS Update  Brent Jett Discusses the Commercial Crew Program -- 08.23.12</t>
  </si>
  <si>
    <t>Brent Jett, Commercial Crew Program Deputy Manager, talks about how NASA and its commercial partners are proceeding with vehicle development to launch astronauts to the International Space Station and beyond.</t>
  </si>
  <si>
    <t>OIq7Rt7BI38</t>
  </si>
  <si>
    <t>https://youtu.be/1q7ykN5O_fM</t>
  </si>
  <si>
    <t>Space Station Social Media Event</t>
  </si>
  <si>
    <t>Expedition 32 Flight Engineers Joe Acaba and Suni Williams aboard the International Space Station answer questions from NASA social media followers.</t>
  </si>
  <si>
    <t>1q7ykN5O_fM</t>
  </si>
  <si>
    <t>https://youtu.be/Zb2_Rm57L_A</t>
  </si>
  <si>
    <t>ISS Update - Aug. 23, 2012</t>
  </si>
  <si>
    <t>The International Space Station video update for Aug. 23, 2012.</t>
  </si>
  <si>
    <t>Zb2_Rm57L_A</t>
  </si>
  <si>
    <t>2012 08 22</t>
  </si>
  <si>
    <t>https://youtu.be/85rsymSLSE4</t>
  </si>
  <si>
    <t>ISS Update  CCiCap and the SpaceX Dragon -- 08.22.12</t>
  </si>
  <si>
    <t>Commercial Crew Program (CCP) Partner Manager for SpaceX Derek Hassmann discusses the Dragon spacecraft and the CCP following the Commercial Crew Integrated Capability, or CCiCap, announcement earlier this month.
As the CCP Partner Manager, Hassmann's role is to act as the liaison between NASA and SpaceX.
Hassmann talks about the SpaceX Dragon, which was the first unpiloted commercial spacecraft to successfully rendezvous with the station on May 25, 2012.
CCiCap is an initiative of NASA's CCP and an administration priority. The objective of the CCP is to facilitate the development of a U.S. commercial crew space transportation capability with the goal of achieving safe, reliable and cost-effective access to and from the International Space Station and low Earth orbit. After the capability is matured and expected to be available to the government and other customers, NASA could contract to purchase commercial services to meet its station crew transportation needs.
Questions? Ask us on Twitter @NASA_Johnson and include the hashtag #askStation.</t>
  </si>
  <si>
    <t>85rsymSLSE4</t>
  </si>
  <si>
    <t>https://youtu.be/zQbE_JvX384</t>
  </si>
  <si>
    <t>ISS Update  Dream Chaser Spacecraft</t>
  </si>
  <si>
    <t>NASA Public Affairs Officer Michael Curie talks with Cheryl McPhillips, Commercial Crew Program Partner Manager for the Sierra Nevada Corporation, the company developing the Dream Chaser spacecraft for NASA.
Questions? Ask us on Twitter @NASA_Johnson and include the hashtag #askStation.</t>
  </si>
  <si>
    <t>zQbE_JvX384</t>
  </si>
  <si>
    <t>https://youtu.be/4-fUFVeS_Hs</t>
  </si>
  <si>
    <t>ISS Update  August 22, 2012</t>
  </si>
  <si>
    <t>The International Space Station video update for Aug. 22, 2012.</t>
  </si>
  <si>
    <t>4-fUFVeS_Hs</t>
  </si>
  <si>
    <t>2012 08 21</t>
  </si>
  <si>
    <t>https://youtu.be/QOPhB5xQprc</t>
  </si>
  <si>
    <t>ISS Update  CCiCAP Meetings and the Boeing CST-100 -- 08.21.12</t>
  </si>
  <si>
    <t>Commercial Crew Program Partner Manager for Boeing Gennaro Caliendo discusses the Integrated Systems Review meetings held in Houston this week and the CST-100.
The meetings are a part of NASA's CCiCAP, or Commercial Crew Integrated Capability, milestones that have been set for its commercial partners. The meetings this week have been scheduled to review Boeing and the other commercial partners progress in their designs and to ensure that they meet system requirements. 
Caliendo talks about Boeing's CST-100, which is a capsule design that will fly into low-Earth orbit and rendezvous with the International Space Station and land back on Earth using parachutes. It is designed to land on the ground using air bags, which is different than most capsules that are designed to land in water.
Questions? Ask us on Twitter @NASA_Johnson and include the hashtag #askStation.</t>
  </si>
  <si>
    <t>QOPhB5xQprc</t>
  </si>
  <si>
    <t>https://youtu.be/R1pvZQSLynI</t>
  </si>
  <si>
    <t>ISS Update  August 21, 2012</t>
  </si>
  <si>
    <t>The International Space Station video update for Aug. 21, 2012.</t>
  </si>
  <si>
    <t>R1pvZQSLynI</t>
  </si>
  <si>
    <t>2012 08 17</t>
  </si>
  <si>
    <t>https://youtu.be/g7eHeU-_a0U</t>
  </si>
  <si>
    <t>ISS Update  Art Thomason Discusses the Aug. 20 Russian Spacewalk -- 08.17.12</t>
  </si>
  <si>
    <t>NASA Public Affairs Officer Brandi Dean talks with Spacewalk Officer Art Thomason inside the Mission Control Center at Johnson Space Center. Expedition 32 Commander Gennady Padalka and Flight Engineer Yuri Malenchenko are scheduled to conduct a 6.5 hour spacewalk on Monday, Aug. 20.</t>
  </si>
  <si>
    <t>g7eHeU-_a0U</t>
  </si>
  <si>
    <t>https://youtu.be/y8tb5g6NQ2Q</t>
  </si>
  <si>
    <t>ISS Update  Weekly Recap for August 17, 2012</t>
  </si>
  <si>
    <t>The International Space Station Weekly Recap for Aug. 13-17, 2012.</t>
  </si>
  <si>
    <t>y8tb5g6NQ2Q</t>
  </si>
  <si>
    <t>2012 08 16</t>
  </si>
  <si>
    <t>https://youtu.be/mCjKxuGKpRI</t>
  </si>
  <si>
    <t>ISS Update - Aug. 16, 2012</t>
  </si>
  <si>
    <t>The International Space Station video update for Aug. 16, 2012.</t>
  </si>
  <si>
    <t>mCjKxuGKpRI</t>
  </si>
  <si>
    <t>2012 08 15</t>
  </si>
  <si>
    <t>https://youtu.be/WpWxH4_IF7E</t>
  </si>
  <si>
    <t>ISS Update  JAXA Aquatic Habitat Facility -- 08.15.12</t>
  </si>
  <si>
    <t>ISS Update commentator Brandi Dean interviews Associate International Space Station Program Scientist Tara Ruttley about the Japan Aerospace Exploration Agency's Aquatic Habitat facility.
The Aquatic Habitat facility provides a new option for the study of small, freshwater fish on orbit. Scientists have multiple studies planned to look at the impacts of radiation, bone degradation, muscle atrophy and developmental biology. 
Ruttley explains that the facility is located in the Kibo module and is basically a set of two half-liter aquariums that can support up to 8 -- 12 fish at a time. It systems include a filter, an LED lighting system, automatic feeders and a water oxygenation system. 
Questions? Ask us on Twitter @NASA_Johnson and include the hashtag #askStation.</t>
  </si>
  <si>
    <t>WpWxH4_IF7E</t>
  </si>
  <si>
    <t>https://youtu.be/hVbs4X-7Gg0</t>
  </si>
  <si>
    <t>ISS Update - Aug. 15, 2012</t>
  </si>
  <si>
    <t>The International Space Station video update for Aug. 15, 2012.</t>
  </si>
  <si>
    <t>hVbs4X-7Gg0</t>
  </si>
  <si>
    <t>2012 08 14</t>
  </si>
  <si>
    <t>https://youtu.be/DHGsIxpqS0M</t>
  </si>
  <si>
    <t>ISS Update - Aug. 14, 2012</t>
  </si>
  <si>
    <t>The International Space Station video update for Aug. 14, 2012.</t>
  </si>
  <si>
    <t>DHGsIxpqS0M</t>
  </si>
  <si>
    <t>2012 08 13</t>
  </si>
  <si>
    <t>https://youtu.be/SXzum814CZA</t>
  </si>
  <si>
    <t>ISS Update - Aug. 13, 2012</t>
  </si>
  <si>
    <t>The International Space Station video update for Aug. 13, 2012.</t>
  </si>
  <si>
    <t>SXzum814CZA</t>
  </si>
  <si>
    <t>2012 08 10</t>
  </si>
  <si>
    <t>https://youtu.be/ng28PbQPHAw</t>
  </si>
  <si>
    <t>ISS Update  Weekly Recap for August 10, 2012</t>
  </si>
  <si>
    <t>The International Space Station Weekly Recap for Aug. 6-10, 2012.</t>
  </si>
  <si>
    <t>ng28PbQPHAw</t>
  </si>
  <si>
    <t>2012 08 09</t>
  </si>
  <si>
    <t>https://youtu.be/l3ycSKfENcE</t>
  </si>
  <si>
    <t>Smokey Visits Station Flight Control Room</t>
  </si>
  <si>
    <t>Smokey Bear celebrated his 68th birthday with a special visit to the International Space Station Flight Control Room at Johnson Space Center in Houston. On May 14, Smokey went where no bear had gone before when Flight Engineer Joe Acaba and the Expedition 31 crew chose a plush Smokey doll to be the team's launch mascot.</t>
  </si>
  <si>
    <t>l3ycSKfENcE</t>
  </si>
  <si>
    <t>https://youtu.be/kFS8G3kPbcs</t>
  </si>
  <si>
    <t>Space Campers Speak With Astronaut Mike Fossum</t>
  </si>
  <si>
    <t>From NASA's International Space Station Mission Control Center, NASA astronaut Mike Fossum participates in a Digital Learning Network (DLN) event with students at a space camp at the Kennedy Space Center Visitor Complex (Camp KSC) in Florida. The DLN connects students and teachers with NASA experts and education specialists using online communication technologies like video/web conferencing and webcasting. Register for free, interactive events listed in the catalog or watch the webcasts. http://dln.nasa.gov</t>
  </si>
  <si>
    <t>kFS8G3kPbcs</t>
  </si>
  <si>
    <t>https://youtu.be/VoLf3lgCU_Q</t>
  </si>
  <si>
    <t>ISS Update  Happy 68th Birthday Smokey Bear -- 08.09.12</t>
  </si>
  <si>
    <t>ISS Update commentator Amiko Kauderer interviews Jeffrey Miller from the U.S. Forest Service inside Mission Control Center. It is the 68th birthday of Smokey Bear who has been promoting fire safety and prevention through the message, "Only You Can Prevent Wildfires."
Questions? Ask us on Twitter @NASA_Johnson and include the hashtag #askStation.</t>
  </si>
  <si>
    <t>VoLf3lgCU_Q</t>
  </si>
  <si>
    <t>https://youtu.be/Ibdz9Zdjy5c</t>
  </si>
  <si>
    <t>Happy Birthday Smokey Bear from Joe Acaba</t>
  </si>
  <si>
    <t>Expedition 32 Flight Engineer Joe Acaba wishes Smokey Bear a Happy Birthday. For 68 years Smokey Bear has been promoting fire safety and prevention through the message, "Only You Can Prevent Wildfires." A Smokey doll rode with Acaba into space when he launched aboard a Soyuz TMA-04M spacecraft.</t>
  </si>
  <si>
    <t>Ibdz9Zdjy5c</t>
  </si>
  <si>
    <t>https://youtu.be/HKZ4PzIZFKs</t>
  </si>
  <si>
    <t>ISS Update - Aug. 9, 2012</t>
  </si>
  <si>
    <t>The International Space Station video update for Aug. 9, 2012.</t>
  </si>
  <si>
    <t>HKZ4PzIZFKs</t>
  </si>
  <si>
    <t>https://youtu.be/WVCTaxWIoRU</t>
  </si>
  <si>
    <t>Astronaut Suni Williams on Value of Education</t>
  </si>
  <si>
    <t>In this public service announcement, astronaut Suni Williams stresses the importance of studying science, technology, engineering and math. What you learn in school today will help you reach for the stars tomorrow!</t>
  </si>
  <si>
    <t>WVCTaxWIoRU</t>
  </si>
  <si>
    <t>2012 08 08</t>
  </si>
  <si>
    <t>https://youtu.be/r7UfMq-b0Uo</t>
  </si>
  <si>
    <t>Earth Illuminated  ISS Time-lapse Photography</t>
  </si>
  <si>
    <t>From high above the Earth, the International Space Station (ISS) provides a unique vantage point to view our home planet.  Stunning time-lapse photography of cities, aurora, lightning and other sights are seen from orbit.   Famed astronomer Galileo imagined these views from space and now through the technological marvel of the space station, we can see them for ourselves.  For more time-lapse imagery, visit the NASA website:  http://eol.jsc.nasa.gov/Videos/CrewEarthObservationsVideos/ 
From here, NASA invites you to download videos or stills to enjoy or perhaps even create an ISS time-lapse video production of your own.
HD download link: https://archive.org/details/EarthIlluminated</t>
  </si>
  <si>
    <t>r7UfMq-b0Uo</t>
  </si>
  <si>
    <t>https://youtu.be/Iu-WBaso8xI</t>
  </si>
  <si>
    <t>ISS Update - Aug. 8, 2012</t>
  </si>
  <si>
    <t>The International Space Station video update for Aug. 8, 2012.</t>
  </si>
  <si>
    <t>Iu-WBaso8xI</t>
  </si>
  <si>
    <t>2012 08 07</t>
  </si>
  <si>
    <t>https://youtu.be/Ooo9ezYVePc</t>
  </si>
  <si>
    <t>Countdown to EFT-1  The Arrival</t>
  </si>
  <si>
    <t>As NASA counts down to the EFT-1 flight of Orion in 2014, the spacecraft that will fly that mission has arrived at the launch site in Florida. Take a look inside the Operations and Checkout Building at NASA's Kennedy Space Center and see how this historic building is being used to prepare Orion for flight.</t>
  </si>
  <si>
    <t>Ooo9ezYVePc</t>
  </si>
  <si>
    <t>https://youtu.be/Dm2PK3wJVaI</t>
  </si>
  <si>
    <t>ISS Update - Aug. 7, 2012</t>
  </si>
  <si>
    <t>The International Space Station video update for Aug. 7, 2012.</t>
  </si>
  <si>
    <t>Dm2PK3wJVaI</t>
  </si>
  <si>
    <t>https://youtu.be/aRKxoB1EFLE</t>
  </si>
  <si>
    <t>Morpheus Tether Test %2320</t>
  </si>
  <si>
    <t>Morpheus conducts another tethered test, August 3, 2012. Morpheus is a full spacecraft and rocket-powered lander, which demonstrates new green technology, as well as an autonomous landing and hazard detection technology.</t>
  </si>
  <si>
    <t>aRKxoB1EFLE</t>
  </si>
  <si>
    <t>2012 08 06</t>
  </si>
  <si>
    <t>https://youtu.be/SAkh3EaZ9-E</t>
  </si>
  <si>
    <t>ISS Update - Aug. 6, 2012</t>
  </si>
  <si>
    <t>The International Space Station video update for Aug.6, 2012.</t>
  </si>
  <si>
    <t>SAkh3EaZ9-E</t>
  </si>
  <si>
    <t>2012 08 03</t>
  </si>
  <si>
    <t>https://youtu.be/ZurKkfSCJJE</t>
  </si>
  <si>
    <t>ISS Update  Research and Technology Studies (Part 2) -- 08.03.12</t>
  </si>
  <si>
    <t>ISS Update commentator Brandi Dean interviews Steve Rader, Research and Technology Studies (RATS) Data Manager, at Johnson Space Center's Space Vehicle Mockup Facility about communication delays that would take place during deep space missions. Simulations help crews and ground controllers understand the best tools and ways to facilitate communications during events such as emergencies.</t>
  </si>
  <si>
    <t>ZurKkfSCJJE</t>
  </si>
  <si>
    <t>https://youtu.be/n0mWwqB3rEw</t>
  </si>
  <si>
    <t>ISS Update  Research and Technology Studies (Part 1) -- 08.03.12</t>
  </si>
  <si>
    <t>ISS Update commentator Brandi Dean interviews James Johnson, Research and Technology Studies (RATS) Test Director, at Johnson Space Center's Space Vehicle Mockup Facility about an upcoming team simulation to work out concepts for how humans will explore an asteroid.</t>
  </si>
  <si>
    <t>n0mWwqB3rEw</t>
  </si>
  <si>
    <t>https://youtu.be/QlN71PH8q3w</t>
  </si>
  <si>
    <t>ISS Update  Weekly Recap for August 3, 2012</t>
  </si>
  <si>
    <t>The International Space Station Weekly Recap for July 30-Aug. 3, 2012.</t>
  </si>
  <si>
    <t>QlN71PH8q3w</t>
  </si>
  <si>
    <t>2012 08 02</t>
  </si>
  <si>
    <t>https://youtu.be/YHvLIl-FV98</t>
  </si>
  <si>
    <t>ISS Update  Zero Gravity Suit Tests (Part 1) -- 08.02.12</t>
  </si>
  <si>
    <t>ISS Update commentator Brandi Dean interviews Phillip Hooper, Crew Survival Team member, at Ellington Field about the Advanced Crew Escape Suit (ACES) for the Orion program.</t>
  </si>
  <si>
    <t>YHvLIl-FV98</t>
  </si>
  <si>
    <t>https://youtu.be/SIILhXOQAvM</t>
  </si>
  <si>
    <t>ISS Update  Zero Gravity Suit Tests (Part 2) -- 08.02.12</t>
  </si>
  <si>
    <t>ISS Update commentator Brandi Dean interviews Dustin Gohmert, Crew Survival Team Lead, at Ellington Field about the Orion capsule seat designed to accommodate the Advanced Crew Escape Suit (ACES).</t>
  </si>
  <si>
    <t>SIILhXOQAvM</t>
  </si>
  <si>
    <t>https://youtu.be/W1gzqLUQGrc</t>
  </si>
  <si>
    <t>ISS Update - August 2, 2012</t>
  </si>
  <si>
    <t>The International Space Station video update for August 2, 2012.</t>
  </si>
  <si>
    <t>W1gzqLUQGrc</t>
  </si>
  <si>
    <t>https://youtu.be/pVdE5v2w8Pk</t>
  </si>
  <si>
    <t>Spacecraft Docks Under Six Hours After Launch</t>
  </si>
  <si>
    <t>Traveling about 250 miles above the Pacific Ocean and just west of the South American coast, the unpiloted ISS Progress 48 Russian cargo ship docked at 9:18 p.m. EDT Aug. 1 to the Pirs docking compartment of the International Space Station. The craft is delivering 1,962 pounds of propellant, 110 pounds of oxygen and air, 925 pounds of water and 2,817 pounds of spare parts and experiment hardware for a total of 2.9 tons of food, fuel and equipment to be delivered to the six crew members on the orbital laboratory. Progress 48 is scheduled to remain docked to Pirs until late December.
For the first time, a Progress resupply spacecraft performed a same-day rendezvous and docking to the International Space Station. ISS Progress 48 verified an abbreviated launch-to-rendezvous schedule designed to reduce the typical two-day flight between a launch and docking. The goal is to use this new approach for future Progress and Soyuz flights.</t>
  </si>
  <si>
    <t>pVdE5v2w8Pk</t>
  </si>
  <si>
    <t>2012 08 01</t>
  </si>
  <si>
    <t>https://youtu.be/eXwR0iXC0YU</t>
  </si>
  <si>
    <t>ISS Update  Food Technology on a Mission to Mars -- 08.01.12</t>
  </si>
  <si>
    <t>ISS Update commentator Pat Ryan interviews Michele Perchonok, Advanced Food Technology Program Scientist, about developing food for a human crew on a mission to Mars.
Questions? Ask us on Twitter @NASA_Johnson and include the hashtag #askStation.</t>
  </si>
  <si>
    <t>eXwR0iXC0YU</t>
  </si>
  <si>
    <t>https://youtu.be/Bh-ZoDUXY48</t>
  </si>
  <si>
    <t>ISS Update  Progress 48 Launch and Docking -- 08.01.12</t>
  </si>
  <si>
    <t>ISS Update commentator Pat Ryan interviews Dina Contella, Expedition 32 Lead Flight Director, about the details of the ISS Progress 48 cargo craft launch and docking.
Questions? Ask us on Twitter @NASA_Johnson and include the hashtag #askStation.</t>
  </si>
  <si>
    <t>Bh-ZoDUXY48</t>
  </si>
  <si>
    <t>https://youtu.be/U-r3HLYvCsQ</t>
  </si>
  <si>
    <t>ISS Update - August 1, 2012</t>
  </si>
  <si>
    <t>The International Space Station video update for August 1, 2012.</t>
  </si>
  <si>
    <t>U-r3HLYvCsQ</t>
  </si>
  <si>
    <t>2012 07 31</t>
  </si>
  <si>
    <t>https://youtu.be/WSY4W93XVC8</t>
  </si>
  <si>
    <t>ISS Update  Mars Science Laboratory -- 07.31.12</t>
  </si>
  <si>
    <t>ISS Update commentator Pat Ryan interviews Dr. Doug Archer of the Mars Science Laboratory (MSL) Sample Analysis at Mars (SAM) Science Team about the MSL mission, the Curiosity Rover and the SAM instrument.
Curiosity, the car-size, one-ton rover is bound for arrival on Mars at 1:31 a.m., EDT on Monday, Aug. 6. The landing will mark the beginning of a two-year prime mission to investigate one of the most intriguing places on Mars.
Archer discusses SAM, which will analyze samples of material collected and delivered by the rover's arm. It includes a gas chromatograph, a mass spectrometer, and a tunable laser spectrometer with combined capabilities to identify a wide range of organic (carbon-containing) compounds and determine the ratios of different isotopes of key elements. Isotope ratios are clues to understanding the history of Mars' atmosphere and water.
Questions? Ask us on Twitter @NASA_Johnson and include the hashtag #askStation.</t>
  </si>
  <si>
    <t>WSY4W93XVC8</t>
  </si>
  <si>
    <t>https://youtu.be/xXAy-IjCxrw</t>
  </si>
  <si>
    <t>Orion Gets Moved</t>
  </si>
  <si>
    <t>One of the full scale Orion mockups at NASA's Johnson Space Center recently moved to a new location in the Space Vehicle Mockup Facility. Astronauts have trained for decades in this facility on shuttle and station mockups. Orion was formerly located near the space station mockups, but is now taking up residence where the space shuttle mockups previously were.</t>
  </si>
  <si>
    <t>xXAy-IjCxrw</t>
  </si>
  <si>
    <t>https://youtu.be/eA4JXl7OPOw</t>
  </si>
  <si>
    <t>Russian Cargo Craft Final Undocking</t>
  </si>
  <si>
    <t>The ISS Progress 47 resupply vehicle, loaded with trash, undocked from the International Space Station's Pirs docking compartment for the final time July 30 at 5:19 p.m. EDT.  The cargo ship undocked on July 22, then re-docked July 28 at 9:01 p.m. in a test of the new Kurs-NA automated rendezvous system.</t>
  </si>
  <si>
    <t>eA4JXl7OPOw</t>
  </si>
  <si>
    <t>https://youtu.be/G95UmbKKKf8</t>
  </si>
  <si>
    <t>ISS Update - July 31, 2012</t>
  </si>
  <si>
    <t>The International Space Station video update for July 31, 2012.</t>
  </si>
  <si>
    <t>G95UmbKKKf8</t>
  </si>
  <si>
    <t>2012 07 30</t>
  </si>
  <si>
    <t>https://youtu.be/e6Faq1AmISI</t>
  </si>
  <si>
    <t>Science off the Sphere  Astro Puffs</t>
  </si>
  <si>
    <t>In his off-duty time, NASA Astronaut Don Pettit experiments with the physics of water in the weightless environment aboard the International Space Station. Through a partnership between NASA and the American Physical Society you can participate in Pettit's physics challenge and view future experiments here: http://www.physicscentral.com/sots</t>
  </si>
  <si>
    <t>e6Faq1AmISI</t>
  </si>
  <si>
    <t>https://youtu.be/LmNfJVHEIbw</t>
  </si>
  <si>
    <t>ISS Update - July 30, 2012</t>
  </si>
  <si>
    <t>The International Space Station video update for July 30, 2012.</t>
  </si>
  <si>
    <t>LmNfJVHEIbw</t>
  </si>
  <si>
    <t>https://youtu.be/zQJ_TMdi2xM</t>
  </si>
  <si>
    <t>Orion  Exploring Beyond</t>
  </si>
  <si>
    <t>As NASA continues building the Orion spacecraft, Space Launch System rocket and a revolutionized launch site, we are now only a few years away from sending humans to an asteroid and one day Mars. With "Orion: Exploring Beyond" take a look at what the first steps on those journeys will look like.</t>
  </si>
  <si>
    <t>zQJ_TMdi2xM</t>
  </si>
  <si>
    <t>2012 07 29</t>
  </si>
  <si>
    <t>https://youtu.be/uSpsjodaKw0</t>
  </si>
  <si>
    <t>ISS Progress 47 Re-docks to Space Station</t>
  </si>
  <si>
    <t>The ISS Progress 47 cargo vehicle docks once again to the International Space Station's Pirs docking compartment Saturday, July 28, 2012, at 9:01 p.m. EDT after a successful test of its new automated rendezvous system.</t>
  </si>
  <si>
    <t>uSpsjodaKw0</t>
  </si>
  <si>
    <t>2012 07 26</t>
  </si>
  <si>
    <t>https://youtu.be/sCjfDU5GLLg</t>
  </si>
  <si>
    <t>ISS Update  H-II Transfer Vehicle Activities</t>
  </si>
  <si>
    <t>NASA Public Affairs Officer Josh Byerly talks with NASA astronaut Cady Coleman about the Japanese H-II Transfer Vehicle. Questions? Ask us on Twitter @NASA_Johnson and include the hashtag #askStation. For the latest news about the space station, visit http://www.nasa.gov/station.</t>
  </si>
  <si>
    <t>sCjfDU5GLLg</t>
  </si>
  <si>
    <t>https://youtu.be/vJXTOnUBTjA</t>
  </si>
  <si>
    <t>ISS Update - July 26, 2012</t>
  </si>
  <si>
    <t>The International Space Station video update for July 26, 2012.</t>
  </si>
  <si>
    <t>vJXTOnUBTjA</t>
  </si>
  <si>
    <t>2012 07 25</t>
  </si>
  <si>
    <t>https://youtu.be/T9g1x6HqeRY</t>
  </si>
  <si>
    <t>ISS Update - July 25, 2012</t>
  </si>
  <si>
    <t>The International Space Station video update for July 25, 2012.</t>
  </si>
  <si>
    <t>T9g1x6HqeRY</t>
  </si>
  <si>
    <t>2012 07 24</t>
  </si>
  <si>
    <t>https://youtu.be/L2uEOrA28yw</t>
  </si>
  <si>
    <t>ISS Update - July 24, 2012</t>
  </si>
  <si>
    <t>The International Space Station video update for July 24, 2012.</t>
  </si>
  <si>
    <t>L2uEOrA28yw</t>
  </si>
  <si>
    <t>2012 07 23</t>
  </si>
  <si>
    <t>https://youtu.be/XREomzrhC2I</t>
  </si>
  <si>
    <t>Japanese Cargo Craft Heads to Station</t>
  </si>
  <si>
    <t>The Japan Aerospace Exploration Agency's H-IIB rocket carrying the H-II Transfer Vehicle-3 (HTV3) launched at 10:06 p.m. EDT (11:06 a.m. July 21 Japan time) on Friday, July 20 from the Tanegashima Space Center in southern Japan. 
On July 27, Expedition 32 Flight Engineers Joe Acaba  and Akihiko Hoshide will command the station's robotic arm, Canadarm2, to reach out, grapple HTV3, also known as Kounotori3, and attach it to the Earth-facing port of the Harmony module.</t>
  </si>
  <si>
    <t>XREomzrhC2I</t>
  </si>
  <si>
    <t>https://youtu.be/mUBWQA-Oywc</t>
  </si>
  <si>
    <t>ISS Update - July 23, 2012</t>
  </si>
  <si>
    <t>The International Space Station video update for July 23, 2012.</t>
  </si>
  <si>
    <t>mUBWQA-Oywc</t>
  </si>
  <si>
    <t>2012 07 22</t>
  </si>
  <si>
    <t>https://youtu.be/gM_27HhWJTM</t>
  </si>
  <si>
    <t>Progress 47 Undocks From Station</t>
  </si>
  <si>
    <t>The ISS Progress 47 cargo vehicle undocked from the International Space Station's Pirs docking compartment Sunday, July 22 at 4:26 p.m. EDT.</t>
  </si>
  <si>
    <t>gM_27HhWJTM</t>
  </si>
  <si>
    <t>2012 07 20</t>
  </si>
  <si>
    <t>https://youtu.be/GPSUHMPcW6U</t>
  </si>
  <si>
    <t>ISS Update  Science Aboard Kounotori3</t>
  </si>
  <si>
    <t>NASA Public Affairs Officer Amiko Kauderer interviews Pete Hasbrook, associate program scientist, about the experiments traveling to the International Space Station aboard the H-II Transfer Vehicle-3, or HTV3. 
Questions? Ask us on Twitter @NASA_Johnson and include the hashtag #askStation. For the latest news about the space station, visit http://www.nasa.gov/station.</t>
  </si>
  <si>
    <t>GPSUHMPcW6U</t>
  </si>
  <si>
    <t>https://youtu.be/XKZgoSKLU4I</t>
  </si>
  <si>
    <t>ISS Update  Weekly Recap for July 20, 2012</t>
  </si>
  <si>
    <t>The International Space Station Weekly Recap for July 16-20, 2012.</t>
  </si>
  <si>
    <t>XKZgoSKLU4I</t>
  </si>
  <si>
    <t>2012 07 19</t>
  </si>
  <si>
    <t>https://youtu.be/fturU0u5KJo</t>
  </si>
  <si>
    <t>It Does Take a Rocket Scientist! Stan Love Explains Why Mars is Hard.</t>
  </si>
  <si>
    <t>In this video, astronaut, physicist and, well, rocket scientist Stan Love presents his powerful and very entertaining presentation on "Why It's SOOOOOO Hard to Get to Mars." Like Stan says, it does take a rocket scientist. Lots of rocket scientists. And other really cool stuff that NASA is working on.</t>
  </si>
  <si>
    <t>fturU0u5KJo</t>
  </si>
  <si>
    <t>https://youtu.be/ckjF1V3E3wk</t>
  </si>
  <si>
    <t>Students Speak With NASA Astronaut Scott Kelly</t>
  </si>
  <si>
    <t>From NASA's International Space Station Mission Control Center, NASA astronaut Scott Kelly participates in a Digital Learning Network (DLN) event with students in the Galena Park Independent School District in Texas. The DLN connects students and teachers with NASA experts and education specialists using online communication technologies like video/web conferencing and webcasting. Register for free, interactive events listed in the catalog or watch the webcasts. http://dln.nasa.gov</t>
  </si>
  <si>
    <t>ckjF1V3E3wk</t>
  </si>
  <si>
    <t>https://youtu.be/hV9rQKbnBEc</t>
  </si>
  <si>
    <t>Science off the Sphere  Spring Theory</t>
  </si>
  <si>
    <t>NASA astronaut Don Pettit demonstrates how to measure mass in a weightless environment.  Through a partnership between NASA and the American Physical Society you can participate in Pettit's physics challenge and view future experiments here: http://www.physicscentral.com/sots</t>
  </si>
  <si>
    <t>hV9rQKbnBEc</t>
  </si>
  <si>
    <t>https://youtu.be/48PVtI3lJGE</t>
  </si>
  <si>
    <t>ISS Update  Testing the Suitport</t>
  </si>
  <si>
    <t>NASA Public Affairs Officer Amiko Kauderer talks with Suitport Project manager Robert Boyle inside the Mission Control Center at Johnson Space Center. The Suitport is a new idea for a spacesuit that eliminates the need for an airlock. It reduces consumables and enables easier and more efficient spacewalking. Questions? Ask us on Twitter @NASA_Johnson and include the hashtag #askStation. For the latest news about the space station, visit http://www.nasa.gov/station.</t>
  </si>
  <si>
    <t>48PVtI3lJGE</t>
  </si>
  <si>
    <t>https://youtu.be/sG4AMaGiqog</t>
  </si>
  <si>
    <t>ISS Update - July 19, 2012</t>
  </si>
  <si>
    <t>The International Space Station video update for July 19, 2012.</t>
  </si>
  <si>
    <t>sG4AMaGiqog</t>
  </si>
  <si>
    <t>2012 07 18</t>
  </si>
  <si>
    <t>https://youtu.be/aYGN1Y2bfIs</t>
  </si>
  <si>
    <t>NASA Completes Successful Orion Parachute Test</t>
  </si>
  <si>
    <t>A C-17 plane dropped a test version of Orion from an altitude of 25,000 feet above the U.S. Army Yuma Proving Ground in southwestern Arizona on July 18, 2012. This test was the second to use an Orion craft that mimics the full size and shape of the spacecraft.</t>
  </si>
  <si>
    <t>aYGN1Y2bfIs</t>
  </si>
  <si>
    <t>https://youtu.be/l9Ap8vnd2dQ</t>
  </si>
  <si>
    <t>Orion Parachute Test, July 18</t>
  </si>
  <si>
    <t>NASA completed another successful test Wednesday of the Orion crew vehicle's parachutes high above the Arizona desert in preparation for the spacecraft's orbital flight test in 2014. Orion will carry astronauts deeper into space than ever before, provide emergency abort capability, sustain the crew during space travel and ensure a safe re-entry and landing.
A C-17 plane dropped a test version of Orion from an altitude of 25,000 feet above the U.S. Army Yuma Proving Ground in southwestern Arizona. This test was the second to use an Orion craft that mimics the full size and shape of the spacecraft.
Orion's drogue chutes were deployed between 15,000 feet and 20,000 feet, followed by the pilot parachutes, which deployed the main landing parachutes. Orion descended about 25 feet per second, well below its maximum designed touchdown speed, when it landed on the desert floor.
"Across the country, NASA and industry are moving forward on the most advanced spacecraft ever designed, conducting drop and splashdown tests, preparing ground systems, designing software and computers and paving the way for the future of exploration," said William Gerstenmaier, associate administrator for the Human Exploration and Operations Mission Directorate at NASA Headquarters in Washington. "Today's parachute test in Yuma is an important reminder of the progress being made on Orion and its ultimate mission -- enabling NASA to meet the goal of sending humans to an asteroid and Mars."
The main objective of the latest drop test was to determine how the entire system would respond if one of the three main parachutes inflated too quickly. This occurs when what is known as a reefing stage, which helps the parachutes open gradually, is skipped, due to a premature firing of the reefing line cutter. Orion's two reefing stages help limit the initial amount of drag and force on the parachute system. 
Read more about Orion: http://www.nasa.gov/orion</t>
  </si>
  <si>
    <t>l9Ap8vnd2dQ</t>
  </si>
  <si>
    <t>https://youtu.be/k7XJNGKWF10</t>
  </si>
  <si>
    <t>ISS Update - July 18, 2012</t>
  </si>
  <si>
    <t>The International Space Station video update for July 18, 2012.</t>
  </si>
  <si>
    <t>k7XJNGKWF10</t>
  </si>
  <si>
    <t>2012 07 17</t>
  </si>
  <si>
    <t>https://youtu.be/j4AEXtsJxp4</t>
  </si>
  <si>
    <t>ISS Update  Astronaut Shannon Walker -- 07.17.2012</t>
  </si>
  <si>
    <t>In the International Space Station flight control room at NASA's Johnson Space Center, Houston, ISS Update commentator Amiko Kauderer interviewed Shannon Walker, NASA astronaut and Expedition 24 and 25 flight engineer. Walker talked about the docking of the Soyuz TMA-05M spacecraft carrying Expedition 32 Flight Engineers Suni Williams, Aki Hoshide and Yuri Malenchenko and the steps involved with opening the hatches between the station and the Soyuz.  
Williams, Hoshide and Malenchenko launched to the station on July 14 and docked July 17 to begin a four-month tour of duty aboard the orbiting complex. 
Walker talked about the training and preparations required to get the incoming crew members ready for their launch and stay aboard the station. She also explained in detail her launch experience aboard a Soyuz spacecraft and what the newest station crew members can expect during their launch.
She also had a chance to answer a few questions submitted via Twitter about her experiences during launch and aboard the orbiting laboratory.
Questions? Ask us on Twitter @NASA_Johnson and include the hashtag #askStation. For the latest news about the space station, visit http://www.nasa.gov/station.</t>
  </si>
  <si>
    <t>j4AEXtsJxp4</t>
  </si>
  <si>
    <t>https://youtu.be/DoNJwnDlQQ8</t>
  </si>
  <si>
    <t>ISS Update - July 17, 2012</t>
  </si>
  <si>
    <t>The International Space Station video update for July 17, 2012.</t>
  </si>
  <si>
    <t>DoNJwnDlQQ8</t>
  </si>
  <si>
    <t>https://youtu.be/66qSNb481rM</t>
  </si>
  <si>
    <t>Hatches Open, Expedition 32 Expands to Six</t>
  </si>
  <si>
    <t>The hatches between the Soyuz and the Rassvet module opened Tuesday at 3:23 a.m. when Flight Engineers Suni Williams, Yuri Malenchenko and Aki Hoshide entered the International Space Station. Expedition 32 Commander Gennady Padalka and Flight Engineers Joe Acaba and Sergei Revin greeted their new crewmates. The six-member crew conducted a welcoming ceremony with family and mission officials then participated in a safety briefing.</t>
  </si>
  <si>
    <t>66qSNb481rM</t>
  </si>
  <si>
    <t>https://youtu.be/JvQp2TVsM74</t>
  </si>
  <si>
    <t>New Expedition 32 Trio Arrives at Station</t>
  </si>
  <si>
    <t>Expedition 32 Flight Engineers Suni Williams, Yuri Malenchenko and Aki Hoshide have arrived at the International Space Station after two days in orbit. The new trio docked its Soyuz TMA-05M spacecraft to the Rassvet module at 12:51 a.m. EDT Tuesday.</t>
  </si>
  <si>
    <t>JvQp2TVsM74</t>
  </si>
  <si>
    <t>2012 07 15</t>
  </si>
  <si>
    <t>https://youtu.be/MxMk5q-W92Y</t>
  </si>
  <si>
    <t>New Expedition 32 Trio Launches to Station</t>
  </si>
  <si>
    <t>Expedition 32 Flight Engineers Suni Williams, Yuri Malenchenko and Aki Hoshide launched aboard the Soyuz TMA-05M spacecraft at 10:40 p.m. EDT Saturday (8:40 a.m. Kazakhstan time on Sunday) from Baikonur Cosmodrome, Kazakhstan.</t>
  </si>
  <si>
    <t>MxMk5q-W92Y</t>
  </si>
  <si>
    <t>2012 07 13</t>
  </si>
  <si>
    <t>https://youtu.be/P0H2Qhzv5vs</t>
  </si>
  <si>
    <t>ISS Update - Weekly Recap for July 9, 2012</t>
  </si>
  <si>
    <t>The International Space Station Weekly Recap for July 9-13, 2012.</t>
  </si>
  <si>
    <t>P0H2Qhzv5vs</t>
  </si>
  <si>
    <t>2012 07 12</t>
  </si>
  <si>
    <t>https://youtu.be/VWeucf-BjSU</t>
  </si>
  <si>
    <t>NASA Cribs with Astronaut Mike Fincke</t>
  </si>
  <si>
    <t>In this video produced by students in NASA's Cooperative Education Program, astronaut Mike Fincke gives a tour of the International Space Station crib at Johnson Space Center in Houston. The Cooperative Education Program provides students with opportunities to combine academic studies with on-the-job training and work on exciting NASA projects.  It is designed to train and develop students for the possibility of full time employment at NASA upon graduation.</t>
  </si>
  <si>
    <t>VWeucf-BjSU</t>
  </si>
  <si>
    <t>https://youtu.be/h-IYHJhQolk</t>
  </si>
  <si>
    <t>ISS Update - July 12, 2012</t>
  </si>
  <si>
    <t>The International Space Station video update for July 12, 2012.</t>
  </si>
  <si>
    <t>h-IYHJhQolk</t>
  </si>
  <si>
    <t>2012 07 11</t>
  </si>
  <si>
    <t>https://youtu.be/sLXvw-hIpsQ</t>
  </si>
  <si>
    <t>ISS Update  Astronaut Mike Fossum</t>
  </si>
  <si>
    <t>In the International Space Station flight control room at NASA's Johnson Space Center, Houston, ISS Update commentator Dan Huot interviewed Mike Fossum, NASA astronaut and Expedition 29 commander. Fossum talked about the upcoming launch of the three newest station residents, Expedition 32 Flight Engineers Suni Williams, Aki Hoshide and Yuri Malenchenko.
Williams, Hoshide and Malenchenko are scheduled to launch to the station aboard their Soyuz TMA-05M spacecraft on July 14 and dock July 17 to begin a four-month tour of duty aboard the orbiting complex.
Fossum talked about the training and preparations required to get the incoming crew members ready for their launch and stay aboard the station. He also talked about some of the traditions and activities the crew members participate in leading up to their launch.
Fossum also explained in detail his launch experience aboard a Soyuz spacecraft and what the newest station crew members can expect during their launch.
Questions? Ask us on Twitter @NASA_Johnson and include the hashtag #askStation. For the latest news about the space station, visit http://www.nasa.gov/station.</t>
  </si>
  <si>
    <t>sLXvw-hIpsQ</t>
  </si>
  <si>
    <t>https://youtu.be/MZCtSqx_LXk</t>
  </si>
  <si>
    <t>Soyuz TMA-05M Spacecraft Mating</t>
  </si>
  <si>
    <t>The Soyuz TMA-05M spacecraft and booster are seen at the Integration Facility at the Baikonur Cosmodrome in Kazakhstan July 11, 2012 during the mating of the upper stages of the vehicle to the first stage as preparations continued for the scheduled launch July 15 (Kazakhstan time) of Expedition 32 Soyuz Commander Yuri Malenchenko, NASA Flight Engineer Sunita Williams and Flight Engineer Aki Hoshide of the Japan Aerospace Exploration Agency to the International Space Station.</t>
  </si>
  <si>
    <t>MZCtSqx_LXk</t>
  </si>
  <si>
    <t>https://youtu.be/igM-2qegJWo</t>
  </si>
  <si>
    <t>Joe Acaba Speaks with WISH Students</t>
  </si>
  <si>
    <t>Expedition 32 Flight Engineer Joe Acaba speaks with high school students participating in a summer program called Women in STEM High School Aerospace Scholars, or WISH, using the station's ham radio. The students, selected from across the country, are attending briefings and engaging in competitive hands-on engineering activities related to space exploration and research.</t>
  </si>
  <si>
    <t>igM-2qegJWo</t>
  </si>
  <si>
    <t>https://youtu.be/to04NU9eCNg</t>
  </si>
  <si>
    <t>ISS Update  Attitude Determination and Control Officer</t>
  </si>
  <si>
    <t>NASA Public Affairs Officer Dan Huot talks with Attitude Determination and Control Officer (ADCO) flight controller Ann Esbeck in the Mission Control Center at Johnson Space Center. They discuss the role of the ADCO controller in the Mission Control Center. Questions? Ask us on Twitter @NASA_Johnson and include the hashtag #askStation. For the latest news about the space station, visit http://www.nasa.gov/station.</t>
  </si>
  <si>
    <t>to04NU9eCNg</t>
  </si>
  <si>
    <t>https://youtu.be/M3g_WPsAeQY</t>
  </si>
  <si>
    <t>ISS Update - July 11, 2012</t>
  </si>
  <si>
    <t>The International Space Station video update for July 11, 2012.</t>
  </si>
  <si>
    <t>M3g_WPsAeQY</t>
  </si>
  <si>
    <t>2012 07 10</t>
  </si>
  <si>
    <t>https://youtu.be/v3hiGch1FRM</t>
  </si>
  <si>
    <t>ISS Update - July 10, 2012</t>
  </si>
  <si>
    <t>The International Space Station video update for July 10, 2012.</t>
  </si>
  <si>
    <t>v3hiGch1FRM</t>
  </si>
  <si>
    <t>2012 07 09</t>
  </si>
  <si>
    <t>https://youtu.be/-ttFW4MEjhg</t>
  </si>
  <si>
    <t>ISS Update - July 9, 2012</t>
  </si>
  <si>
    <t>The International Space Station video update for July 9, 2012.</t>
  </si>
  <si>
    <t>-ttFW4MEjhg</t>
  </si>
  <si>
    <t>2012 07 06</t>
  </si>
  <si>
    <t>https://youtu.be/XcKq3YjQSXE</t>
  </si>
  <si>
    <t>ISS Update - Weekly Recap for July 2, 2012</t>
  </si>
  <si>
    <t>The International Space Station Weekly Recap for July 2-6, 2012.</t>
  </si>
  <si>
    <t>XcKq3YjQSXE</t>
  </si>
  <si>
    <t>2012 07 05</t>
  </si>
  <si>
    <t>https://youtu.be/PSvDg6PRSd8</t>
  </si>
  <si>
    <t>ISS Update - July 5, 2012</t>
  </si>
  <si>
    <t>The International Space Station video update for July 5, 2012.</t>
  </si>
  <si>
    <t>PSvDg6PRSd8</t>
  </si>
  <si>
    <t>https://youtu.be/pP8D5M7-enk</t>
  </si>
  <si>
    <t>Morpheus Tether Test %2317</t>
  </si>
  <si>
    <t>Morpheus conducts another tethered test, June 18, 2012. Morpheus is a full spacecraft and rocket-powered lander, which demonstrates new green technology, as well as an autonomous landing and hazard detection technology. 
For more info visit:
http://morpheuslander.jsc.nasa.gov/
http://www.nasa.gov/centers/johnson/exploration/morpheus/index.html</t>
  </si>
  <si>
    <t>pP8D5M7-enk</t>
  </si>
  <si>
    <t>https://youtu.be/QDBsq5kWwiA</t>
  </si>
  <si>
    <t>Morpheus Tether Test %2316</t>
  </si>
  <si>
    <t>Morpheus conducts another tethered test, June 11, 2012. Morpheus is a full spacecraft and rocket-powered lander, which demonstrates new green technology, as well as an autonomous landing and hazard detection technology. 
For more info visit:
http://morpheuslander.jsc.nasa.gov/
http://www.nasa.gov/centers/johnson/exploration/morpheus/index.html</t>
  </si>
  <si>
    <t>QDBsq5kWwiA</t>
  </si>
  <si>
    <t>https://youtu.be/nvLKAFDPaBM</t>
  </si>
  <si>
    <t>ALHAT Integration and Testing</t>
  </si>
  <si>
    <t>Autonomous Landing and Hazard Avoidance Technology (ALHAT) project integration and testing takes place at NASA Langley Research Center. The ALHAT project is a multi-center initiative to enable various types of space vehicles to scan for landing hazards and avoid them.</t>
  </si>
  <si>
    <t>nvLKAFDPaBM</t>
  </si>
  <si>
    <t>2012 07 03</t>
  </si>
  <si>
    <t>https://youtu.be/o_ynJ8UvC-E</t>
  </si>
  <si>
    <t>A Shoutout from Dottie Metcalf-Lindenburger, NASA Astronaut</t>
  </si>
  <si>
    <t>Have you ever wondered why science, technology, engineering, and math are so important? Think you might want to work for NASA someday? Astronaut Dottie Metcalf-Lindenburger studied geology, taught middle school and flew in space. STEM was important in each of these adventures and continues to play a key role in NASA's exploration of the solar system. Watch this video to find out how cool science, technology, engineering and math can be!</t>
  </si>
  <si>
    <t>o_ynJ8UvC-E</t>
  </si>
  <si>
    <t>https://youtu.be/ATDATnaDhD4</t>
  </si>
  <si>
    <t>ISS Update - July 3, 2012</t>
  </si>
  <si>
    <t>The International Space Station video update for July 3, 2012.</t>
  </si>
  <si>
    <t>ATDATnaDhD4</t>
  </si>
  <si>
    <t>2012 07 02</t>
  </si>
  <si>
    <t>https://youtu.be/vwmlD9Qsm0k</t>
  </si>
  <si>
    <t>Expedition 32 Departs for Baikonur</t>
  </si>
  <si>
    <t>A new trio of Expedition 32 flight engineers, NASA astronaut Suni Williams, Japan Aerospace Exploration Agency astronaut Aki Hoshide and Russian cosmonaut Yuri Malenchenko, departs the Gagarin Cosmonaut Training Center in Star City, Russia, for the Baikonur Cosmodrome in Kazakhstan on July 2, 2012 to begin two weeks of pre-launch preparations. They are set to launch from the Baikonur Cosmodrome in their Soyuz TMA-05M spacecraft July 14 and dock to the station on July 17.</t>
  </si>
  <si>
    <t>vwmlD9Qsm0k</t>
  </si>
  <si>
    <t>https://youtu.be/kxUhayaPyKY</t>
  </si>
  <si>
    <t>ISS Update - July 2, 2012</t>
  </si>
  <si>
    <t>The International Space Station video update for July 2, 2012.</t>
  </si>
  <si>
    <t>kxUhayaPyKY</t>
  </si>
  <si>
    <t>2012 07 01</t>
  </si>
  <si>
    <t>https://youtu.be/pUPo_lfiDR4</t>
  </si>
  <si>
    <t>Station Crew Lands in Kazakhstan</t>
  </si>
  <si>
    <t>Expedition 31 Commander Oleg Kononenko and Flight Engineers Don Pettit and Andre Kuipers land in Kazakhstan in their Soyuz spacecraft after 191 days aboard the International Space Station.</t>
  </si>
  <si>
    <t>pUPo_lfiDR4</t>
  </si>
  <si>
    <t>https://youtu.be/66QFmmkct7k</t>
  </si>
  <si>
    <t>Expedition 31 Heads Home</t>
  </si>
  <si>
    <t>The Soyuz TMA-03M spacecraft carrying Expedition 31 Commander Oleg Kononenko and Flight Engineers Don Pettit and Andre Kuipers undocks from the International Space Station.</t>
  </si>
  <si>
    <t>66QFmmkct7k</t>
  </si>
  <si>
    <t>https://youtu.be/iO9ghFLHts8</t>
  </si>
  <si>
    <t>Expedition 31 Crew Farewell</t>
  </si>
  <si>
    <t>Expedition 31 Commander Oleg Kononenko and Flight Engineers Don Pettit and Andre Kuipers bid farewell to their International Space Station crewmates and board the Soyuz TMA-03M spacecraft to return to Earth after 193 days in space.</t>
  </si>
  <si>
    <t>iO9ghFLHts8</t>
  </si>
  <si>
    <t>2012 06 30</t>
  </si>
  <si>
    <t>https://youtu.be/FRwSH_u0Ll0</t>
  </si>
  <si>
    <t>Padalka Accepts Command During Ceremony</t>
  </si>
  <si>
    <t>Expedition 31 Commander Oleg Kononenko ceremonially handed command of the International Space Station to Russian cosmonaut Gennady Padalka. The two cosmonauts along with their four station crewmates were inside the Kibo laboratory for the crew handover.</t>
  </si>
  <si>
    <t>FRwSH_u0Ll0</t>
  </si>
  <si>
    <t>2012 06 29</t>
  </si>
  <si>
    <t>https://youtu.be/FQS_qy9MIp8</t>
  </si>
  <si>
    <t>ISS Update  NASA Astronaut Mike Fincke</t>
  </si>
  <si>
    <t>NASA Public Affairs Officer Rob Navias talks with NASA Astronaut Mike Fincke inside the Mission Control Center at Johnson Space Center. They discuss the current activities taking place aboard the International Space Station as well as Fincke's experience on orbit. Questions? Ask us on Twitter @NASA_Johnson and include the hashtag #askStation. For the latest news about the space station, visit http://www.nasa.gov/station.</t>
  </si>
  <si>
    <t>FQS_qy9MIp8</t>
  </si>
  <si>
    <t>https://youtu.be/_dRV021ogqk</t>
  </si>
  <si>
    <t>ISS Update - June 29, 2012</t>
  </si>
  <si>
    <t>The International Space Station video update for June 29, 2012.</t>
  </si>
  <si>
    <t>_dRV021ogqk</t>
  </si>
  <si>
    <t>https://youtu.be/WIsydeu7ZTo</t>
  </si>
  <si>
    <t>Science off the Sphere  Space Balloonacy</t>
  </si>
  <si>
    <t>In his off duty time, NASA Astronaut Don Pettit cools down with some microgravity water balloon experiments aboard the International Space Station. Through a partnership between NASA and the American Physical Society you can participate in Pettit's physics challenge and view future experiments here: http://www.physicscentral.com/sots</t>
  </si>
  <si>
    <t>WIsydeu7ZTo</t>
  </si>
  <si>
    <t>https://youtu.be/RWo4heFn83k</t>
  </si>
  <si>
    <t>Science off the Sphere  1.21 Legowatts</t>
  </si>
  <si>
    <t>NASA Astronaut Don Pettit gets creative with an educational LEGO kit aboard the International Space Station. Through a partnership between NASA and the American Physical Society you can participate in Pettit's physics challenge and view future experiments here: http://www.physicscentral.com/sots</t>
  </si>
  <si>
    <t>RWo4heFn83k</t>
  </si>
  <si>
    <t>2012 06 28</t>
  </si>
  <si>
    <t>https://youtu.be/TlQDUe9l-xU</t>
  </si>
  <si>
    <t>ISS Update  Spaceflight Meteorology Group, Part 2</t>
  </si>
  <si>
    <t>NASA Public Affairs Officer Dan Huot talks to Frank Brody, chief of the Spaceflight Meteorology Group (SMG) at Johnson Space Center, about SMG support for the upcoming landing of the Expedition 31 crew in Kazakhstan as well as the Mission Control Center's preparations for the 2012 hurricane season. Questions? Ask us on Twitter @NASA_Johnson and include the hashtag #askStation. For the latest news about the space station, visit http://www.nasa.gov/station.</t>
  </si>
  <si>
    <t>TlQDUe9l-xU</t>
  </si>
  <si>
    <t>https://youtu.be/A3Bosj8BFoQ</t>
  </si>
  <si>
    <t>ISS Update  Spaceflight Meteorology Group, Part 1</t>
  </si>
  <si>
    <t>A3Bosj8BFoQ</t>
  </si>
  <si>
    <t>https://youtu.be/NTkiO3IvWEQ</t>
  </si>
  <si>
    <t>ISS Update - June 28, 2012</t>
  </si>
  <si>
    <t>The International Space Station video update for June 28, 2012.</t>
  </si>
  <si>
    <t>NTkiO3IvWEQ</t>
  </si>
  <si>
    <t>https://youtu.be/ANbqks1Z-gE</t>
  </si>
  <si>
    <t>Wildfires Seen From Station</t>
  </si>
  <si>
    <t>A video camera aboard the International Space Station captured this footage of the wildfires burning in the Western U.S., including Colorado.</t>
  </si>
  <si>
    <t>ANbqks1Z-gE</t>
  </si>
  <si>
    <t>2012 06 27</t>
  </si>
  <si>
    <t>https://youtu.be/t_BGIBYSl0A</t>
  </si>
  <si>
    <t>ISS Update  1st Annual ISS R&amp;D Conference</t>
  </si>
  <si>
    <t>NASA Public Affairs Officer Kelly Humphries talks by phone on Wednesday with Julie Robinson, ISS Program Scientist, about the 1st Annual International Space Station Research and Development Conference taking place in Denver. Questions? Ask us on Twitter @NASA_Johnson and include the hashtag #askStation. For the latest news about the space station, visit http://www.nasa.gov/station.</t>
  </si>
  <si>
    <t>t_BGIBYSl0A</t>
  </si>
  <si>
    <t>https://youtu.be/WDZ95AU9HcU</t>
  </si>
  <si>
    <t>ISS Update - June 27, 2012</t>
  </si>
  <si>
    <t>The International Space Station video update for June 27, 2012.</t>
  </si>
  <si>
    <t>WDZ95AU9HcU</t>
  </si>
  <si>
    <t>2012 06 26</t>
  </si>
  <si>
    <t>https://youtu.be/JvZ1sYs0kuo</t>
  </si>
  <si>
    <t>ISS Update  Smartphone SPHERES</t>
  </si>
  <si>
    <t>NASA Public Affairs Officer Kelly Humphries conducts a phone interview with Mark Micire, SPHERES Engineering Manager at Ames Research Center. Questions? Ask us on Twitter @NASA_Johnson and include the hashtag #askStation. For the latest news about the space station, visit http://www.nasa.gov/station.</t>
  </si>
  <si>
    <t>JvZ1sYs0kuo</t>
  </si>
  <si>
    <t>https://youtu.be/HyAvYcYSSUg</t>
  </si>
  <si>
    <t>ISS Update - June 26, 2012</t>
  </si>
  <si>
    <t>The International Space Station video update for June 26, 2012.</t>
  </si>
  <si>
    <t>HyAvYcYSSUg</t>
  </si>
  <si>
    <t>2012 06 25</t>
  </si>
  <si>
    <t>https://youtu.be/hL0sCT_mt5E</t>
  </si>
  <si>
    <t>ISS Update - June 25, 2012</t>
  </si>
  <si>
    <t>The International Space Station video update for June 25, 2012.</t>
  </si>
  <si>
    <t>hL0sCT_mt5E</t>
  </si>
  <si>
    <t>2012 06 22</t>
  </si>
  <si>
    <t>https://youtu.be/-dPYiyRiI4c</t>
  </si>
  <si>
    <t>Space Station Live! Tour</t>
  </si>
  <si>
    <t>NASA is using the Internet and smartphones to provide the public with a new inside look at what happens aboard the International Space Station and in the Mission Control Center. NASA Public Affairs Officer Dan Huot provides a video tour of the new site, which is now online at http://spacestationlive.nasa.gov.</t>
  </si>
  <si>
    <t>-dPYiyRiI4c</t>
  </si>
  <si>
    <t>https://youtu.be/PwlEzRgnGNI</t>
  </si>
  <si>
    <t>ISS Update  Weekly Recap for June 18, 2012</t>
  </si>
  <si>
    <t>The International Space Station Weekly Recap for June 18-22, 2012.</t>
  </si>
  <si>
    <t>PwlEzRgnGNI</t>
  </si>
  <si>
    <t>2012 06 21</t>
  </si>
  <si>
    <t>https://youtu.be/dyxcXxcQb4o</t>
  </si>
  <si>
    <t>NASA Public Affairs Office Dan Huot interviews Jill McGuire, the Robotic Refueling Mission (RRM) Project Manager at Goddard Space Flight Center, about the current RRM operations taking place outside the International Space Station.
Questions? Ask us on Twitter @NASA_Johnson and include the hashtag #askStation. For the latest news about the space station, visit http://www.nasa.gov/station.</t>
  </si>
  <si>
    <t>dyxcXxcQb4o</t>
  </si>
  <si>
    <t>https://youtu.be/yftHSsX6vqQ</t>
  </si>
  <si>
    <t>ISS Update - June 21, 2012</t>
  </si>
  <si>
    <t>The International Space Station video update for June 21, 2012.</t>
  </si>
  <si>
    <t>yftHSsX6vqQ</t>
  </si>
  <si>
    <t>2012 06 20</t>
  </si>
  <si>
    <t>https://youtu.be/Kp9XKP-8YfI</t>
  </si>
  <si>
    <t>ISS Update - June 20, 2012</t>
  </si>
  <si>
    <t>The International Space Station video update for June 20, 2012.</t>
  </si>
  <si>
    <t>Kp9XKP-8YfI</t>
  </si>
  <si>
    <t>https://youtu.be/hZudNSm1oZs</t>
  </si>
  <si>
    <t>Expedition 32 Final Soyuz Qualification Exams</t>
  </si>
  <si>
    <t>Expedition 32 Flight Engineers Suni Williams, Yuri Malenchenko and Aki Hoshide take their final Soyuz systems qualification exams at the Gagarin Cosmonaut Training Center in Star City, Russia. The trio is scheduled to launch to the International Space Station on July 14.</t>
  </si>
  <si>
    <t>hZudNSm1oZs</t>
  </si>
  <si>
    <t>2012 06 19</t>
  </si>
  <si>
    <t>https://youtu.be/s_M_Flv5-IA</t>
  </si>
  <si>
    <t>NASA Asian-American History Month Profile -- Yong Yi</t>
  </si>
  <si>
    <t>Yong Yi is Project Manager in the Facilities Management and Operations Division at NASA's Johnson Space Center. He works to identify problems and recommends improvements to buildings and equipment to improve reliability, efficiency, and safety. He provides technical direction and oversight for the design, operation, maintenance, and construction of facility electrical, mechanical, and architectural systems and equipment. Yi holds a Doctorate in Electrical Engineering from the Cullen College of Engineering at the University of Houston. He started his civil service career with JSC in 2008.</t>
  </si>
  <si>
    <t>s_M_Flv5-IA</t>
  </si>
  <si>
    <t>https://youtu.be/YP_ZbRY9vIY</t>
  </si>
  <si>
    <t>ISS Update - June 19, 2012</t>
  </si>
  <si>
    <t>The International Space Station video update for June 19, 2012.</t>
  </si>
  <si>
    <t>YP_ZbRY9vIY</t>
  </si>
  <si>
    <t>https://youtu.be/XCH59iKxU8Q</t>
  </si>
  <si>
    <t>ISS Update  Dr. Steve Squyres, NEEMO 16 Aquanaut and Cornell Professor</t>
  </si>
  <si>
    <t>ISS Update Commentator Pat Ryan interviews Dr. Steve Squyres, NEEMO 16 Aquanaut and Cornell Professor, about simulating a mission to an asteroid underwater. The Aquarius habitat simulates the isolation and limited space of a craft that would visit an asteroid. Questions? Ask us on Twitter @NASA_Johnson and include the hashtag #askStation. For the latest news about the space station, visit http://www.nasa.gov/station.</t>
  </si>
  <si>
    <t>XCH59iKxU8Q</t>
  </si>
  <si>
    <t>2012 06 18</t>
  </si>
  <si>
    <t>https://youtu.be/QiWPIf7CuKQ</t>
  </si>
  <si>
    <t>ISS Update - June 18, 2012</t>
  </si>
  <si>
    <t>The International Space Station video update for June 18, 2012.</t>
  </si>
  <si>
    <t>QiWPIf7CuKQ</t>
  </si>
  <si>
    <t>2012 06 15</t>
  </si>
  <si>
    <t>https://youtu.be/d5lbBIJQKCw</t>
  </si>
  <si>
    <t>ISS Update  Bruce Manners, NASA COTS Project Executive for Orbital Sciences</t>
  </si>
  <si>
    <t>ISS Update commentator Josh Byerly interviews Bruce Manners, NASA COTS Project Executive, about Orbital Sciences and the Cygnus rocket. Cygnus will deliver cargo to the International Space Station then return to Earth filled with trash for destructive entry like the Russian Progress resupply vehicle. Questions? Ask us on Twitter @NASA_Johnson and include the hashtag #askStation. For the latest news about the space station, visit http://www.nasa.gov/station.</t>
  </si>
  <si>
    <t>d5lbBIJQKCw</t>
  </si>
  <si>
    <t>https://youtu.be/J0A7OJ7ZJes</t>
  </si>
  <si>
    <t>ISS Update  Autonomous Mission Operations</t>
  </si>
  <si>
    <t>NASA Public Affairs Officer Brandi Dean interviews Jeff Mauldin, Simulation Supervisor for Autonomous Mission Operations at Johnson Space Center in Houston, Texas. Ask us on Twitter @NASA_Johnson and include the hashtag #askStation. For the latest news about the space station, visit http://www.nasa.gov/station.</t>
  </si>
  <si>
    <t>J0A7OJ7ZJes</t>
  </si>
  <si>
    <t>https://youtu.be/uFd9Xw18yfk</t>
  </si>
  <si>
    <t>ISS Update  Alvin Drew Talks about Delayed Communications</t>
  </si>
  <si>
    <t>ISS Update commentator Brandi Dean interviews NASA astronaut Alvin Drew about the Autonomous Mission Operations Test. Drew, who is the commander for the test, talks about the past, current and future tools astronauts would use when communicating at long distances and dealing with the time delay. Questions? Ask us on Twitter @NASA_Johnson and include the hashtag #askStation. For the latest news about the space station, visit http://www.nasa.gov/station.</t>
  </si>
  <si>
    <t>uFd9Xw18yfk</t>
  </si>
  <si>
    <t>https://youtu.be/fMIQSfqlLd4</t>
  </si>
  <si>
    <t>ISS Update  Weekly Recap for June 11, 2012</t>
  </si>
  <si>
    <t>The International Space Station Weekly Recap for June 11-15, 2012.</t>
  </si>
  <si>
    <t>fMIQSfqlLd4</t>
  </si>
  <si>
    <t>2012 06 14</t>
  </si>
  <si>
    <t>https://youtu.be/5fOmqFndsg0</t>
  </si>
  <si>
    <t>Students Speak With Flight Director Mike Sarafin</t>
  </si>
  <si>
    <t>From NASA's International Space Station Mission Control Center, NASA Flight Director Mike Sarafin participates in a Digital Learning Network (DLN) event with students in the Galveston Independent School District in Galveston, Texas. The DLN connects students and teachers with NASA experts and education specialists using online communication technologies like video/web conferencing and webcasting. Register for free, interactive events listed in the catalog or watch the webcasts. http://dln.nasa.gov</t>
  </si>
  <si>
    <t>5fOmqFndsg0</t>
  </si>
  <si>
    <t>https://youtu.be/quHss1puIdc</t>
  </si>
  <si>
    <t>ISS Update - June 14, 2012</t>
  </si>
  <si>
    <t>The International Space Station video update for June 14, 2012.</t>
  </si>
  <si>
    <t>quHss1puIdc</t>
  </si>
  <si>
    <t>https://youtu.be/F2k3EOvwAhE</t>
  </si>
  <si>
    <t>ISS Update  NEEMO 16 Simulates Spacewalk Underwater</t>
  </si>
  <si>
    <t>ISS Update commentator Josh Byerly interviews European Space Agency astronaut Tim Peake, NEEMO 16 crew member. Peake talks about the spacewalk techniques they are testing by simulating an asteroid mission underwater. The activities are taking place in the Aquarius undersea laboratory. Questions? Ask us on Twitter @NASA_Johnson and include the hashtag #askStation. For the latest news about the space station, visit http://www.nasa.gov/station.</t>
  </si>
  <si>
    <t>F2k3EOvwAhE</t>
  </si>
  <si>
    <t>2012 06 13</t>
  </si>
  <si>
    <t>https://youtu.be/NrCmcdxrBI4</t>
  </si>
  <si>
    <t>ISS Update  Day 2 of NEEMO 16</t>
  </si>
  <si>
    <t>ISS Update commentator Josh Byerly interviews astronaut Mike Gernhardt, principal investigator for NEEMO 16, about the simulated asteroid mission taking place in the Aquarius undersea laboratory. 
For more about NEEMO 16, visit http://www.nasa.gov/neemo.
Questions? Ask us on Twitter @NASA_Johnson and include the hashtag #askStation. For the latest news about the space station, visit http://www.nasa.gov/station.</t>
  </si>
  <si>
    <t>NrCmcdxrBI4</t>
  </si>
  <si>
    <t>https://youtu.be/Z8KJOcN--HM</t>
  </si>
  <si>
    <t>ISS Update - June 13, 2012</t>
  </si>
  <si>
    <t>The International Space Station video update for June 13, 2012.</t>
  </si>
  <si>
    <t>Z8KJOcN--HM</t>
  </si>
  <si>
    <t>2012 06 12</t>
  </si>
  <si>
    <t>https://youtu.be/yasf5CjByZ0</t>
  </si>
  <si>
    <t>ISS Update  NEEMO 16</t>
  </si>
  <si>
    <t>ISS Update commentator Josh Byerly interviews astronaut Stan Love about the NEEMO 16 mission from Aquarius Base. Questions? Ask us on Twitter @NASA_Johnson and include the hashtag #askStation. For the latest news about the space station, visit http://www.nasa.gov/station.</t>
  </si>
  <si>
    <t>yasf5CjByZ0</t>
  </si>
  <si>
    <t>https://youtu.be/GNSdLjZdp7M</t>
  </si>
  <si>
    <t>ISS Update - June 12, 2012</t>
  </si>
  <si>
    <t>The International Space Station video update for June 12, 2012.</t>
  </si>
  <si>
    <t>GNSdLjZdp7M</t>
  </si>
  <si>
    <t>2012 06 11</t>
  </si>
  <si>
    <t>https://youtu.be/dJ5EJs-KLGI</t>
  </si>
  <si>
    <t>ISS Update - June 11, 2012</t>
  </si>
  <si>
    <t>The International Space Station video update for June 11, 2012.</t>
  </si>
  <si>
    <t>dJ5EJs-KLGI</t>
  </si>
  <si>
    <t>2012 06 08</t>
  </si>
  <si>
    <t>https://youtu.be/Vi5N-bBHBLE</t>
  </si>
  <si>
    <t>Perpetual Sun</t>
  </si>
  <si>
    <t>Flight Engineer Don Pettit downloaded a video of the sun seen from the International Space Station as it orbits the Earth in a phase of continuous twilight.</t>
  </si>
  <si>
    <t>Vi5N-bBHBLE</t>
  </si>
  <si>
    <t>https://youtu.be/53dWeDNsTF0</t>
  </si>
  <si>
    <t>ISS Update  After the Venus Transit</t>
  </si>
  <si>
    <t>ISS Update commentator Brandi Dean interviewed astronaut Mario Runco about the results of the Expedition 31 crew's effort to photograph Venus transit. Questions? Ask us on Twitter @NASA_Johnson and include the hashtag #askStation. For the latest news about the space station, visit http://www.nasa.gov/station.</t>
  </si>
  <si>
    <t>53dWeDNsTF0</t>
  </si>
  <si>
    <t>https://youtu.be/gvQkqhDdhE4</t>
  </si>
  <si>
    <t>ISS Update  Weekly Recap for June 4, 2012</t>
  </si>
  <si>
    <t>The International Space Station Weekly Recap for June 4-8, 2012.</t>
  </si>
  <si>
    <t>gvQkqhDdhE4</t>
  </si>
  <si>
    <t>2012 06 07</t>
  </si>
  <si>
    <t>https://youtu.be/Hte9L5BXlDU</t>
  </si>
  <si>
    <t>ISS Update  Suitport Testing</t>
  </si>
  <si>
    <t>ISS Update commentator Lynnette Madison interviews Joel Maganza, Test Director, about thermal vacuum chambers and unmanned and human-testing with the Suitport. Questions? Ask us on Twitter @NASA_Johnson and include the hashtag #askStation. For the latest news about the space station, visit http://www.nasa.gov/station.</t>
  </si>
  <si>
    <t>Hte9L5BXlDU</t>
  </si>
  <si>
    <t>https://youtu.be/NUqm_-0P7y8</t>
  </si>
  <si>
    <t>ISS Update  Suitport</t>
  </si>
  <si>
    <t>ISS Update commentator Lynnette Madison interviews Mallory Jennings, Suitport Human Testing Lead, about making spacewalks easier and more efficient with the Suitport. Questions? Ask us on Twitter @NASA_Johnson and include the hashtag #askStation. For the latest news about the space station, visit http://www.nasa.gov/station.</t>
  </si>
  <si>
    <t>NUqm_-0P7y8</t>
  </si>
  <si>
    <t>https://youtu.be/GvFlYC_9le0</t>
  </si>
  <si>
    <t>Students Speak With NASA Astronaut Mario Runco</t>
  </si>
  <si>
    <t>From NASA's International Space Station Mission Control Center, NASA astronaut Mario Runco participates in a Digital Learning Network (DLN) event with students in the Newell School District in Newell, S.D. The DLN connects students and teachers with NASA experts and education specialists using online communication technologies like video/web conferencing and webcasting. Register for free, interactive events listed in the catalog or watch the webcasts. http://dln.nasa.gov</t>
  </si>
  <si>
    <t>GvFlYC_9le0</t>
  </si>
  <si>
    <t>https://youtu.be/05v8YtGIWvo</t>
  </si>
  <si>
    <t>ISS Update - June 7, 2012</t>
  </si>
  <si>
    <t>The International Space Station video update for June 7, 2012.</t>
  </si>
  <si>
    <t>05v8YtGIWvo</t>
  </si>
  <si>
    <t>2012 06 06</t>
  </si>
  <si>
    <t>https://youtu.be/w6fOS2H0oBM</t>
  </si>
  <si>
    <t>ISS Update - June 4, 2012</t>
  </si>
  <si>
    <t>The International Space Station video update for June 4, 2012.</t>
  </si>
  <si>
    <t>w6fOS2H0oBM</t>
  </si>
  <si>
    <t>https://youtu.be/XJklKnUsyEw</t>
  </si>
  <si>
    <t>ISS Update - June 5, 2012</t>
  </si>
  <si>
    <t>The International Space Station video update for June 5, 2012.</t>
  </si>
  <si>
    <t>XJklKnUsyEw</t>
  </si>
  <si>
    <t>https://youtu.be/57YGgtb9Ktg</t>
  </si>
  <si>
    <t>ISS Update  Transit of Venus</t>
  </si>
  <si>
    <t>ISS Update commentator Brandi Dean interviews Mario Runco, NASA astronaut, about Venus's transit across the sun on June 6. Questions? Ask us on Twitter @NASA_Johnson and include the hashtag #askStation. For the latest news about the space station, visit http://www.nasa.gov/station.</t>
  </si>
  <si>
    <t>57YGgtb9Ktg</t>
  </si>
  <si>
    <t>https://youtu.be/P6P7xhuLd84</t>
  </si>
  <si>
    <t>ISS Update - June 6, 2012</t>
  </si>
  <si>
    <t>The International Space Station video update for June 6, 2012.</t>
  </si>
  <si>
    <t>P6P7xhuLd84</t>
  </si>
  <si>
    <t>2012 06 01</t>
  </si>
  <si>
    <t>https://youtu.be/mpIBhSXPEbo</t>
  </si>
  <si>
    <t>Shuttle Replica On The Way To Space Center Houston</t>
  </si>
  <si>
    <t>Atop a barge, the space shuttle full-scale replica nears the completion of its eight-day journey from the Kennedy Space Center destined for permanent retention at Space Center Houston, near the NASA Johnson Space Center.</t>
  </si>
  <si>
    <t>mpIBhSXPEbo</t>
  </si>
  <si>
    <t>https://youtu.be/C-w2oyGKEEg</t>
  </si>
  <si>
    <t>ISS Update - June 1, 2012</t>
  </si>
  <si>
    <t>The International Space Station video update for June 1, 2012.</t>
  </si>
  <si>
    <t>C-w2oyGKEEg</t>
  </si>
  <si>
    <t>https://youtu.be/nbHj4P81voA</t>
  </si>
  <si>
    <t>Chase Plane Video Of Historic SpaceX Splashdown</t>
  </si>
  <si>
    <t>During the reentry of SpaceX's Dragon capsule, NASA and the United States Navy flew a P-3 Orion Cast Glance aircraft to capture airborne views of the spacecraft's descent. The aircraft, based at the Navy's VX-30 squadron at the Naval Air Station Point Mugu, Calif., was able to record Dragon's reentry, parachute chute deployment and the capsule in the water. Dragon splashed down at 11:42 a.m. EDT on May 31 in the Pacific Ocean, more than 560 miles off the coast of Baja California. During its mission, Dragon became the first commercial spacecraft the rendezvous and berth with the International Space Station, paving the way for future commercial cargo delivery flights.</t>
  </si>
  <si>
    <t>nbHj4P81voA</t>
  </si>
  <si>
    <t>https://youtu.be/KYgmShdAUdk</t>
  </si>
  <si>
    <t>Science off the Sphere  Space Soundwaves II- Electric Didgeridoo</t>
  </si>
  <si>
    <t>International Space Station Expedition 31 astronaut Don Pettit uses the station's vacuum cleaner and a shirt to make an electric Didgeridoo to test the behavior of non-newtonian fluids in the weightless environment aboard the station. Through a partnership between NASA and the American Physical Society you can participate in Pettit's physics challenge and view future experiments here: http://www.physicscentral.com/sots</t>
  </si>
  <si>
    <t>KYgmShdAUdk</t>
  </si>
  <si>
    <t>2012 05 31</t>
  </si>
  <si>
    <t>https://youtu.be/dKSbZQX4sSw</t>
  </si>
  <si>
    <t>ISS Update - May 31, 2012</t>
  </si>
  <si>
    <t>The International Space Station video update for May 31, 2012.</t>
  </si>
  <si>
    <t>dKSbZQX4sSw</t>
  </si>
  <si>
    <t>https://youtu.be/ANRgfnTcM2o</t>
  </si>
  <si>
    <t>Dragon Departs the Station</t>
  </si>
  <si>
    <t>The Expedition 31 crew used the Canadarm2 robotic arm to demate the SpaceX Dragon cargo vehicle from the Earth-facing port of the station's Harmony node at 4:07 a.m. EDT on Thursday. It was released from the station's robotic arm at 5:49 a.m.</t>
  </si>
  <si>
    <t>ANRgfnTcM2o</t>
  </si>
  <si>
    <t>2012 05 30</t>
  </si>
  <si>
    <t>https://youtu.be/AQx9GRwHD74</t>
  </si>
  <si>
    <t>ISS Update  How Long-Duration Spaceflight Affects Health</t>
  </si>
  <si>
    <t>ISS Update commentator Kelly Humphries interviews the Principal Investigator for the Pro_K and Nutrition experiments, Dr. Scott Smith in the International Space Station flight control room at NASA's Johnson Space Center, Houston. During the interview, Smith talks about the Pro_K experiment, Nutrition experiment and how the microgravity environment of space can affect vision and health. Questions? Ask us on Twitter @NASA_Johnson and include the hashtag #askStation. For the latest news about the space station, visit http://www.nasa.gov/station.</t>
  </si>
  <si>
    <t>AQx9GRwHD74</t>
  </si>
  <si>
    <t>https://youtu.be/YcHUlVMKy5o</t>
  </si>
  <si>
    <t>Moon Rise</t>
  </si>
  <si>
    <t>Aboard the International Space Station in May 2012, Expedition 31 astronaut Don Pettit opened the shutters covering the cupola observation windows in time to watch the moon rise. The time-lapse scene was photographed from the airlock of the Station's Russian segment.</t>
  </si>
  <si>
    <t>YcHUlVMKy5o</t>
  </si>
  <si>
    <t>https://youtu.be/xyNEnBqBxuM</t>
  </si>
  <si>
    <t>ISS Update - May 30, 2012</t>
  </si>
  <si>
    <t>The International Space Station video update for May 30, 2012.</t>
  </si>
  <si>
    <t>xyNEnBqBxuM</t>
  </si>
  <si>
    <t>2012 05 29</t>
  </si>
  <si>
    <t>https://youtu.be/xttzy1YDehM</t>
  </si>
  <si>
    <t>ISS Update  SpaceX Dragon Operations</t>
  </si>
  <si>
    <t>NASA Public Affairs Officer Kelly Humphries talks with Lead Integration and Systems Engineer Paul Brower about SpaceX Dragon operations as the spacecraft's unberthing approaches. Questions? Ask us on Twitter @NASA_Johnson and include the hashtag #askStation. For the latest news about the space station, visit http://www.nasa.gov/station.</t>
  </si>
  <si>
    <t>xttzy1YDehM</t>
  </si>
  <si>
    <t>https://youtu.be/V1QhuWFWHIk</t>
  </si>
  <si>
    <t>ISS Update - May 29, 2012</t>
  </si>
  <si>
    <t>The International Space Station video update for May 29, 2012.</t>
  </si>
  <si>
    <t>V1QhuWFWHIk</t>
  </si>
  <si>
    <t>2012 05 26</t>
  </si>
  <si>
    <t>https://youtu.be/FZavdmhmuRI</t>
  </si>
  <si>
    <t>Station Crew Talks To Reporters About Dragon Spacecraft</t>
  </si>
  <si>
    <t>Expedition 31 Flight Engineers Don Pettit, Andre Kuipers and Joe Acaba discuss Dragon's mission with reporters during a crew news conference. Dragon is scheduled to spend six days berthed to the station before being detached and released on May 31.</t>
  </si>
  <si>
    <t>FZavdmhmuRI</t>
  </si>
  <si>
    <t>https://youtu.be/9T0Sk1JV_oc</t>
  </si>
  <si>
    <t>Station Crew Opens Dragon's Hatch</t>
  </si>
  <si>
    <t>The hatch between the newly arrived SpaceX Dragon spacecraft and the Harmony module of the International Space Station was opened by NASA Astronaut Don Pettit at 5:53 am EDT as the station flew 253 miles above Auckland, New Zealand. The hatch opening begins four days of operations to upload more than 1,000 pounds of cargo from the first commercial spacecraft to visit the space station and reload it with experiments and cargo for a return trip to Earth. It is scheduled for splashdown several hundred miles west of California on May 31.</t>
  </si>
  <si>
    <t>9T0Sk1JV_oc</t>
  </si>
  <si>
    <t>2012 05 25</t>
  </si>
  <si>
    <t>https://youtu.be/bGoJ66WNapE</t>
  </si>
  <si>
    <t>Space Station Crew Welcomes World's First Commercial Cargo Craft</t>
  </si>
  <si>
    <t>Aboard the International Space Station, Expedition 31 Flight Engineer Don Pettit of NASA, Flight Engineer Andre Kuipers of the European Space Agency and Flight Engineer Joe Acaba of NASA grappled and berthed the SpaceX Dragon spacecraft to the station's Harmony module May 25, 2012, marking a milestone in spaceflight history. Dragon became the first commercially developed space vehicle to be launched to the station to join Russian, European and Japanese resupply craft that service the complex while restoring a U.S. capability to deliver cargo to the orbital laboratory.</t>
  </si>
  <si>
    <t>bGoJ66WNapE</t>
  </si>
  <si>
    <t>https://youtu.be/Lg5vd_Gs0G4</t>
  </si>
  <si>
    <t>Dragon Grappled and Berthed to Station</t>
  </si>
  <si>
    <t>The SpaceX Dragon capsule is grappled and berthed to the Earth-facing port of the International Space Station's Harmony module at 12:02 p.m. EDT, May 25, 2012.</t>
  </si>
  <si>
    <t>Lg5vd_Gs0G4</t>
  </si>
  <si>
    <t>https://youtu.be/sBpFdbqWoNI</t>
  </si>
  <si>
    <t>May 24 Dragon Fly-Under Captured by Station Crew</t>
  </si>
  <si>
    <t>Expedition 31 Flight Engineer Don Pettit captured this HD video of the SpaceX Dragon capsule's fly-under of the International Space Station on May 24.</t>
  </si>
  <si>
    <t>sBpFdbqWoNI</t>
  </si>
  <si>
    <t>2012 05 24</t>
  </si>
  <si>
    <t>https://youtu.be/YOuz7rTUP7M</t>
  </si>
  <si>
    <t>ISS Update - May 24, 2012</t>
  </si>
  <si>
    <t>The International Space Station video update for May 24, 2012.</t>
  </si>
  <si>
    <t>YOuz7rTUP7M</t>
  </si>
  <si>
    <t>https://youtu.be/lOSOfZCs2qQ</t>
  </si>
  <si>
    <t>Dragon Closes in on Station</t>
  </si>
  <si>
    <t>The SpaceX Dragon capsule closes in on the International Space Station for a series of tests to clear it for its final rendezvous and grapple.</t>
  </si>
  <si>
    <t>lOSOfZCs2qQ</t>
  </si>
  <si>
    <t>2012 05 23</t>
  </si>
  <si>
    <t>https://youtu.be/kFcXLNpVO90</t>
  </si>
  <si>
    <t>ISS Update  Astronaut Participates in Autonomous Mission Operations Test</t>
  </si>
  <si>
    <t>NASA Public Affairs Officer Brandi Dean talks with astronaut Alvin Drew who is participating in the Autonomous Mission Operations test, which looks at how communication delays will affect future deep space missions. 
Questions? Ask us on Twitter @NASA_Johnson and include the hashtag #askStation. For the latest news about the space station, visit http://www.nasa.gov/station.</t>
  </si>
  <si>
    <t>kFcXLNpVO90</t>
  </si>
  <si>
    <t>https://youtu.be/fCWT563ckpE</t>
  </si>
  <si>
    <t>ISS Update - May 23, 2012</t>
  </si>
  <si>
    <t>The International Space Station video update for May 23, 2012.</t>
  </si>
  <si>
    <t>fCWT563ckpE</t>
  </si>
  <si>
    <t>https://youtu.be/eQaCFrjWSBo</t>
  </si>
  <si>
    <t>ISS Update  Communication Delays During Deep Space Missions</t>
  </si>
  <si>
    <t>NASA Public Affairs Officer Brandi Dean talks with Jeremy Frank, Autonomous Mission Operations Test Principal Investigator, about how communication delays will affect future deep space missions and how NASA is preparing to deal with it. 
Questions? Ask us on Twitter @NASA_Johnson and include the hashtag #askStation. For the latest news about the space station, visit http://www.nasa.gov/station.</t>
  </si>
  <si>
    <t>eQaCFrjWSBo</t>
  </si>
  <si>
    <t>https://youtu.be/7nniQacLdfw</t>
  </si>
  <si>
    <t>ISS Update  Science and Commercial Vehicles</t>
  </si>
  <si>
    <t>NASA Public Affairs Office commentator Pat Ryan talks with Dr. Tara Ruttley, ISS Associate Program Scientist, about the science payload carried in the SpaceX Dragon spacecraft, the impact of commercial cargo ships on science activities and the ISS Research &amp; Development Conference in June. Questions? Ask us on Twitter @NASA_Johnson and include the hashtag #askStation. For the latest news about the space station, visit http://www.nasa.gov/station.</t>
  </si>
  <si>
    <t>7nniQacLdfw</t>
  </si>
  <si>
    <t>2012 05 22</t>
  </si>
  <si>
    <t>https://youtu.be/2VHCxltC91g</t>
  </si>
  <si>
    <t>ISS Update  The Role of OSO in Dragon's Demo Mission</t>
  </si>
  <si>
    <t>NASA Public Affairs Office commentator Pat Ryan talks with Brandon Moncla, Lead Operations Support Officer (OSO) for the SpaceX Dragon Demo Mission, about preparations for the Dragon berthing and hatch opening, and role of the OSO team in station operations.</t>
  </si>
  <si>
    <t>2VHCxltC91g</t>
  </si>
  <si>
    <t>https://youtu.be/8LUMvJD8tX8</t>
  </si>
  <si>
    <t>ISS Update - May 22, 2012</t>
  </si>
  <si>
    <t>The International Space Station video update for May 22, 2012.</t>
  </si>
  <si>
    <t>8LUMvJD8tX8</t>
  </si>
  <si>
    <t>https://youtu.be/kd4cHe9-iME</t>
  </si>
  <si>
    <t>Launch of SpaceX Falcon 9</t>
  </si>
  <si>
    <t>The SpaceX Falcon 9 and Dragon capsule lift off May 22, 2012, from Cape Canaveral Air Force station in Florida to begin a demonstration mission to the International Space Station.</t>
  </si>
  <si>
    <t>kd4cHe9-iME</t>
  </si>
  <si>
    <t>2012 05 21</t>
  </si>
  <si>
    <t>https://youtu.be/DhuxwKfi8IY</t>
  </si>
  <si>
    <t>ISS Update  SpaceX Dragon Launch Update</t>
  </si>
  <si>
    <t>NASA Public Affairs Office commentator Pat Ryan talks with Mike Horkachuck, NASA Project Executive for SpaceX, for an update on the SpaceX Dragon's next launch attempt scheduled for Tuesday at 3:44 a.m. EDT.
Questions? Ask us on Twitter @NASA_Johnson and include the hashtag #askStation. For the latest news about the space station, visit http://www.nasa.gov/station.</t>
  </si>
  <si>
    <t>DhuxwKfi8IY</t>
  </si>
  <si>
    <t>https://youtu.be/HUIPjYqbMIA</t>
  </si>
  <si>
    <t>ISS Update - May 21, 2012</t>
  </si>
  <si>
    <t>The International Space Station video update for May 21, 2012.</t>
  </si>
  <si>
    <t>HUIPjYqbMIA</t>
  </si>
  <si>
    <t>2012 05 18</t>
  </si>
  <si>
    <t>https://youtu.be/Ohs8TQxDuX8</t>
  </si>
  <si>
    <t>Science off the Sphere  Goo!</t>
  </si>
  <si>
    <t>International Space Station Expedition 31 astronaut Don Pettit uses his computer speakers to test the behavior of non-newtonian
fluids in the weightless environment aboard the station. Through a partnership between NASA and the American Physical Society you can participate in Pettit's physics challenge and view future experiments here: http://www.physicscentral.com/sots</t>
  </si>
  <si>
    <t>Ohs8TQxDuX8</t>
  </si>
  <si>
    <t>https://youtu.be/KRLCJ14tULQ</t>
  </si>
  <si>
    <t>ISS Update  Working With SpaceX Dragon</t>
  </si>
  <si>
    <t>NASA Public Affairs Officer Amiko Kauderer talks with Sean O'Rourke, Lead Visiting Vehicle Officer for SpaceX Dragon, about the coordination between NASA and SpaceX for the upcoming launch and docking of the first commercial cargo craft to visit the International Space Station.
Questions? Ask us on Twitter @NASA_Johnson and include the hashtag #askStation. For the latest news about the space station, visit http://www.nasa.gov/station.</t>
  </si>
  <si>
    <t>KRLCJ14tULQ</t>
  </si>
  <si>
    <t>https://youtu.be/3GZy4EK6Tic</t>
  </si>
  <si>
    <t>America's New Paths in Space</t>
  </si>
  <si>
    <t>A half century since it launched the first American to orbit, NASA has begun a new era of space exploration, embarking on two parallel paths of future spaceflight.</t>
  </si>
  <si>
    <t>3GZy4EK6Tic</t>
  </si>
  <si>
    <t>https://youtu.be/bA9PXqX_L4Y</t>
  </si>
  <si>
    <t>ISS Update  Weekly Recap for May 14, 2012</t>
  </si>
  <si>
    <t>The International Space Station Weekly Recap for May 14-18, 2012.</t>
  </si>
  <si>
    <t>bA9PXqX_L4Y</t>
  </si>
  <si>
    <t>2012 05 17</t>
  </si>
  <si>
    <t>https://youtu.be/Rat8vk1ZqN8</t>
  </si>
  <si>
    <t>ISS Update  Astronaut's Perspective</t>
  </si>
  <si>
    <t>NASA Public Affairs Officer Amiko Kauderer interviews veteran NASA astronaut Cady Coleman about what it's like to receive visitors on the International Space Station as well as her other experiences in space. Questions? Ask us on Twitter @NASA_Johnson and include the hashtag #askStation. For the latest news about the space station, visit http://www.nasa.gov/station.</t>
  </si>
  <si>
    <t>Rat8vk1ZqN8</t>
  </si>
  <si>
    <t>https://youtu.be/hK_iJTP8tLk</t>
  </si>
  <si>
    <t>ISS Update - May 17, 2012</t>
  </si>
  <si>
    <t>The International Space Station video update for May 17, 2012.</t>
  </si>
  <si>
    <t>hK_iJTP8tLk</t>
  </si>
  <si>
    <t>https://youtu.be/PXsd5lnb0WM</t>
  </si>
  <si>
    <t>Expedition 31 Welcomes Three New Crewmates</t>
  </si>
  <si>
    <t>Expedition 31 crew members Gennady Padalka, Joe Acaba and Sergei Revin were welcomed aboard the International Space Station after the hatches opened Thursday at 4:10 a.m. EDT. They docked to the Poisk module at 12:36 a.m. after a two day journey that began in Baikonur Cosmodrome, Kazakhstan aboard a Soyuz TMA-04M spacecraft.</t>
  </si>
  <si>
    <t>PXsd5lnb0WM</t>
  </si>
  <si>
    <t>https://youtu.be/1edR-eqo7bg</t>
  </si>
  <si>
    <t>New Crew Docks to Poisk Module</t>
  </si>
  <si>
    <t>Three new Expedition 31 crew members Gennady Padalka, Joe Acaba and Sergei Revin docked to the International Space Station's Poisk module Thursday May 17, at 12:36 a.m. EDT. They began their journey two days earlier when they launched aboard a Soyuz TMA-04M spacecraft from the Baikonur Cosmodrome, Kazakhstan.</t>
  </si>
  <si>
    <t>1edR-eqo7bg</t>
  </si>
  <si>
    <t>2012 05 16</t>
  </si>
  <si>
    <t>https://youtu.be/1GfAAokC4YY</t>
  </si>
  <si>
    <t>ISS Update  SpaceX Dragon Carrying Station Science</t>
  </si>
  <si>
    <t>NASA Public Affairs Officer Amiko Kauderer interviews Camille Alleyene,  International Space Station Assistant Program Scientist, about the science experiments flying to the station and returning to Earth aboard the SpaceX Dragon commercial cargo craft.
Questions? Ask us on Twitter @NASA_Johnson and include the hashtag #askStation. For the latest news about the space station, visit http://www.nasa.gov/station.</t>
  </si>
  <si>
    <t>1GfAAokC4YY</t>
  </si>
  <si>
    <t>https://youtu.be/VYtRIRNbPHo</t>
  </si>
  <si>
    <t>ISS Update - May 16, 2012</t>
  </si>
  <si>
    <t>The International Space Station video update for May 16, 2012.</t>
  </si>
  <si>
    <t>VYtRIRNbPHo</t>
  </si>
  <si>
    <t>2012 05 15</t>
  </si>
  <si>
    <t>https://youtu.be/WGY2v_Ge3d0</t>
  </si>
  <si>
    <t>ISS Update - May 15, 2012</t>
  </si>
  <si>
    <t>The International Space Station video update for May 15, 2012.</t>
  </si>
  <si>
    <t>WGY2v_Ge3d0</t>
  </si>
  <si>
    <t>https://youtu.be/nWHbDib7spI</t>
  </si>
  <si>
    <t>Expedition 31 Crew Launch</t>
  </si>
  <si>
    <t>The Soyuz TMA-04M spacecraft carrying Expedition 31 Flight Engineers Joe Acaba, Gennady Padalka and Sergei Revin blasts off from the Baikonur Cosmodrome in Kazakhstan at 11:01 p.m. EDT, May 14.</t>
  </si>
  <si>
    <t>nWHbDib7spI</t>
  </si>
  <si>
    <t>2012 05 14</t>
  </si>
  <si>
    <t>https://youtu.be/dXcrRyo1yS4</t>
  </si>
  <si>
    <t>Inside the ISS  Riding the Rocket</t>
  </si>
  <si>
    <t>NASA astronauts Suni Williams and Joe Acaba talk about what it's like to ride on a Soyuz and how it differs from a space shuttle launch.</t>
  </si>
  <si>
    <t>dXcrRyo1yS4</t>
  </si>
  <si>
    <t>https://youtu.be/Tt2ayBSnexo</t>
  </si>
  <si>
    <t>Inside the ISS  Training Together</t>
  </si>
  <si>
    <t>NASA astronauts Suni Williams and Joe Acaba discuss the training flow necessary to prepare for a mission aboard the International Space Station.</t>
  </si>
  <si>
    <t>Tt2ayBSnexo</t>
  </si>
  <si>
    <t>https://youtu.be/qYXVWGnr4kY</t>
  </si>
  <si>
    <t>Inside the ISS  Staying Connected</t>
  </si>
  <si>
    <t>NASA astronauts Suni Williams and Joe Acaba discuss keeping in contact with friends and relatives while they're on board the International Space Station for six months.</t>
  </si>
  <si>
    <t>qYXVWGnr4kY</t>
  </si>
  <si>
    <t>https://youtu.be/qnFNZGdKn7U</t>
  </si>
  <si>
    <t>Inside the ISS  Baikonur, the Secret City</t>
  </si>
  <si>
    <t>NASA astronauts Suni Williams and Joe Acaba talk about the formerly secret city of Baikonur in Kazakhstan, where launches of Russian rockets have occurred for decades.</t>
  </si>
  <si>
    <t>qnFNZGdKn7U</t>
  </si>
  <si>
    <t>https://youtu.be/GNbW9F4tr_I</t>
  </si>
  <si>
    <t>ISS Update  GPS and SpaceX Dragon Launch</t>
  </si>
  <si>
    <t>NASA Public Affairs Officer Amiko Kauderer interviews Mike Horkachuck, NASA's Project Executive for SpaceX, who provides an update on the upcoming launch of the SpaceX Dragon spacecraft, as well as the replacement of a Global Positioning System (GPS) unit on the International Space Station. Questions? Ask us on Twitter @NASA_Johnson and include the hashtag #askStation. For the latest news about the space station, visit http://www.nasa.gov/station.</t>
  </si>
  <si>
    <t>GNbW9F4tr_I</t>
  </si>
  <si>
    <t>https://youtu.be/BJ293OyB84M</t>
  </si>
  <si>
    <t>ISS Update - May 14, 2012</t>
  </si>
  <si>
    <t>The International Space Station video update for May 14, 2012.</t>
  </si>
  <si>
    <t>BJ293OyB84M</t>
  </si>
  <si>
    <t>2012 05 11</t>
  </si>
  <si>
    <t>https://youtu.be/9hO6I8ybLCA</t>
  </si>
  <si>
    <t>ISS Update  Weekly Recap for May 11, 2012</t>
  </si>
  <si>
    <t>The International Space Station Weekly Recap for May 7-11, 2012.</t>
  </si>
  <si>
    <t>9hO6I8ybLCA</t>
  </si>
  <si>
    <t>https://youtu.be/0g9nZRNjAAM</t>
  </si>
  <si>
    <t>Morpheus Tether Test %2315</t>
  </si>
  <si>
    <t>Morpheus conducts another tethered test, May 10, 2012. Morpheus is a full spacecraft and rocket-powered lander, which demonstrates new green technology, as well as an autonomous landing and hazard detection technology.</t>
  </si>
  <si>
    <t>0g9nZRNjAAM</t>
  </si>
  <si>
    <t>https://youtu.be/Eb8MfkgDFTA</t>
  </si>
  <si>
    <t>Morpheus Tether Test %2314</t>
  </si>
  <si>
    <t>Morpheus conducts another tethered test, May 5, 2012. Morpheus is a full spacecraft and rocket-powered lander, which demonstrates new green technology, as well as an autonomous landing and hazard detection technology.</t>
  </si>
  <si>
    <t>Eb8MfkgDFTA</t>
  </si>
  <si>
    <t>https://youtu.be/lSrmxAy8BwE</t>
  </si>
  <si>
    <t>Morpheus Tether Test %2313</t>
  </si>
  <si>
    <t>Morpheus conducts another tethered test, May 2, 2012. Morpheus is a full spacecraft and rocket-powered lander, which demonstrates new green technology, as well as an autonomous landing and hazard detection technology.</t>
  </si>
  <si>
    <t>lSrmxAy8BwE</t>
  </si>
  <si>
    <t>https://youtu.be/zW8-HKTB9tY</t>
  </si>
  <si>
    <t>Morpheus Tether Test %2312</t>
  </si>
  <si>
    <t>Morpheus conducts another tethered test, April 18, 2012. Morpheus is a full spacecraft and rocket-powered lander, which demonstrates new green technology, as well as an autonomous landing and hazard detection technology.</t>
  </si>
  <si>
    <t>zW8-HKTB9tY</t>
  </si>
  <si>
    <t>2012 05 10</t>
  </si>
  <si>
    <t>https://youtu.be/5F412sXS6pA</t>
  </si>
  <si>
    <t>Students Speak With ECLSS Officer Jesse Bazley</t>
  </si>
  <si>
    <t>From NASA's International Space Station Mission Control Center Kyle Herring, Public Affairs Officer, participates in a Digital Learning Network (DLN) event with Jesse Bazley, Environmental Control and Life Support Systems (ECLSS) Officer, and students at Corpus Christ Catholic School in Chambersburg, PA. The DLN connects students and teachers with NASA experts and education specialists using online communication technologies like video/web conferencing and webcasting.  Register for free, interactive events listed in the catalog or watch the webcasts. http://dln.nasa.gov</t>
  </si>
  <si>
    <t>5F412sXS6pA</t>
  </si>
  <si>
    <t>https://youtu.be/xKTN0CHq7sk</t>
  </si>
  <si>
    <t>ISS Update - May 10, 2012</t>
  </si>
  <si>
    <t>The International Space Station video update for May 10, 2012.</t>
  </si>
  <si>
    <t>xKTN0CHq7sk</t>
  </si>
  <si>
    <t>2012 05 09</t>
  </si>
  <si>
    <t>https://youtu.be/Jn7MdfdRFr0</t>
  </si>
  <si>
    <t>ISS Update - May 9, 2012</t>
  </si>
  <si>
    <t>The International Space Station video update for May 9, 2012.</t>
  </si>
  <si>
    <t>Jn7MdfdRFr0</t>
  </si>
  <si>
    <t>2012 05 08</t>
  </si>
  <si>
    <t>https://youtu.be/0BkR6JPCSvA</t>
  </si>
  <si>
    <t>ISS Update - May 8, 2012</t>
  </si>
  <si>
    <t>The International Space Station video update for May 8, 2012.</t>
  </si>
  <si>
    <t>0BkR6JPCSvA</t>
  </si>
  <si>
    <t>2012 05 07</t>
  </si>
  <si>
    <t>https://youtu.be/U0rl_-z1YwQ</t>
  </si>
  <si>
    <t>Science off the Sphere  Space Soundwaves</t>
  </si>
  <si>
    <t>International Space Station Expedition 30 astronaut Don Pettit demonstrates water oscillations on a speaker in microgravity, and ZZ Top rocks the boat 250 miles above Earth for "Science off the Sphere." Through a partnership between NASA and the American Physical Society you can participate in Pettit's physics challenge and view future experiments here: 
http://www.physicscentral.com/sots</t>
  </si>
  <si>
    <t>U0rl_-z1YwQ</t>
  </si>
  <si>
    <t>https://youtu.be/GPrd9hM4WFU</t>
  </si>
  <si>
    <t>ISS Update  Supermoon</t>
  </si>
  <si>
    <t>Public Affairs Officer Kyle Herring narrates video of the "supermoon" captured from the International Space Station during Expedition 31. Questions? Ask us on Twitter @NASA_Johnson and include the hashtag #askStation. For the latest news about the space station, visit http://www.nasa.gov/station.</t>
  </si>
  <si>
    <t>GPrd9hM4WFU</t>
  </si>
  <si>
    <t>https://youtu.be/kHI9bTsn7ds</t>
  </si>
  <si>
    <t>ISS Update - May 7, 2012</t>
  </si>
  <si>
    <t>The International Space Station video update for May 7, 2012</t>
  </si>
  <si>
    <t>kHI9bTsn7ds</t>
  </si>
  <si>
    <t>2012 05 04</t>
  </si>
  <si>
    <t>https://youtu.be/F1iQyFFX63o</t>
  </si>
  <si>
    <t>ISS Update  Weekly Recap for May 4, 2012</t>
  </si>
  <si>
    <t>The International Space Station Weekly Recap for April 30-May 4, 2012.</t>
  </si>
  <si>
    <t>F1iQyFFX63o</t>
  </si>
  <si>
    <t>2012 05 03</t>
  </si>
  <si>
    <t>https://youtu.be/yFGz3EjaFjA</t>
  </si>
  <si>
    <t>Students Speak With EVA Operations Specialist Glenda Brown</t>
  </si>
  <si>
    <t>From NASA's International Space Station Mission Control Center, EVA Operations Specialist Glenda Brown participates in a Digital Learning Network (DLN) event with students at Victory Lakes Intermediate School in League City, Texas. The DLN connects students and teachers with NASA experts and education specialists using online communication technologies like video/web conferencing and webcasting. Register for free, interactive events listed in the catalog or watch the webcasts. http://dln.nasa.gov</t>
  </si>
  <si>
    <t>yFGz3EjaFjA</t>
  </si>
  <si>
    <t>https://youtu.be/tOXJgYnyGoM</t>
  </si>
  <si>
    <t>ISS Update  American Physical Society</t>
  </si>
  <si>
    <t>NASA Public Affairs Officer Dan Huot talks with Becky Thompson, head of Public Outreach for the American Physical Society, a professional organization for physicists whose web site hosts astronaut Don Pettit's Science off the Sphere videos. Questions? Ask us on Twitter @NASA_Johnson and include the hashtag #askStation. For the latest news about the space station, visit http://www.nasa.gov/station.</t>
  </si>
  <si>
    <t>tOXJgYnyGoM</t>
  </si>
  <si>
    <t>https://youtu.be/w2fdRww2A14</t>
  </si>
  <si>
    <t>ISS Update  e-Textiles, Alerting Future Astronauts</t>
  </si>
  <si>
    <t>NASA Public Affairs Officer Lynnette Madison talks with students from the University of Minnesota about wearable technology, or e-textiles, containing visual, tactile and audio sensors to alert future astronauts in the event of an emergency. Questions? Ask us on Twitter @NASA_Johnson and include the hashtag #askStation. For the latest news about the space station, visit http://www.nasa.gov/station.</t>
  </si>
  <si>
    <t>w2fdRww2A14</t>
  </si>
  <si>
    <t>https://youtu.be/M85C7BsEP_g</t>
  </si>
  <si>
    <t>ISS Update  Wearable Technology</t>
  </si>
  <si>
    <t>NASA Public Affairs Officer Lynnette Madison talks with Human Interface Engineer Cory Simon about wearable technology containing sensors, displays and controls to assist future astronauts and augment their capability to perform more elaborate and complex tasks. Questions? Ask us on Twitter @NASA_Johnson and include the hashtag #askStation. For the latest news about the space station, visit http://www.nasa.gov/station.</t>
  </si>
  <si>
    <t>M85C7BsEP_g</t>
  </si>
  <si>
    <t>https://youtu.be/RGDkmkX1f94</t>
  </si>
  <si>
    <t>ISS Update - May 3, 2012</t>
  </si>
  <si>
    <t>The International Space Station video update for May 3, 2012</t>
  </si>
  <si>
    <t>RGDkmkX1f94</t>
  </si>
  <si>
    <t>2012 05 02</t>
  </si>
  <si>
    <t>https://youtu.be/0gEuzdgir2w</t>
  </si>
  <si>
    <t>ISS Update - May 2, 2012</t>
  </si>
  <si>
    <t>The International Space Station video update for May 2, 2012.</t>
  </si>
  <si>
    <t>0gEuzdgir2w</t>
  </si>
  <si>
    <t>2012 05 01</t>
  </si>
  <si>
    <t>https://youtu.be/dwxBC0n2SNI</t>
  </si>
  <si>
    <t>ISS Update - May 1, 2012</t>
  </si>
  <si>
    <t>The International Space Station video update for May 1, 2012.</t>
  </si>
  <si>
    <t>dwxBC0n2SNI</t>
  </si>
  <si>
    <t>https://youtu.be/vZO27PSZbrc</t>
  </si>
  <si>
    <t>NASA Public Affairs Officer Josh Byerly talks with space station training instructors Jeff Tuxhorn and Graeme Newman, who trained the space station crews on how to capture SpaceX's Dragon spacecraft using the station's robotic arm. Dragon will rendezvous with the space station, hold position approximately 10 meters away, and then the station crew will capture it with the arm and berth it to the bottom side of the Harmony node. Questions? Ask us on Twitter @NASA_Johnson and include the hashtag #askStation. For the latest news about the space station, visit http://www.nasa.gov/station.</t>
  </si>
  <si>
    <t>vZO27PSZbrc</t>
  </si>
  <si>
    <t>2012 04 30</t>
  </si>
  <si>
    <t>https://youtu.be/CNSmfxriT80</t>
  </si>
  <si>
    <t>ISS Update - April 30, 2012</t>
  </si>
  <si>
    <t>The International Space Station video update for April 30, 2012.</t>
  </si>
  <si>
    <t>CNSmfxriT80</t>
  </si>
  <si>
    <t>2012 04 27</t>
  </si>
  <si>
    <t>https://youtu.be/iiyK9_tgek0</t>
  </si>
  <si>
    <t>ISS Update  SpaceX Dragon</t>
  </si>
  <si>
    <t>NASA Public Affairs Officer Kylie Clem interviews Mike Horkachuck, NASA's Project Executive for SpaceX, about the progress and milestones leading up to the launch of the SpaceX Dragon spacecraft. Questions? Ask us on Twitter @NASA_Johnson and include the hashtag #askStation. For the latest news about the space station, visit http://www.nasa.gov/station.</t>
  </si>
  <si>
    <t>iiyK9_tgek0</t>
  </si>
  <si>
    <t>https://youtu.be/3m8hTq0xtkw</t>
  </si>
  <si>
    <t>Science off the Sphere  Earth in Infrared</t>
  </si>
  <si>
    <t>International Space Station Expedition 30 astronaut Don Pettit views cities, agricultural areas and deserts using an infrared camera for 'Science off the Sphere.' Through a partnership between NASA and the American Physical Society you can participate in Pettit's physics challenge and view future experiments here: http://www.physicscentral.com/sots</t>
  </si>
  <si>
    <t>3m8hTq0xtkw</t>
  </si>
  <si>
    <t>https://youtu.be/U9VFwGYRZQg</t>
  </si>
  <si>
    <t>Science off the Sphere  Fun with Antibubbles</t>
  </si>
  <si>
    <t>International Space Station Expedition 30 astronaut Don Pettit injects air bubbles inside a sphere of water to demonstrate physics in space for 'Science off the Sphere.' Through a partnership between NASA and the American Physical Society you can participate in Pettit's physics challenge and view future experiments here: http://www.physicscentral.com/sots</t>
  </si>
  <si>
    <t>U9VFwGYRZQg</t>
  </si>
  <si>
    <t>https://youtu.be/LhdCeiiAGjY</t>
  </si>
  <si>
    <t>ISS Update  Weekly Recap for April 27, 2012</t>
  </si>
  <si>
    <t>The International Space Station Weekly Recap for April 13-27, 2012.</t>
  </si>
  <si>
    <t>LhdCeiiAGjY</t>
  </si>
  <si>
    <t>https://youtu.be/0JnLhJhl_00</t>
  </si>
  <si>
    <t>Expedition 30 Landing</t>
  </si>
  <si>
    <t>The Soyuz TMA-22 spacecraft carrying Expedition 30 Commander Dan Burbank and Flight Engineers Anton Shkaplerov and Anatoly Ivanishin lands in Kazakhstan on April 27, 2012.</t>
  </si>
  <si>
    <t>0JnLhJhl_00</t>
  </si>
  <si>
    <t>https://youtu.be/PbLHgGbzTZI</t>
  </si>
  <si>
    <t>Expedition 30 Farewell, Hatch Closure, Undocking</t>
  </si>
  <si>
    <t>Expedition 30 Commander Dan Burbank and Flight Engineers Anatoly Ivanishin and Anton Shkaplerov say goodbye to their crewmates and leave the International Space Station aboard their Soyuz TMA-22 spacecraft early on the morning of April 27, 2012.</t>
  </si>
  <si>
    <t>PbLHgGbzTZI</t>
  </si>
  <si>
    <t>2012 04 26</t>
  </si>
  <si>
    <t>https://youtu.be/KPpWRXmEnR8</t>
  </si>
  <si>
    <t>Students Speak With ODIN Flight Controller Amy Brezinski</t>
  </si>
  <si>
    <t>From NASA's International Space Station Mission Control Center ODIN Flight Controller Amy Brezinski participates in a Digital Learning Network (DLN) event with students at Coppell Middle School in Coppell, Texas. The DLN connects students and teachers with NASA experts and education specialists using online communication technologies like video/web conferencing and webcasting. Register for free, interactive events listed in the catalog or watch the webcasts. http://dln.nasa.gov</t>
  </si>
  <si>
    <t>KPpWRXmEnR8</t>
  </si>
  <si>
    <t>https://youtu.be/L_NrzD5_D3E</t>
  </si>
  <si>
    <t>ISS Update  Station Command and Data Handling System</t>
  </si>
  <si>
    <t>NASA Public Affairs Officer Kylie Clem interviews ODIN flight controller Amy Brezinski, who monitors and commands the Command and Data Handling System for the International Space Station. Brezinski is responsible for monitoring over 48 computers on the station that control the station and all its systems. 
Questions? Ask us on Twitter @NASA_Johnson and include the hashtag #askStation. For the latest news about the space station, visit http://www.nasa.gov/station.</t>
  </si>
  <si>
    <t>L_NrzD5_D3E</t>
  </si>
  <si>
    <t>https://youtu.be/pXoaiZMcKn8</t>
  </si>
  <si>
    <t>ISS Update - April 26, 2012</t>
  </si>
  <si>
    <t>The International Space Station video update for April 26, 2012.</t>
  </si>
  <si>
    <t>pXoaiZMcKn8</t>
  </si>
  <si>
    <t>2012 04 25</t>
  </si>
  <si>
    <t>https://youtu.be/rJcV_kWIR2A</t>
  </si>
  <si>
    <t>Expedition 30 Commander Dan Burbank ceremonially handed the keys to the International Space Station over to Expedition 31 Commander Oleg Kononenko in a ceremony on the complex on April 25, 2012.</t>
  </si>
  <si>
    <t>rJcV_kWIR2A</t>
  </si>
  <si>
    <t>https://youtu.be/Su0I0T43aPg</t>
  </si>
  <si>
    <t>Students Speak With NASA Astronaut Mike Foreman</t>
  </si>
  <si>
    <t>From NASA's International Space Station Mission Control Center NASA astronaut Mike Foreman participates in a Digital Learning Network (DLN) event with fifth grade students at Berry Elementary School in Houston, Texas. The DLN connects students and teachers with NASA experts and education specialists using online communication technologies like video/web conferencing and webcasting. Register for free, interactive events listed in the catalog or watch the webcasts. http://dln.nasa.gov</t>
  </si>
  <si>
    <t>Su0I0T43aPg</t>
  </si>
  <si>
    <t>https://youtu.be/YfCws6c6_Tw</t>
  </si>
  <si>
    <t>Inside the Russian Soyuz Spacecraft</t>
  </si>
  <si>
    <t>In this episode of NASA: Behind the Scenes, take a tour inside the Russian Soyuz, the vehicle which takes the expedition crews back and forth to the International Space Station. Astronaut Mike Fincke, a veteran of the Soyuz and shuttle, shows off the features of the vehicles and talks about what it's like to be inside.</t>
  </si>
  <si>
    <t>YfCws6c6_Tw</t>
  </si>
  <si>
    <t>https://youtu.be/R157tS9t52Q</t>
  </si>
  <si>
    <t>ISS Update - April 25, 2012</t>
  </si>
  <si>
    <t>The International Space Station video update for April 25, 2012.</t>
  </si>
  <si>
    <t>R157tS9t52Q</t>
  </si>
  <si>
    <t>2012 04 24</t>
  </si>
  <si>
    <t>https://youtu.be/R9rqNX-U39g</t>
  </si>
  <si>
    <t>ISS Update - April 24, 2012</t>
  </si>
  <si>
    <t>The International Space Station video update for April 24, 2012.</t>
  </si>
  <si>
    <t>R9rqNX-U39g</t>
  </si>
  <si>
    <t>https://youtu.be/qbDSusHrvZ0</t>
  </si>
  <si>
    <t>Expedition 31 Crew Trains for Launch</t>
  </si>
  <si>
    <t>The Expedition 31 crew - astronaut Joe Acaba and cosmonauts Gennady Padalka and Sergei Revin -- trains at Star City, Russia, for its upcoming launch to the International Space Station. Their backup crew members -- astronaut Kevin Ford and cosmonauts  Oleg Novitskiy and Evgeny Tarelkin -- also participate.</t>
  </si>
  <si>
    <t>qbDSusHrvZ0</t>
  </si>
  <si>
    <t>2012 04 23</t>
  </si>
  <si>
    <t>https://youtu.be/ySEWSCoCvdg</t>
  </si>
  <si>
    <t>ISS Update - April 23, 2012</t>
  </si>
  <si>
    <t>The International Space Station video update for April 23, 2012.</t>
  </si>
  <si>
    <t>ySEWSCoCvdg</t>
  </si>
  <si>
    <t>2012 04 20</t>
  </si>
  <si>
    <t>https://youtu.be/7pjboLP3IGw</t>
  </si>
  <si>
    <t>ISS Update  Weekly Recap for April 20, 2012</t>
  </si>
  <si>
    <t>The International Space Station Weekly Recap for April 16-20, 2012.</t>
  </si>
  <si>
    <t>7pjboLP3IGw</t>
  </si>
  <si>
    <t>https://youtu.be/3pz-Xm5r-X8</t>
  </si>
  <si>
    <t>ISS Update  Earth Observations From Space Station</t>
  </si>
  <si>
    <t>NASA Public Affairs Officer Amiko Kauderer interviews Cynthia Evans, Space Station Associate Program Scientist for Earth Observations, as NASA prepares to celebrate Earth Day. Evans discusses the types of observational data that can be collected by crew members and scientific instruments aboard the space station and their uses in understanding our world. 
Questions? Ask us on Twitter @NASA_Johnson and include the hashtag #askStation. For the latest news about the space station, visit http://www.nasa.gov/station.</t>
  </si>
  <si>
    <t>3pz-Xm5r-X8</t>
  </si>
  <si>
    <t>https://youtu.be/hWz5ltE_I4c</t>
  </si>
  <si>
    <t>Walking On Air</t>
  </si>
  <si>
    <t>This video features a series of time lapse sequences photographed by the Expedition 30 crew aboard the International Space Station.  Set to the song "Walking in the Air," by Howard Blake, the video takes viewers around the world, through auroras, and over dazzling lightning displays.  The sequences are as follows:
:01 -- Stars over southern United States
:08 -- US west coast to Canada
:21 -- Central Europe to the Middle East
:36 -- Aurora Australis over the Indian Ocean
:54 -- Storms over Africa
1:08 -- Central United States
1:20 -- Midwest United States
1:33 -- United Kingdom to Baltic Sea
1:46 -- Moonset
1:55 -- Northern United States to Eastern Canada
2:12 -- Aurora Australis over the Indian Ocean
2:32 -- Comet Lovejoy
2:53 -- Aurora Borealis over Hudson Bay
3:06 -- United Kingdom to Central Europe
Song lyrics:
We're walking in the air
We're floating in the moonlit sky
The people far below are sleeping as we fly
I'm holding very tight
I'm riding in the midnight blue
I'm finding I can fly so high above with you
Far across the world
The villages go by like dreams
The rivers and the hills
The forests and the streams
Children gaze open mouth
Taken by surprise
Nobody down below believes their eyes
We're surffing in the air
We're swimming in the frozen sky
We're drifting over icy
Mountain floating by
Suddenly swooping low on an ocean deep
Arousing of a mighty monster from its sleep
We're walking in the air
We're floating in the midnight sky
And everyone who sees us greets us as we fly
This video can also be seen on the NASA website: http://www.nasa.gov/multimedia/videogallery/index.html?media_id=141042671
https://archive.org/details/Walking-on-Air</t>
  </si>
  <si>
    <t>hWz5ltE_I4c</t>
  </si>
  <si>
    <t>2012 04 19</t>
  </si>
  <si>
    <t>https://youtu.be/YasuPf09rrs</t>
  </si>
  <si>
    <t>ISS Update  From Orbiting Earth to Living Underwater</t>
  </si>
  <si>
    <t>NASA Public Affairs Officer Brandi Dean interviews astronaut and NEEMO (NASA Extreme Environment Mission Operations) 16 Commander Dottie Metcalf-Lindenburger. Three NASA astronauts, a NASA researcher and two researchers from the National Undersea Research Center will work underwater off the Florida coast beginning in June simulating a mission to an asteroid. Questions? Ask us on Twitter @NASA_Johnson and include the hashtag #askStation. For the latest news about the space station, visit http://www.nasa.gov/station.</t>
  </si>
  <si>
    <t>YasuPf09rrs</t>
  </si>
  <si>
    <t>https://youtu.be/CQ2lFUJUMIk</t>
  </si>
  <si>
    <t>ISS Update  NEEMO Training Simulates Working on an Asteroid</t>
  </si>
  <si>
    <t>NASA Public Affairs Officer Brandi Dean interviews Bill Todd, Mission Manager for NEEMO (NASA Extreme Environment Mission Operations). Three NASA astronauts, a NASA researcher and two researchers from the National Undersea Research Center will work underwater off the Florida coast beginning in June simulating a mission to an asteroid. Questions? Ask us on Twitter @NASA_Johnson and include the hashtag #askStation. For the latest news about the space station, visit http://www.nasa.gov/station.</t>
  </si>
  <si>
    <t>CQ2lFUJUMIk</t>
  </si>
  <si>
    <t>https://youtu.be/HuXbXSJfCEs</t>
  </si>
  <si>
    <t>ISS Update - April 19, 2012</t>
  </si>
  <si>
    <t>The International Space Station video update for April 19, 2012.</t>
  </si>
  <si>
    <t>HuXbXSJfCEs</t>
  </si>
  <si>
    <t>2012 04 18</t>
  </si>
  <si>
    <t>https://youtu.be/t4I3ZRTefEo</t>
  </si>
  <si>
    <t>SpaceX Dragon Briefing  April 16, 2012 - Part 2 With Q&amp;A</t>
  </si>
  <si>
    <t>On April 16, 2012, a preflight briefing regarding the SpaceX Dragon cargo vehicle, followed by a question and answer session, was held at NASA's Johnson Space Center.  Briefing participants were NASA's Administrator for Human Exploration and Operations Bill Gerstenmaier, International Space Station Program Manager Mike Suffredini, NASA's Commerical Orbital Transportation Services Program Manager Alan Lindenmoyer, SpaceX's Chief Executive Officer and Chief Designer Elon Musk and NASA Flight Director Holly Ridings.</t>
  </si>
  <si>
    <t>t4I3ZRTefEo</t>
  </si>
  <si>
    <t>https://youtu.be/S7eMODqLBrQ</t>
  </si>
  <si>
    <t>SpaceX Dragon Briefing  April 16, 2012 - Part 1</t>
  </si>
  <si>
    <t>On April 16, 2012, a preflight briefing regarding the SpaceX Dragon cargo vehicle was held at NASA's Johnson Space Center.  Briefing participants were NASA's Administrator for Human Exploration and Operations Bill Gerstenmaier, International Space Station Program Manager Mike Suffredini, NASA's Commerical Orbital Transportation Services Program Manager Alan Lindenmoyer, SpaceX's Chief Executive Officer and Chief Designer Elon Musk and NASA Flight Director Holly Ridings.</t>
  </si>
  <si>
    <t>S7eMODqLBrQ</t>
  </si>
  <si>
    <t>https://youtu.be/9EnQ3KOJ8iM</t>
  </si>
  <si>
    <t>ISS Update - April 18, 2012</t>
  </si>
  <si>
    <t>The International Space Station video update for April 18, 2012.</t>
  </si>
  <si>
    <t>9EnQ3KOJ8iM</t>
  </si>
  <si>
    <t>https://youtu.be/zP8wRbWAzYY</t>
  </si>
  <si>
    <t>ISS Update  Preparing to Leave the Station</t>
  </si>
  <si>
    <t>NASA Public Affairs Officer Amiko Kauderer interviews NASA astronaut Mike Fossum about his time as commander of the International Space Station's Expedition 29 crew, including his preparations for returning to Earth. Questions? Ask us on Twitter @NASA_Johnson and include the hashtag #askStation. For the latest news about the space station, visit http://www.nasa.gov/station.</t>
  </si>
  <si>
    <t>zP8wRbWAzYY</t>
  </si>
  <si>
    <t>https://youtu.be/9mxHskEK_Os</t>
  </si>
  <si>
    <t>Expedition 30 Flight Engineer Don Pettit on SpaceX Dragon</t>
  </si>
  <si>
    <t>Expedition 30 Flight Engineer Don Pettit talks about the SpaceX Dragon vehicle, which will be the first commercial spacecraft to deliver supplies to the International Space Station.</t>
  </si>
  <si>
    <t>9mxHskEK_Os</t>
  </si>
  <si>
    <t>https://youtu.be/hmJU--0tckc</t>
  </si>
  <si>
    <t>Expedition 30 Commander Dan Burbank on Returning to Earth</t>
  </si>
  <si>
    <t>Expedition 30 Commander talks about his upcoming return to Earth - along with Flight Engineers Anatoly Ivanishin and Anton Shkaplerov - and his experiences working aboard the International Space Station.</t>
  </si>
  <si>
    <t>hmJU--0tckc</t>
  </si>
  <si>
    <t>2012 04 16</t>
  </si>
  <si>
    <t>https://youtu.be/WdzKlmMFGA8</t>
  </si>
  <si>
    <t>ISS Update  Solar Powered Refrigerator</t>
  </si>
  <si>
    <t>NASA Public Affairs Officer Dan Huot interviews Mike Ewert, Life Support and Thermal Systems Engineer. Ewert co-invented the solar powered refrigerator for stowage of medical samples, preservation of food and cooling of astronauts and their habitats. Questions? Ask us on Twitter @NASA_Johnson and include the hashtag #askStation. For the latest news about the space station, visit http://www.nasa.gov/station.</t>
  </si>
  <si>
    <t>WdzKlmMFGA8</t>
  </si>
  <si>
    <t>https://youtu.be/SnPQb10rFw4</t>
  </si>
  <si>
    <t>ISS Update - April 16, 2012</t>
  </si>
  <si>
    <t>The International Space Station video update for April 16, 2012.</t>
  </si>
  <si>
    <t>SnPQb10rFw4</t>
  </si>
  <si>
    <t>2012 04 13</t>
  </si>
  <si>
    <t>https://youtu.be/PE5itvVLWsg</t>
  </si>
  <si>
    <t>ISS Update  Weekly Recap for April 13, 2012</t>
  </si>
  <si>
    <t>The International Space Station Weekly Recap for April 9-13, 2012. Questions? Ask us on Twitter @NASA_Johnson and include the hashtag #askStation. For the latest news about the space station, visit http://www.nasa.gov/station.</t>
  </si>
  <si>
    <t>PE5itvVLWsg</t>
  </si>
  <si>
    <t>2012 04 12</t>
  </si>
  <si>
    <t>https://youtu.be/5WblS6Gn-sY</t>
  </si>
  <si>
    <t>Morpheus Tether Test %2311</t>
  </si>
  <si>
    <t>Morpheus conducts another tethered test, April 11, 2012. Morpheus is a full spacecraft and rocket-powered lander, which demonstrates new green technology, as well as an autonomous landing and hazard detection technology.
Read more about Morpheus testing:
http://www.nasa.gov/centers/johnson/exploration/morpheus/index.html
http://morpheuslander.jsc.nasa.gov/</t>
  </si>
  <si>
    <t>5WblS6Gn-sY</t>
  </si>
  <si>
    <t>https://youtu.be/a3nge7WcpzM</t>
  </si>
  <si>
    <t>Morpheus Tether Test %2310</t>
  </si>
  <si>
    <t>Morpheus conducts another tethered test, April 5, 2012. Morpheus is a full spacecraft and rocket-powered lander, which demonstrates new green technology, as well as an autonomous landing and hazard detection technology.
Read more about Morpheus testing:
http://www.nasa.gov/centers/johnson/exploration/morpheus/index.html
http://morpheuslander.jsc.nasa.gov/</t>
  </si>
  <si>
    <t>a3nge7WcpzM</t>
  </si>
  <si>
    <t>https://youtu.be/lKaRRVt7a48</t>
  </si>
  <si>
    <t>Students Speak With NASA Astronaut Dottie Metcalf-Lindenburger</t>
  </si>
  <si>
    <t>From NASA's International Space Station Mission Control Center NASA astronaut Dottie Metcalf-Lindenburger participates in a Digital Learning Network (DLN) event with students at Heritage Middle School in Idaho. The DLN connects students and teachers with NASA experts and education specialists using online communication technologies like video/web conferencing and webcasting. Register for free, interactive events listed in the catalog or watch the webcasts. http://dln.nasa.gov</t>
  </si>
  <si>
    <t>lKaRRVt7a48</t>
  </si>
  <si>
    <t>https://youtu.be/0E0Du7aSTss</t>
  </si>
  <si>
    <t>ISS Update - April 12, 2012</t>
  </si>
  <si>
    <t>The International Space Station video update for April 12, 2012.</t>
  </si>
  <si>
    <t>0E0Du7aSTss</t>
  </si>
  <si>
    <t>2012 04 11</t>
  </si>
  <si>
    <t>https://youtu.be/4qM7O5fctK4</t>
  </si>
  <si>
    <t>ISS Update  Carrying Discovery to its Final Destination</t>
  </si>
  <si>
    <t>NASA Public Affairs Officer Josh Byerly interviews Shuttle Carrier Aircraft Pilot Jeff Moultrie and Flight Engineer Henry Taylor. They talk about the effort required to take off, fly and land with the space shuttle mated to the modified 747 jumbo jet and their thoughts about the end of the Space Shuttle Program. Questions? Ask us on Twitter @NASA_Johnson and include the hashtag #askStation. For the latest news about the space station, visit http://www.nasa.gov/station.</t>
  </si>
  <si>
    <t>4qM7O5fctK4</t>
  </si>
  <si>
    <t>https://youtu.be/qd7meVJ7_fQ</t>
  </si>
  <si>
    <t>ISS Update  Diagnosing Astronauts in Space From Here on Earth</t>
  </si>
  <si>
    <t>NASA Public Affairs Officer Josh Byerly interviews Ed Powers, NASA Flight Surgeon, about how flight doctors work with crew members, diagnosing astronauts in space from Earth and impacts to life here on Earth. Questions? Ask us on Twitter @NASA_Johnson and include the hashtag #askStation. For the latest news about the space station, visit http://www.nasa.gov/station.</t>
  </si>
  <si>
    <t>qd7meVJ7_fQ</t>
  </si>
  <si>
    <t>https://youtu.be/vsUbTXSJWWM</t>
  </si>
  <si>
    <t>ISS Update - April 11, 2012</t>
  </si>
  <si>
    <t>The International Space Station video update for April 11, 2012.</t>
  </si>
  <si>
    <t>vsUbTXSJWWM</t>
  </si>
  <si>
    <t>2012 04 10</t>
  </si>
  <si>
    <t>https://youtu.be/Ddll2RB00Eg</t>
  </si>
  <si>
    <t>ISS Update - April 10, 2012</t>
  </si>
  <si>
    <t>The International Space Station video update for April 10, 2012.</t>
  </si>
  <si>
    <t>Ddll2RB00Eg</t>
  </si>
  <si>
    <t>2012 04 09</t>
  </si>
  <si>
    <t>https://youtu.be/lvBa5Oiej_U</t>
  </si>
  <si>
    <t>Orion Parachute Testing  Fed. 29, 2012</t>
  </si>
  <si>
    <t>Performed on Feb. 29, 2012 at the U.S. Army Yuma Proving Grounds, this is the third in a series of the most flight-like parachute tests to date with a representative parachute compartment for the Orion spacecraft.  It is the first such test to use a capsule shape representing Orion, known as a Parachute Test Vehicle.  This video is narrated by Chris Johnson, project manager of the Orion Capsule Parachute Assembly Project.</t>
  </si>
  <si>
    <t>lvBa5Oiej_U</t>
  </si>
  <si>
    <t>https://youtu.be/2iq_zWQemmQ</t>
  </si>
  <si>
    <t>Orion Parachute Testing  Fed. 29, 2012 (No Narration)</t>
  </si>
  <si>
    <t>Performed on Feb. 29, 2012 at the U.S. Army Yuma Proving Grounds, this is the third in a series of the most flight-like parachute tests to date with a representative parachute compartment for the Orion spacecraft.  It is the first such test to use a capsule shape representing Orion, known as a Parachute Test Vehicle.</t>
  </si>
  <si>
    <t>2iq_zWQemmQ</t>
  </si>
  <si>
    <t>https://youtu.be/yy2H5QbYnQQ</t>
  </si>
  <si>
    <t>ISS Update - April 9, 2012</t>
  </si>
  <si>
    <t>The International Space Station video update for April 9, 2012.</t>
  </si>
  <si>
    <t>yy2H5QbYnQQ</t>
  </si>
  <si>
    <t>2012 04 06</t>
  </si>
  <si>
    <t>https://youtu.be/OJeubyDL2dI</t>
  </si>
  <si>
    <t>ISS Update  Space Flight and the Immune System</t>
  </si>
  <si>
    <t>NASA Public Affairs Officer Kelly Humphries interviews Brian Crucian, NASA immunologist, about the issues with space flight and the immune system. Questions? Ask us on Twitter @NASA_Johnson and include the hashtag #askStation. For the latest news about the space station, visit http://www.nasa.gov/station.</t>
  </si>
  <si>
    <t>OJeubyDL2dI</t>
  </si>
  <si>
    <t>https://youtu.be/CyG0IzEzvBE</t>
  </si>
  <si>
    <t>ISS Update  Weekly Recap for April 6, 2012</t>
  </si>
  <si>
    <t>The International Space Station Weekly Recap for April 2-6, 2012. Questions? Ask us on Twitter @NASA_Johnson and include the hashtag #askStation. For the latest news about the space station, visit http://www.nasa.gov/station.</t>
  </si>
  <si>
    <t>CyG0IzEzvBE</t>
  </si>
  <si>
    <t>https://youtu.be/3PWPTqvPc6s</t>
  </si>
  <si>
    <t>Dan Burbank Gives a Station Tour</t>
  </si>
  <si>
    <t>Expedition 30 Commander Dan Burbank gives a video tour of the International Space Station, highlighting some of the science facilities and equipment aboard the orbiting laboratory.</t>
  </si>
  <si>
    <t>3PWPTqvPc6s</t>
  </si>
  <si>
    <t>2012 04 05</t>
  </si>
  <si>
    <t>https://youtu.be/czyjjarl31Q</t>
  </si>
  <si>
    <t>Students Speak With Todd Quasny, ODIN Flight Controller</t>
  </si>
  <si>
    <t>From NASA's International Space Station Mission Control Center Todd Quasny, ODIN Flight Controller, participates in a Digital Learning Network (DLN) event with students at Northeast Nodaway Elementary School in Ravenwood, Mo. The DLN connects students and teachers with NASA experts and education specialists using online communication technologies like video/web conferencing and webcasting. Register for free, interactive events listed in the catalog or watch the webcasts. http://dln.nasa.gov</t>
  </si>
  <si>
    <t>czyjjarl31Q</t>
  </si>
  <si>
    <t>https://youtu.be/kDf4QJb0WCU</t>
  </si>
  <si>
    <t>ISS Update - April 5, 2012</t>
  </si>
  <si>
    <t>The International Space Station video update for April 5, 2012.</t>
  </si>
  <si>
    <t>kDf4QJb0WCU</t>
  </si>
  <si>
    <t>2012 04 04</t>
  </si>
  <si>
    <t>https://youtu.be/-snynzc0hAs</t>
  </si>
  <si>
    <t>ISS Update  Ground Control in Mission Control Center</t>
  </si>
  <si>
    <t>NASA Public Affairs Officer Dan Huot interview Bill Foster, Ground Controller for  NASA's Mission Control Center in Houston. 
Questions? Ask us on Twitter @NASA_Johnson and include the hashtag #askStation. For the latest news about the space station, visit http://www.nasa.gov/station.</t>
  </si>
  <si>
    <t>-snynzc0hAs</t>
  </si>
  <si>
    <t>https://youtu.be/rf9zgz834kQ</t>
  </si>
  <si>
    <t>ISS Update - April 4, 2012</t>
  </si>
  <si>
    <t>The International Space Station video update for April 4, 2012.</t>
  </si>
  <si>
    <t>rf9zgz834kQ</t>
  </si>
  <si>
    <t>2012 04 03</t>
  </si>
  <si>
    <t>https://youtu.be/5vP8DS-yre0</t>
  </si>
  <si>
    <t>ISS Update  ATV-3 Cargo Transfer Activities</t>
  </si>
  <si>
    <t>NASA Public Affairs Officer Dan Huot interviews Michael Ferullo, ATV-3 Lead Inventory and Stowage Officer. Transferring cargo to and from a docked resupply ship is a complex and time-consuming activity for the station residents.
Questions? Ask us on Twitter @NASA_Johnson and include the hashtag #askStation. For the latest news about the space station, visit http://www.nasa.gov/station.</t>
  </si>
  <si>
    <t>5vP8DS-yre0</t>
  </si>
  <si>
    <t>https://youtu.be/IrazH3I6KWg</t>
  </si>
  <si>
    <t>Students Speak With Expedition 30 Crew</t>
  </si>
  <si>
    <t>The International Space Station's Expedition 30 crew participates in a Digital Learning Network (DLN) event with students at O. Henry Middle School in Austin, Texas. The DLN connects students and teachers with NASA experts and education specialists using online communication technologies like video/web conferencing and webcasting. Register for free, interactive events listed in the catalog or watch the webcasts. http://dln.nasa.gov</t>
  </si>
  <si>
    <t>IrazH3I6KWg</t>
  </si>
  <si>
    <t>https://youtu.be/NdyjtXn3YdQ</t>
  </si>
  <si>
    <t>ISS Update - April 3, 2012</t>
  </si>
  <si>
    <t>The International Space Station video update for April 3, 2012.</t>
  </si>
  <si>
    <t>NdyjtXn3YdQ</t>
  </si>
  <si>
    <t>2012 04 02</t>
  </si>
  <si>
    <t>https://youtu.be/nJdWUifhkbE</t>
  </si>
  <si>
    <t>Reduced Gravity Education Flight Program</t>
  </si>
  <si>
    <t>NASA's Reduced Gravity Education Flight Program gives students and educators the opportunity to design, build and fly an experiment in microgravity and get a look at what it takes to be a NASA engineer or scientist.</t>
  </si>
  <si>
    <t>nJdWUifhkbE</t>
  </si>
  <si>
    <t>https://youtu.be/rrU0jvZoAlk</t>
  </si>
  <si>
    <t>ISS Update  Reduced Gravity Education</t>
  </si>
  <si>
    <t>NASA Public Affairs Officer Dan Huot interviews Veronica Seyl, Acting Manager for Reduced Gravity Education. NASA works with students and educators to design experiments for flight testing aboard the microgravity aircraft.
Questions? Ask us on Twitter @NASA_Johnson and include the hashtag #askStation. For the latest news about the space station, visit http://www.nasa.gov/station.</t>
  </si>
  <si>
    <t>rrU0jvZoAlk</t>
  </si>
  <si>
    <t>https://youtu.be/7e4cmU5fbxA</t>
  </si>
  <si>
    <t>ISS Update - April 2, 2012</t>
  </si>
  <si>
    <t>The International Space Station video update for April 2, 2012.</t>
  </si>
  <si>
    <t>7e4cmU5fbxA</t>
  </si>
  <si>
    <t>2012 03 30</t>
  </si>
  <si>
    <t>https://youtu.be/Iz2w0QOz7UE</t>
  </si>
  <si>
    <t>ISS Update  Weekly Recap for March 30, 2012</t>
  </si>
  <si>
    <t>The International Space Station Weekly Recap for March 26-30, 2012. 
Questions? Ask us on Twitter @NASA_Johnson and include the hashtag #askStation. For the latest news about the space station, visit http://www.nasa.gov/station.</t>
  </si>
  <si>
    <t>Iz2w0QOz7UE</t>
  </si>
  <si>
    <t>https://youtu.be/iPekDRPIt_U</t>
  </si>
  <si>
    <t>ISS Update  ATV-3's Science Payload</t>
  </si>
  <si>
    <t>ISS Update Commentator Pat Ryan interviews Camille Alleyne, Assistant Program Scientist for International Space Station. They discuss the science payload that was delivered to the station and crew aboard the "Edoardo Amaldi" Automated Transfer Vehicle-3 (ATV-3). Questions? Ask us on Twitter @NASA_Johnson and include the hashtag #askStation. For the latest news about the space station, visit http://www.nasa.gov/station.</t>
  </si>
  <si>
    <t>iPekDRPIt_U</t>
  </si>
  <si>
    <t>2012 03 29</t>
  </si>
  <si>
    <t>https://youtu.be/_qn9IcQKAwQ</t>
  </si>
  <si>
    <t>Students Speak With Angela Bauer, Facilities Operations and Maintenance Group Lead</t>
  </si>
  <si>
    <t>From NASA's International Space Station Mission Control Center Angela Bauer, Facilities Operations and Maintenance Group lead in the Mission Operations Directorate at Johnson Space Center, participates in a Digital Learning Network (DLN) event with students at Dowell Middle School in McKinney, Texas. The DLN connects students and teachers with NASA experts and education specialists using online communication technologies like video/web conferencing and webcasting. Register for free, interactive events listed in the catalog or watch the webcasts. http://dln.nasa.gov</t>
  </si>
  <si>
    <t>_qn9IcQKAwQ</t>
  </si>
  <si>
    <t>https://youtu.be/3UUMQ_uzv3Q</t>
  </si>
  <si>
    <t>ISS Update  Keeping the Flight Control Rooms Running</t>
  </si>
  <si>
    <t>ISS Update Commentator Pat Ryan interviews Angela Bauer, Facilities Operations and Maintenance Group lead in the Mission Operations Directorate at Johnson Space Center. They discuss her group's role in taking care of the Mission Control Center, including the four flight control rooms, as well as in the transition and retirement of the space shuttle. Questions? Ask us on Twitter @NASA_Johnson and include the hashtag #askStation. For the latest news about the space station, visit http://www.nasa.gov/station.</t>
  </si>
  <si>
    <t>3UUMQ_uzv3Q</t>
  </si>
  <si>
    <t>https://youtu.be/sTm-uBIKHEs</t>
  </si>
  <si>
    <t>ISS Update - March 29, 2012</t>
  </si>
  <si>
    <t>The International Space Station video update for March 29, 2012.</t>
  </si>
  <si>
    <t>sTm-uBIKHEs</t>
  </si>
  <si>
    <t>https://youtu.be/QBvfEm2Ab5g</t>
  </si>
  <si>
    <t>ISS Update  Role of Women in Space Program</t>
  </si>
  <si>
    <t>From the historic Apollo Flight Control Room at the Johnson Space Center in Houston, NASA Public Affairs Officer Brandi Dean talks with Estella Gillette, who began her career at Johnson in 1964.
Questions? Ask us on Twitter @NASA_Johnson and include the hashtag #askStation. For the latest news about the space station, visit http://www.nasa.gov/station.</t>
  </si>
  <si>
    <t>QBvfEm2Ab5g</t>
  </si>
  <si>
    <t>https://youtu.be/oFI3Gla2eig</t>
  </si>
  <si>
    <t>From the historic Apollo Flight Control Room at the Johnson Space Center in Houston, NASA Public Affairs Officer Brandi Dean talks with Selena Post, who began her career at Johnson in 1967.
Questions? Ask us on Twitter @NASA_Johnson and include the hashtag #askStation. For the latest news about the space station, visit http://www.nasa.gov/station.</t>
  </si>
  <si>
    <t>oFI3Gla2eig</t>
  </si>
  <si>
    <t>2012 03 28</t>
  </si>
  <si>
    <t>https://youtu.be/8UWJ_vjqP9s</t>
  </si>
  <si>
    <t>ATV-3 Arrives at Station</t>
  </si>
  <si>
    <t>The "Edoardo Amaldi" Automated Transfer Vehicle-3 (ATV-3) docked automatically to the aft port of the Zvezda service module on the International Space Station at 6:31 p.m. EDT Wednesday.</t>
  </si>
  <si>
    <t>8UWJ_vjqP9s</t>
  </si>
  <si>
    <t>https://youtu.be/AdT1f8fvlf4</t>
  </si>
  <si>
    <t>ISS Update  Astronaut T.J. Creamer Continues Station Support at Marshall</t>
  </si>
  <si>
    <t>Media Specialist Lori Meggs talks with astronaut T.J. Creamer about his new role as a Payload Operations Director at NASA's Marshall Space Flight Center in Huntsville, Ala. 
Creamer spent 161 days aboard the International Space Station beginning in December 2009 as a flight engineer and NASA science officer for Expedition 22/23.
Questions? Ask us on Twitter @NASA_Johnson and include the hashtag #askStation. For the latest news about the space station, visit http://www.nasa.gov/station.</t>
  </si>
  <si>
    <t>AdT1f8fvlf4</t>
  </si>
  <si>
    <t>https://youtu.be/barTCHH0IFs</t>
  </si>
  <si>
    <t>ISS Update - March 28, 2012</t>
  </si>
  <si>
    <t>The International Space Station video update for March 28, 2012.</t>
  </si>
  <si>
    <t>barTCHH0IFs</t>
  </si>
  <si>
    <t>https://youtu.be/CrTUpTDyGpI</t>
  </si>
  <si>
    <t>Science off the Sphere  Lenses and Vortices</t>
  </si>
  <si>
    <t>International Space Station Expedition 30 astronaut Don Pettit demonstrates physics in space for 'Science off the Sphere.' Through a partnership between NASA and the American Physical Society you can participate in Pettit's physics challenge and view future experiments here: http://www.physicscentral.com/sots</t>
  </si>
  <si>
    <t>CrTUpTDyGpI</t>
  </si>
  <si>
    <t>2012 03 27</t>
  </si>
  <si>
    <t>https://youtu.be/1aTiyV5rEVQ</t>
  </si>
  <si>
    <t>ISS Update  High Rate Communications System</t>
  </si>
  <si>
    <t>ISS Update Commentator Pat Ryan interviews Diego Serna, Communications and Tracking Officer, about the High Rate Communications System which will add additional voice and video channels as well as a faster communication speeds to improve communications between the space station and the ground.. Questions? Ask us on Twitter @NASA_Johnson and include the hashtag #askStation. For the latest news about the space station, visit http://www.nasa.gov/station.</t>
  </si>
  <si>
    <t>1aTiyV5rEVQ</t>
  </si>
  <si>
    <t>https://youtu.be/R5gdAlRPBCU</t>
  </si>
  <si>
    <t>ISS Update - March 27, 2012</t>
  </si>
  <si>
    <t>The International Space Station video update for March 27, 2012.</t>
  </si>
  <si>
    <t>R5gdAlRPBCU</t>
  </si>
  <si>
    <t>https://youtu.be/qWa380jfeY0</t>
  </si>
  <si>
    <t>Back at the ISS</t>
  </si>
  <si>
    <t>"Back at the ISS" is a rocking musical greeting to ESA Astronaut André Kuipers, Russian cosmonaut Oleg Kononenko and the entire crew of the International Space Station on the occasion of the docking of ESA's third Automated Transfer Vehicle (ATV), Edoardo Amaldi, set for 28 March 2012. Video courtesy of the European Space Agency.</t>
  </si>
  <si>
    <t>qWa380jfeY0</t>
  </si>
  <si>
    <t>2012 03 26</t>
  </si>
  <si>
    <t>https://youtu.be/6c2qNgXQkWE</t>
  </si>
  <si>
    <t>ISS Update  Burning and Suppression of Solids</t>
  </si>
  <si>
    <t>ISS Update Commentator Pat Ryan interviews Paul Ferkul, Principal Investigator for the Burning and Suppression of Solids (BASS) experiment, about performing combustion experiments in microgravity. Questions? Ask us on Twitter @NASA_Johnson and include the hashtag #askStation. For the latest news about the space station, visit http://www.nasa.gov/station.</t>
  </si>
  <si>
    <t>6c2qNgXQkWE</t>
  </si>
  <si>
    <t>https://youtu.be/n0c3ejjii9U</t>
  </si>
  <si>
    <t>ISS Update - March 26, 2012</t>
  </si>
  <si>
    <t>The International Space Station video update for March 26, 2012.</t>
  </si>
  <si>
    <t>n0c3ejjii9U</t>
  </si>
  <si>
    <t>2012 03 23</t>
  </si>
  <si>
    <t>https://youtu.be/8aN6Jo6-24c</t>
  </si>
  <si>
    <t>The European Space Agency's third Automated Transfer Vehicle (ATV-3) launched atop an Ariane 5 rocket from the European space port in Kourou, French Guiana, at 12:34 a.m. EDT Friday, beginning a six-day journey to the International Space Station.  The 13-ton "Edoardo Amaldi" spacecraft, named in honor of the 20th-century Italian physicist who is regarded as one of the fathers of European spaceflight, is delivering 7.2 tons of propellant, water and supplies to the six crew members aboard the orbital laboratory.</t>
  </si>
  <si>
    <t>8aN6Jo6-24c</t>
  </si>
  <si>
    <t>https://youtu.be/hvRtXld-9cY</t>
  </si>
  <si>
    <t>Station Crew Talks With Bloomberg News</t>
  </si>
  <si>
    <t>The Expedition 30 crew aboard the International Space Station talks with Ryan Chilcote of Bloomberg TV for a live in-flight interview on March 23, 2012.</t>
  </si>
  <si>
    <t>hvRtXld-9cY</t>
  </si>
  <si>
    <t>https://youtu.be/DbB1xCF0YOw</t>
  </si>
  <si>
    <t>NASA Public Affairs Officer Amiko Kauderer talks with astronaut Mike Fossum, veteran of three spaceflights and most recently commander of Expedition 29 aboard the International Space Station.   Fossum discusses the current activities aboard the station and answers questions from Twitter.  
Questions? Ask us on Twitter @NASA_Johnson and include the hashtag #askStation. For the latest news about the space station, visit http://www.nasa.gov/station.</t>
  </si>
  <si>
    <t>DbB1xCF0YOw</t>
  </si>
  <si>
    <t>https://youtu.be/8BaCKePchoY</t>
  </si>
  <si>
    <t>ISS Update  Weekly Recap for March 23, 2012</t>
  </si>
  <si>
    <t>The International Space Station Weekly Recap for March 19-23, 2012.
Questions? Ask us on Twitter @NASA_Johnson and include the hashtag #askStation. For the latest news about the space station, visit http://www.nasa.gov/station.</t>
  </si>
  <si>
    <t>8BaCKePchoY</t>
  </si>
  <si>
    <t>https://youtu.be/RPV0aqdRcBc</t>
  </si>
  <si>
    <t>ISS Update  Robonaut Glove Test (Part 2)</t>
  </si>
  <si>
    <t>NASA Public Affairs Officer Brandi Dean interviews Chris Ihrke, General Motors Lead Engineer for the Robo-Glove Project, about the Robonaut glove test. Questions? Ask us on Twitter @NASA_Johnson and include the hashtag #askStation. For the latest news about the space station, visit http://www.nasa.gov/station.</t>
  </si>
  <si>
    <t>RPV0aqdRcBc</t>
  </si>
  <si>
    <t>https://youtu.be/H2Sa5vB_qBE</t>
  </si>
  <si>
    <t>ISS Update  SpaceX Space Act Agreement Status</t>
  </si>
  <si>
    <t>NASA Public Affairs Officer Kyle Herring interviews Jon Cowart, Commercial Crew Program, Partner Manager for Space Exploration Technologies (SpaceX), about the status of Space Act Agreement. Questions? Ask us on Twitter @NASA_Johnson and include the hashtag #askStation. For the latest news about the space station, visit http://www.nasa.gov/station.</t>
  </si>
  <si>
    <t>H2Sa5vB_qBE</t>
  </si>
  <si>
    <t>2012 03 22</t>
  </si>
  <si>
    <t>https://youtu.be/Ff_N7tYoW_k</t>
  </si>
  <si>
    <t>Students Speak With Alvin Drew, Habitat Demo Unit Project Lead, Advanced Exploration Systems Program</t>
  </si>
  <si>
    <t>From NASA's International Space Station Mission Control Center Avin Drew, Habitat Demonstration Unit Project Lead for the Advanced Exploration Systems Program, participates in a Digital Learning Network (DLN) event with  seventh grade students at the Zion Lutheran School in Dallas, Texas. The DLN connects students and teachers with NASA experts and education specialists using online communication technologies like video/web conferencing and webcasting.  Register for free, interactive events listed in the catalog or watch the webcasts. http://dln.nasa.gov</t>
  </si>
  <si>
    <t>Ff_N7tYoW_k</t>
  </si>
  <si>
    <t>https://youtu.be/u31iDZ9GUn4</t>
  </si>
  <si>
    <t>ISS Update - March 22, 2012</t>
  </si>
  <si>
    <t>The International Space Station video update for March 22, 2012.</t>
  </si>
  <si>
    <t>u31iDZ9GUn4</t>
  </si>
  <si>
    <t>2012 03 21</t>
  </si>
  <si>
    <t>https://youtu.be/axKe--vxJUc</t>
  </si>
  <si>
    <t xml:space="preserve">ISS Update  ISS Flight Director Royce Renfrew Talks Station  Stuff </t>
  </si>
  <si>
    <t>NASA Public Affairs Officer Amiko Kauderer interviews Space Station Flight Director Royce Renfrew, who talks about ISS crew activities, Robonaut, ATV-3 cargo and other 'stuff.' Questions? Ask us on Twitter @NASA_Johnson and include the hashtag #askStation. For the latest news about the space station, visit http://www.nasa.gov/station.</t>
  </si>
  <si>
    <t>axKe--vxJUc</t>
  </si>
  <si>
    <t>https://youtu.be/L_q9p0GfFdo</t>
  </si>
  <si>
    <t>ISS Update  ATV-3 Overview From Eric Van der Wal</t>
  </si>
  <si>
    <t>NASA Public Affairs Officer Amiko Kauderer interviews Eric Van Der Wal of the European Space Agency about the "Edoardo Amaldi" Automated Transfer Vehicle-3. 
Questions?  Ask us on Twitter @NASA_Johnson and include the hashtag #askStation. For the latest news about the space station, visit http://www.nasa.gov/station.</t>
  </si>
  <si>
    <t>L_q9p0GfFdo</t>
  </si>
  <si>
    <t>https://youtu.be/u_tGYxoWuYY</t>
  </si>
  <si>
    <t>ISS Update - March 21, 2012</t>
  </si>
  <si>
    <t>The International Space Station video update for March 21, 2012.
Questions?  Ask us on Twitter @NASA_Johnson and include the hashtag #askStation. For the latest news about the space station, visit http://www.nasa.gov/station.</t>
  </si>
  <si>
    <t>u_tGYxoWuYY</t>
  </si>
  <si>
    <t>2012 03 20</t>
  </si>
  <si>
    <t>https://youtu.be/MmuiPBFPsfg</t>
  </si>
  <si>
    <t>ISS Update  ATV-3 Launch and Operations</t>
  </si>
  <si>
    <t>NASA Public Affairs Officer Amiko Kauderer interviews Jerry Jason, Lead Flight Director ATV-3, about the ATV-3 Launch and Operations. Questions?  Ask us on Twitter @NASA_Johnson and include the hashtag #askStation. For the latest news about the space station, visit http://www.nasa.gov/station.</t>
  </si>
  <si>
    <t>MmuiPBFPsfg</t>
  </si>
  <si>
    <t>https://youtu.be/ZpuBY0NR3Lw</t>
  </si>
  <si>
    <t>ISS Update  Robonaut Glove Test (Part 1)</t>
  </si>
  <si>
    <t>NASA Public Affairs Officer Brandi Dean interviews Lyndon Bridgwater, Lead Mechanical Engineer for Robonaut 2 and Robo-Glove Project, about the Robonaut glove test. Questions?  Ask us on Twitter @NASA_Johnson and include the hashtag #askStation. For the latest news about the space station, visit http://www.nasa.gov/station.</t>
  </si>
  <si>
    <t>ZpuBY0NR3Lw</t>
  </si>
  <si>
    <t>https://youtu.be/uYaOcxgCRW8</t>
  </si>
  <si>
    <t>ISS Update  Boeing Commercial Crew Space Act Agreement Status</t>
  </si>
  <si>
    <t>NASA Public Affairs Officer Kyle Herring interviews Gennaro Caliendo, Commercial Crew Program, Partner Manager for Boeing, about the status of Space Act Agreement. Questions? Ask us on Twitter @NASA_Johnson and include the hashtag #askStation. For the latest news about the space station, visit http://www.nasa.gov/station.</t>
  </si>
  <si>
    <t>uYaOcxgCRW8</t>
  </si>
  <si>
    <t>https://youtu.be/ObHj0QcJZFo</t>
  </si>
  <si>
    <t>ISS Update  ATK Space Act Agreement Status</t>
  </si>
  <si>
    <t>NASA Public Affairs Officer Kyle Herring interviews Ken Tenbusch, Commercial Crew Program, Partner Manager for ATK, about the status of Space Act Agreement. Questions? Ask us on Twitter @NASA_Johnson and include the hashtag #askStation. For the latest news about the space station, visit http://www.nasa.gov/station.</t>
  </si>
  <si>
    <t>ObHj0QcJZFo</t>
  </si>
  <si>
    <t>https://youtu.be/ObXf1aMwZGQ</t>
  </si>
  <si>
    <t>ISS Update  Sierra Nevada Corp. Space Act Agreement Status</t>
  </si>
  <si>
    <t>NASA Public Affairs Officer Kyle Herring interviews Valin Thorn, Commercial Crew Program Partner Manager for Sierra Nevada Corp., about the status of Space Act Agreement. Questions? Ask us on Twitter @NASA_Johnson and include the hashtag #askStation. For the latest news about the space station, visit http://www.nasa.gov/station.</t>
  </si>
  <si>
    <t>ObXf1aMwZGQ</t>
  </si>
  <si>
    <t>https://youtu.be/66YcK7vjD0E</t>
  </si>
  <si>
    <t>ISS Update  United Launch Alliance Space Act Agreement Status</t>
  </si>
  <si>
    <t>NASA Public Affairs Officer Kyle Herring interviews Cheryl Malloy, Commercial Crew Program, Partner Manager for United Launch Alliance, about the status of Space Act Agreement. Questions? Ask us on Twitter @NASA_Johnson and include the hashtag #askStation. For the latest news about the space station, visit http://www.nasa.gov/station.</t>
  </si>
  <si>
    <t>66YcK7vjD0E</t>
  </si>
  <si>
    <t>https://youtu.be/zezha14MNWg</t>
  </si>
  <si>
    <t>ISS Update - March 20, 2012</t>
  </si>
  <si>
    <t>The International Space Station video update for March 20, 2012.</t>
  </si>
  <si>
    <t>zezha14MNWg</t>
  </si>
  <si>
    <t>2012 03 19</t>
  </si>
  <si>
    <t>https://youtu.be/uDjjUaeqZtw</t>
  </si>
  <si>
    <t>ISS Update - March 19, 2012</t>
  </si>
  <si>
    <t>The International Space Station video update for March 19, 2012.</t>
  </si>
  <si>
    <t>uDjjUaeqZtw</t>
  </si>
  <si>
    <t>2012 03 16</t>
  </si>
  <si>
    <t>https://youtu.be/l6x3JlSQViE</t>
  </si>
  <si>
    <t>Morpheus Tether Test %239</t>
  </si>
  <si>
    <t>Morpheus conducts another tethered test, March 16, 2012. Morpheus is a full spacecraft and rocket-powered lander, which demonstrates new green technology, as well as an autonomous landing and hazard detection technology.
Read more about Morpheus testing at Johnson Space Center:
http://www.nasa.gov/centers/johnson/exploration/morpheus/index.html
http://morpheuslander.jsc.nasa.gov/</t>
  </si>
  <si>
    <t>l6x3JlSQViE</t>
  </si>
  <si>
    <t>https://youtu.be/arNkaEhEuWk</t>
  </si>
  <si>
    <t>Weekly ISS Recap - March 12-March 16, 2012</t>
  </si>
  <si>
    <t>The weekly International Space Station video recap for March 12-March 16, 2012.</t>
  </si>
  <si>
    <t>arNkaEhEuWk</t>
  </si>
  <si>
    <t>https://youtu.be/5GjiDj5nffA</t>
  </si>
  <si>
    <t>ISS Update  Blue Origin Space Act Agreement Status</t>
  </si>
  <si>
    <t>NASA Public Affairs Officer Kyle Herring interviews Bill Lane, Commercial Crew Program Partner Manager for Blue Origin, about the Space Act Agreement. Questions? Ask us on Twitter @NASA_Johnson and include the hashtag #askStation. For the latest news about the space station, visit http://www.nasa.gov/station.</t>
  </si>
  <si>
    <t>5GjiDj5nffA</t>
  </si>
  <si>
    <t>2012 03 15</t>
  </si>
  <si>
    <t>https://youtu.be/RpAUuOCmMO0</t>
  </si>
  <si>
    <t>Robonaut 2 ISS Operations Overview</t>
  </si>
  <si>
    <t>Deputy Robonaut 2 Project Manager Nic Radford discusses the culmination of R2's checkouts on orbit and what's next for the robot.</t>
  </si>
  <si>
    <t>RpAUuOCmMO0</t>
  </si>
  <si>
    <t>https://youtu.be/C1HikbcO9aY</t>
  </si>
  <si>
    <t>Morpheus Tethered Test %238 -- March 13, 2012</t>
  </si>
  <si>
    <t>After a series of upgrades, Morpheus conducts a successful tethered test, firing a new engine for 50 seconds and hovering for 40.</t>
  </si>
  <si>
    <t>C1HikbcO9aY</t>
  </si>
  <si>
    <t>https://youtu.be/e2VRE_0nWo8</t>
  </si>
  <si>
    <t>ISS Update - March 14, 2012</t>
  </si>
  <si>
    <t>The International Space Station video update for March 14, 2012.</t>
  </si>
  <si>
    <t>e2VRE_0nWo8</t>
  </si>
  <si>
    <t>https://youtu.be/U00oAvnVp0M</t>
  </si>
  <si>
    <t>Students Speak With Jeff Chancellor, Radiation Scientist, NSBRI</t>
  </si>
  <si>
    <t>From NASA's International Space Station Mission Control Center Jeff Chancellor, Radiation Scientist at the National Space Biomedical Research Institute, participates in a Digital Learning Network (DLN) event with students at West End High School in Walnut Grove, Alabama. The DLN connects students and teachers with NASA experts and education specialists using online communication technologies like video/web conferencing and webcasting.  Register for free, interactive events listed in the catalog or watch the webcasts. http://dln.nasa.gov</t>
  </si>
  <si>
    <t>U00oAvnVp0M</t>
  </si>
  <si>
    <t>https://youtu.be/JRDEF7dE_K0</t>
  </si>
  <si>
    <t>ISS Update - March 15, 2012</t>
  </si>
  <si>
    <t>The International Space Station video update for March 15, 2012.</t>
  </si>
  <si>
    <t>JRDEF7dE_K0</t>
  </si>
  <si>
    <t>2012 03 14</t>
  </si>
  <si>
    <t>https://youtu.be/rVuOlpImsSQ</t>
  </si>
  <si>
    <t>Orion  Exploration Flight Test-1 Animation (with narration by Jay Estes)</t>
  </si>
  <si>
    <t>This animation depicts the proposed test flight of the Orion spacecraft in 2014. During the test, which is called Exploration Flight Test-1 (EFT-1), Orion will launch from Cape Canaveral, Fla., perform two orbits, reaching an altitude higher than any achieved by a spacecraft intended for human use since 1973, and then will re-enter and land in the Pacific Ocean off the west coast of the United States. Narration by Jay Estes, Deputy for flight test integration in the Orion program.</t>
  </si>
  <si>
    <t>rVuOlpImsSQ</t>
  </si>
  <si>
    <t>https://youtu.be/exm2YAP8r4g</t>
  </si>
  <si>
    <t>ISS Update  Excalibur Almaz Inc. Space Act Agreement Status</t>
  </si>
  <si>
    <t>NASA Public Affairs Officer Kyle Herring talks with Sarah Waechter, partner manager for Excalibur Almaz Inc., about the Space Act Agreement. Questions? Ask us on Twitter @NASA_Johnson and include the hashtag #askStation. For the latest news about the space station, visit http://www.nasa.gov/station.</t>
  </si>
  <si>
    <t>exm2YAP8r4g</t>
  </si>
  <si>
    <t>https://youtu.be/c1kxPclgMgo</t>
  </si>
  <si>
    <t>Brad Jones on Commercial Crew Program Partner Integration</t>
  </si>
  <si>
    <t>NASA Public Affairs Officer Kyle Herring talks with Brad Jones, deputy manager for the Partner Integration Office of the Commercial Crew Program.</t>
  </si>
  <si>
    <t>c1kxPclgMgo</t>
  </si>
  <si>
    <t>2012 03 13</t>
  </si>
  <si>
    <t>https://youtu.be/iDeMOJSt0xI</t>
  </si>
  <si>
    <t>Robonaut 2 Speaks Sign Language</t>
  </si>
  <si>
    <t>Robonaut 2 goes through a series of dexterity tests as it spells out "Hello world" in sign language while Flight Engineer Don Pettit looks on.</t>
  </si>
  <si>
    <t>iDeMOJSt0xI</t>
  </si>
  <si>
    <t>https://youtu.be/730yoTrzFpc</t>
  </si>
  <si>
    <t>Interview with Ed Mango, Commercial Crew Program Manager</t>
  </si>
  <si>
    <t>NASA Public Affairs Officer Kyle Herring interviews Ed Mango, Manager of the Commercial Crew Program.</t>
  </si>
  <si>
    <t>730yoTrzFpc</t>
  </si>
  <si>
    <t>https://youtu.be/yx8Xv6sj1u8</t>
  </si>
  <si>
    <t>ISS Update - March 13, 2012</t>
  </si>
  <si>
    <t>The International Space Station video update for March 13, 2012.</t>
  </si>
  <si>
    <t>yx8Xv6sj1u8</t>
  </si>
  <si>
    <t>https://youtu.be/smKA4K8iz80</t>
  </si>
  <si>
    <t>ISS Update - March 12, 2012</t>
  </si>
  <si>
    <t>The International Space Station video update for March 12, 2012.</t>
  </si>
  <si>
    <t>smKA4K8iz80</t>
  </si>
  <si>
    <t>2012 03 12</t>
  </si>
  <si>
    <t>https://youtu.be/HLXz1h0Uukg</t>
  </si>
  <si>
    <t>Update on Discovery Transition from Kevin Templin (2 2)</t>
  </si>
  <si>
    <t>NASA Public Affairs Officer Kyle Herring continues his discussion with Kevin Templin, the Transition Integration Manager for the Space Shuttle Program Transition and Retirement Office, about the work being done on space shuttle Discovery to prepare the vehicle for retirement and  ferry flight.
Part one here: http://www.youtube.com/watch?v=_tpZmPlAaOo</t>
  </si>
  <si>
    <t>HLXz1h0Uukg</t>
  </si>
  <si>
    <t>https://youtu.be/_tpZmPlAaOo</t>
  </si>
  <si>
    <t>Update on Discovery Transition from Kevin Templin (1 2)</t>
  </si>
  <si>
    <t>NASA Public Affairs Officer Kyle Herring talks with Kevin Templin, the Transition Integration Manager for the Space Shuttle Program Transition and Retirement Office, about the work being done on space shuttle Discovery to prepare the vehicle for retirement and  ferry flight.
Part two here: http://www.youtube.com/watch?v=HLXz1h0Uukg</t>
  </si>
  <si>
    <t>_tpZmPlAaOo</t>
  </si>
  <si>
    <t>2012 03 09</t>
  </si>
  <si>
    <t>https://youtu.be/8kfL-tyeFhA</t>
  </si>
  <si>
    <t>Weekly ISS Recap - March 5-March 9, 2012</t>
  </si>
  <si>
    <t>The weekly International Space Station video recap for March 5-March 9, 2012.</t>
  </si>
  <si>
    <t>8kfL-tyeFhA</t>
  </si>
  <si>
    <t>https://youtu.be/fwxuO_Zpme8</t>
  </si>
  <si>
    <t>Interview with Ken Bollweg, VASMIR Project Manager</t>
  </si>
  <si>
    <t>NASA Public Affairs Officer Dan Huot interviews Ken Bollweg, VASMIR Project Manager. VASMIR (Variable Specific Impulse Magnetoplasma Rocket) is a next generation plasma rocket currently under development.</t>
  </si>
  <si>
    <t>fwxuO_Zpme8</t>
  </si>
  <si>
    <t>2012 03 08</t>
  </si>
  <si>
    <t>https://youtu.be/jEl25QSruSs</t>
  </si>
  <si>
    <t>Interview With Steven Platts, Lead Scientist, Cardiovascular Research</t>
  </si>
  <si>
    <t>NASA Public Affairs Officer Josh Byerly talks with Steven Platts, a lead scientist for cardiovascular research at the Johnson Space Center where scientists are studying the effects of long-duration spaceflight on the human body.</t>
  </si>
  <si>
    <t>jEl25QSruSs</t>
  </si>
  <si>
    <t>https://youtu.be/kDIDNHgfkNc</t>
  </si>
  <si>
    <t>Interview With Stuart Lee, Lead Scientist, Cardiovascular Lab</t>
  </si>
  <si>
    <t>NASA Public Affairs Officer Josh Byerly talks with Stuart Lee, one of the lead scientists for the Cardiovascular Lab at the Johnson Space Center where scientists are studying the effects of long-duration spaceflight on the human body.</t>
  </si>
  <si>
    <t>kDIDNHgfkNc</t>
  </si>
  <si>
    <t>https://youtu.be/ZD0ODZnPivc</t>
  </si>
  <si>
    <t>ISS Update - March 8, 2012</t>
  </si>
  <si>
    <t>The International Space Station video update for March 8, 2012.</t>
  </si>
  <si>
    <t>ZD0ODZnPivc</t>
  </si>
  <si>
    <t>https://youtu.be/Uddz-3RwA_Y</t>
  </si>
  <si>
    <t>Science off the Sphere  Thin Film Physics</t>
  </si>
  <si>
    <t>Uddz-3RwA_Y</t>
  </si>
  <si>
    <t>2012 03 07</t>
  </si>
  <si>
    <t>https://youtu.be/YvF6grBY3D4</t>
  </si>
  <si>
    <t>Station Residents Speak with San Jose Students</t>
  </si>
  <si>
    <t>Expedition 30 Commander Dan Burbank and Flight Engineer Don Pettit speak with students from Washington Elementary in San Jose, California during a Destination Station event.</t>
  </si>
  <si>
    <t>YvF6grBY3D4</t>
  </si>
  <si>
    <t>https://youtu.be/uQA-K9MyQ3A</t>
  </si>
  <si>
    <t>Interview With Alex Janas, Goddard Robot Operator</t>
  </si>
  <si>
    <t>NASA Public Affairs Officer Dan Huot talks with Alex Janas, robotics operator from the Goddard Space Flight Center, about the Robotic Refueling Mission aboard the International Space Station.</t>
  </si>
  <si>
    <t>uQA-K9MyQ3A</t>
  </si>
  <si>
    <t>2012 03 06</t>
  </si>
  <si>
    <t>https://youtu.be/A70ci9rY9pc</t>
  </si>
  <si>
    <t>ISS Update - March 6, 2012</t>
  </si>
  <si>
    <t>The International Space Station video update for March 6, 2012.</t>
  </si>
  <si>
    <t>A70ci9rY9pc</t>
  </si>
  <si>
    <t>https://youtu.be/ByTWL5W6NLk</t>
  </si>
  <si>
    <t>Students Speak With Gary Cox, EPIC Project Manager</t>
  </si>
  <si>
    <t>From NASA's International Space Station Mission Control Center Gary Cox EPIC Project Manager, participates in a Digital Learning Network (DLN) event with students at South Effingham Middle School in Guyton, GA. The DLN connects students and teachers with NASA experts and education specialists using online communication technologies like video/web conferencing and webcasting.  Register for free, interactive events listed in the catalog or watch the webcasts. http://dln.nasa.gov</t>
  </si>
  <si>
    <t>ByTWL5W6NLk</t>
  </si>
  <si>
    <t>https://youtu.be/dUyWHkE7qeU</t>
  </si>
  <si>
    <t>Students Speak With Tara Ruttley Assoc. ISS Program Scientist</t>
  </si>
  <si>
    <t>From NASA's International Space Station Mission Control Center Tara Ruttley Associate ISS Program Scientist, participates in a Digital Learning Network (DLN) event with students at St. Vincent St. Mary High School in Akron, OH. The DLN connects students and teachers with NASA experts and education specialists using online communication technologies like video/web conferencing and webcasting.  Register for free, interactive events listed in the catalog or watch the webcasts. http://dln.nasa.gov</t>
  </si>
  <si>
    <t>dUyWHkE7qeU</t>
  </si>
  <si>
    <t>2012 03 05</t>
  </si>
  <si>
    <t>https://youtu.be/tsCAsL5581Q</t>
  </si>
  <si>
    <t>ISS Update - March 5, 2012</t>
  </si>
  <si>
    <t>The International Space Station video update for March 5, 2012.</t>
  </si>
  <si>
    <t>tsCAsL5581Q</t>
  </si>
  <si>
    <t>2012 03 02</t>
  </si>
  <si>
    <t>https://youtu.be/MEH8GXXiZnE</t>
  </si>
  <si>
    <t>Weekly ISS Recap - Feb. 27 - March 2, 2012</t>
  </si>
  <si>
    <t>The weekly International Space Station video recap for Feb. 27 - March 2, 2012</t>
  </si>
  <si>
    <t>MEH8GXXiZnE</t>
  </si>
  <si>
    <t>https://youtu.be/bSyS73kwVEk</t>
  </si>
  <si>
    <t>Interview with Dr. Jean Sibonga, Bone Lead Human Research Program</t>
  </si>
  <si>
    <t>NASA Public Affairs Officer Brandi Dean interviews Dr. Jean Sibonga, Bone Lead Human Research Program. Changes in bone structure and bone loss is a consequence of long term missions in space and NASA doctors are working on countermeasures such as exercise, diet and drugs to maintain crew health.</t>
  </si>
  <si>
    <t>bSyS73kwVEk</t>
  </si>
  <si>
    <t>2012 03 01</t>
  </si>
  <si>
    <t>https://youtu.be/gkEzvQEN70k</t>
  </si>
  <si>
    <t>Interview with Gary Cox, EPIC Project Manager</t>
  </si>
  <si>
    <t>NASA Public Affairs Officer Brandi Dean interviews Gary Cox, EPIC Project Manager. EPIC (Enhanced Processor and Integrated Communications) is the computer upgrade program for the International Space Station which will increase the orbital laboratory's scientific output as well enable it to communicate with future commercial spacecraft.</t>
  </si>
  <si>
    <t>gkEzvQEN70k</t>
  </si>
  <si>
    <t>https://youtu.be/lWE5BPy3NIQ</t>
  </si>
  <si>
    <t>ISS Update - March 1, 2012</t>
  </si>
  <si>
    <t>The International Space Station video update for March 1, 2012.</t>
  </si>
  <si>
    <t>lWE5BPy3NIQ</t>
  </si>
  <si>
    <t>2012 02 29</t>
  </si>
  <si>
    <t>https://youtu.be/za3999pxjI4</t>
  </si>
  <si>
    <t>Interview with EarthKAM participants</t>
  </si>
  <si>
    <t>NASA Public Affair Officer Brandi Dean talks with Frank Sanchez, a teacher, and Luis Tamayo, student, on their experience with using EarthKAM to capture images of Earth from the International Space Station.
For more info, visit http://www.EarthKAM.ucsd.edu</t>
  </si>
  <si>
    <t>za3999pxjI4</t>
  </si>
  <si>
    <t>https://youtu.be/SdbFn9DOzRg</t>
  </si>
  <si>
    <t>Interview with Brion Au, EarthKAM payload developer</t>
  </si>
  <si>
    <t>NASA Public Affairs Officer Josh Byerly talks with Brion Au, one of the payload developers for EarthKAM.  This is a NASA education program that enables students to photograph and examine Earth from the International Space Station crew's perspective. 
For more info, visit http://www.EarthKAM.ucsd.edu</t>
  </si>
  <si>
    <t>SdbFn9DOzRg</t>
  </si>
  <si>
    <t>https://youtu.be/DRf_QY_r82M</t>
  </si>
  <si>
    <t>ISS Update - Feb. 29, 2012</t>
  </si>
  <si>
    <t>The International Space Station video update for Feb. 29, 2012.</t>
  </si>
  <si>
    <t>DRf_QY_r82M</t>
  </si>
  <si>
    <t>https://youtu.be/e7DEw70LVWs</t>
  </si>
  <si>
    <t>We Are the Explorers</t>
  </si>
  <si>
    <t>Why do we explore? Simply put, it is part of who we are, and it is something we have done throughout our history. In NASA's new video, "We Are the Explorers," we take a look at that tradition of reaching for things just beyond our grasp and how it is helping us lay the foundation for our greatest journeys ahead.
HD download link: https://archive.org/details/WeAreTheExplorers</t>
  </si>
  <si>
    <t>e7DEw70LVWs</t>
  </si>
  <si>
    <t>2012 02 28</t>
  </si>
  <si>
    <t>https://youtu.be/o35D_6pcp90</t>
  </si>
  <si>
    <t>ISS Update - Feb. 28, 2012</t>
  </si>
  <si>
    <t>The International Space Station video update for Feb. 28, 2012.</t>
  </si>
  <si>
    <t>o35D_6pcp90</t>
  </si>
  <si>
    <t>2012 02 27</t>
  </si>
  <si>
    <t>https://youtu.be/MH93FSS8ZOQ</t>
  </si>
  <si>
    <t>Interview with Amy Ross, Spacesuit Engineer (Part 2)</t>
  </si>
  <si>
    <t>NASA Public Affairs Officer Josh Byerly talks with Amy Ross, Spacesuit Engineer at Johnson Space Center.</t>
  </si>
  <si>
    <t>MH93FSS8ZOQ</t>
  </si>
  <si>
    <t>https://youtu.be/d__xlXqYFZc</t>
  </si>
  <si>
    <t>Interview with Amy Ross, Spacesuit Engineer (Part 1)</t>
  </si>
  <si>
    <t>d__xlXqYFZc</t>
  </si>
  <si>
    <t>https://youtu.be/nOkUx7KG12I</t>
  </si>
  <si>
    <t>ISS Update - Feb. 27, 2012</t>
  </si>
  <si>
    <t>The International Space Station video update for Feb. 27, 2012.</t>
  </si>
  <si>
    <t>nOkUx7KG12I</t>
  </si>
  <si>
    <t>2012 02 24</t>
  </si>
  <si>
    <t>https://youtu.be/q1k9njdSVE0</t>
  </si>
  <si>
    <t>Science off the Sphere  Bistronauts</t>
  </si>
  <si>
    <t>International Space Station Expedition 30 astronaut Don Pettit demonstrates physics in space for 'Science off the Sphere.' Through a partnership between NASA and the American Physical Society you can participate in Pettit's physics challenge and view future experiments here: http://www.physicscentral.com/sots
The crew aboard the International Space Station try out a novel new
design in microgravity teacup technology.</t>
  </si>
  <si>
    <t>q1k9njdSVE0</t>
  </si>
  <si>
    <t>https://youtu.be/q6Hrz2xXi6s</t>
  </si>
  <si>
    <t>Interview with Trent Martin, AMS Project Manager</t>
  </si>
  <si>
    <t>NASA Public Affairs Officer Kelly Humphries talks with Trent Martin, Johnson Space Center project manager for the Alpha Magnetic Spectrometer (AMS) aboard the International Space Station.</t>
  </si>
  <si>
    <t>q6Hrz2xXi6s</t>
  </si>
  <si>
    <t>https://youtu.be/rSQ-V4QFcLk</t>
  </si>
  <si>
    <t>Interview with Peter Lu, Co-investigator for BCAT-6 Experiment</t>
  </si>
  <si>
    <t>NASA Public Affairs Officer Kelly Humphries talks with Peter Lu, co-investigator for the Binary Colloidal Alloy Test-6 - Phase Separation experiment at Harvard University.</t>
  </si>
  <si>
    <t>rSQ-V4QFcLk</t>
  </si>
  <si>
    <t>https://youtu.be/mlL22pcFxPw</t>
  </si>
  <si>
    <t>Weekly ISS Recap - Feb. 20-Feb. 24, 2012</t>
  </si>
  <si>
    <t>The weekly International Space Station video recap for Feb. 20-Feb. 24, 2012.</t>
  </si>
  <si>
    <t>mlL22pcFxPw</t>
  </si>
  <si>
    <t>2012 02 23</t>
  </si>
  <si>
    <t>https://youtu.be/NJ3Mv0w7G5A</t>
  </si>
  <si>
    <t>Interview with Tara Ruttley, Associate International Space Station Program Scientist</t>
  </si>
  <si>
    <t>Tara Ruttley talks about her educational path and her career activities at NASA. She also discusses her experience as a NEEMO (NASA Extreme Environment Mission Operations) crew member.</t>
  </si>
  <si>
    <t>NJ3Mv0w7G5A</t>
  </si>
  <si>
    <t>https://youtu.be/U6eeiEQLTEg</t>
  </si>
  <si>
    <t>ISS Update - Feb. 23, 2012</t>
  </si>
  <si>
    <t>The International Space Station video update for Feb. 23, 2012.</t>
  </si>
  <si>
    <t>U6eeiEQLTEg</t>
  </si>
  <si>
    <t>2012 02 22</t>
  </si>
  <si>
    <t>https://youtu.be/ZJABYfMfA_c</t>
  </si>
  <si>
    <t>Interview with Mark Weislogel, Principal Investigator, Capillary Flow Experiments-2</t>
  </si>
  <si>
    <t>Mark Weislogel talks about the Capillary Flow Experiments-2, which is on the International Space Station.</t>
  </si>
  <si>
    <t>ZJABYfMfA_c</t>
  </si>
  <si>
    <t>https://youtu.be/PK78GB5UkFQ</t>
  </si>
  <si>
    <t>Interview with Expedition 30 Lead Flight Director Scott Stover</t>
  </si>
  <si>
    <t>Expedition 30 Lead Flight Director Scott Stover talks about his background and his job in Mission Control.</t>
  </si>
  <si>
    <t>PK78GB5UkFQ</t>
  </si>
  <si>
    <t>https://youtu.be/Q8qolIHh4zU</t>
  </si>
  <si>
    <t>ISS Update - Feb. 22, 2012</t>
  </si>
  <si>
    <t>The International Space Station video update for Feb. 22, 2012.</t>
  </si>
  <si>
    <t>Q8qolIHh4zU</t>
  </si>
  <si>
    <t>2012 02 17</t>
  </si>
  <si>
    <t>https://youtu.be/NUkoGY4Mf68</t>
  </si>
  <si>
    <t>Interview with STS-95 Flight Director Phil Engelauf</t>
  </si>
  <si>
    <t>Former Flight Direcor Phil Engelauf talks about John Glenn's flight aboard space shuttle Discovery on the STS-95 mission.</t>
  </si>
  <si>
    <t>NUkoGY4Mf68</t>
  </si>
  <si>
    <t>https://youtu.be/plxsW6-9DIU</t>
  </si>
  <si>
    <t>Interview with Robonaut Deputy Project Manager Nic Radford</t>
  </si>
  <si>
    <t>Robonaut Deputy Project Manager Nic Radford talks about Robonaut's first hand shake in space, as well as what the future hold for robot aboard the International Space Station.</t>
  </si>
  <si>
    <t>plxsW6-9DIU</t>
  </si>
  <si>
    <t>https://youtu.be/iV9WalIV91s</t>
  </si>
  <si>
    <t>ISS Update - Feb. 17, 2012</t>
  </si>
  <si>
    <t>The International Space Station video update for Feb. 17, 2012.</t>
  </si>
  <si>
    <t>iV9WalIV91s</t>
  </si>
  <si>
    <t>2012 02 15</t>
  </si>
  <si>
    <t>https://youtu.be/rXadFVbtEkI</t>
  </si>
  <si>
    <t>Robonaut 2  ISS Task Board</t>
  </si>
  <si>
    <t>Engineers put Robonaut 2 through its paces on a task board that mimics controls it would work with aboard the International Space Station.
More info: http://www.nasa.gov/robonaut</t>
  </si>
  <si>
    <t>rXadFVbtEkI</t>
  </si>
  <si>
    <t>https://youtu.be/czzaxkYCu54</t>
  </si>
  <si>
    <t>Interview with Marc Ciupitu (Part 2)</t>
  </si>
  <si>
    <t>Marc Ciupitu, EVA Flight and Increment Manager, speaks to NASA Public Affairs Officer Brandi Dean about the differences between Russian and American spacesuits.</t>
  </si>
  <si>
    <t>czzaxkYCu54</t>
  </si>
  <si>
    <t>https://youtu.be/zruqSXVM1OY</t>
  </si>
  <si>
    <t>Interview with Marc Ciupitu (Part 1)</t>
  </si>
  <si>
    <t>Marc Ciupitu, EVA Flight and Increment Manager, speaks to NASA Public Affairs Officer Brandi Dean about the Russian Orlan spacesuits that cosmonauts wear during spacewalks. Marc also discusses what the cosmonauts do just before beginning a spacewalk and the difference between Russian and American spacesuits.</t>
  </si>
  <si>
    <t>zruqSXVM1OY</t>
  </si>
  <si>
    <t>https://youtu.be/grieVTdxsNI</t>
  </si>
  <si>
    <t>Robonaut Shakes Hands</t>
  </si>
  <si>
    <t>Robonaut extends its hand for the first "man-machine" handshake in space with Commander Dan Burbank.</t>
  </si>
  <si>
    <t>grieVTdxsNI</t>
  </si>
  <si>
    <t>https://youtu.be/S9pXzASpKIM</t>
  </si>
  <si>
    <t>ISS Update - Feb. 15, 2012</t>
  </si>
  <si>
    <t>The International Space Station video update for Feb. 15, 2012.</t>
  </si>
  <si>
    <t>S9pXzASpKIM</t>
  </si>
  <si>
    <t>2012 02 14</t>
  </si>
  <si>
    <t>https://youtu.be/7cgdlRIdZgk</t>
  </si>
  <si>
    <t>Spacewalk Preview With Glenda Brown</t>
  </si>
  <si>
    <t>Glenda Brown, NASA's lead spacewalk officer for Expedition 30, talks with NASA Public Affairs Officer Josh Byerly about Thursday's spacewalk aboard the International Space Station.</t>
  </si>
  <si>
    <t>7cgdlRIdZgk</t>
  </si>
  <si>
    <t>https://youtu.be/ZvCbB_vGI1Y</t>
  </si>
  <si>
    <t>Nic Radford Interview</t>
  </si>
  <si>
    <t>NASA Public Affairs Officer Josh Byerly  talks with Robonaut's Deputy Project Manager Nic Radford about the robot's checkout activities aboard the International Space Station this week. Expedition 30 commander Dan Burbank was testing the robot's joints and movements to make sure Robonaut was working as planned.</t>
  </si>
  <si>
    <t>ZvCbB_vGI1Y</t>
  </si>
  <si>
    <t>https://youtu.be/ckp48-Ymv7k</t>
  </si>
  <si>
    <t>ISS Update - Feb. 14, 2012</t>
  </si>
  <si>
    <t>The International Space Station video update for Feb. 14, 2012.</t>
  </si>
  <si>
    <t>ckp48-Ymv7k</t>
  </si>
  <si>
    <t>2012 02 13</t>
  </si>
  <si>
    <t>https://youtu.be/RCq-RPNBsIA</t>
  </si>
  <si>
    <t>ISS Update - Feb. 13, 2012</t>
  </si>
  <si>
    <t>The International Space Station video update for Feb. 13, 2012.</t>
  </si>
  <si>
    <t>RCq-RPNBsIA</t>
  </si>
  <si>
    <t>2012 02 10</t>
  </si>
  <si>
    <t>https://youtu.be/U3DAOF34r34</t>
  </si>
  <si>
    <t>Up the East Coast of North America (With Cities Labeled)</t>
  </si>
  <si>
    <t>This video was taken by the crew of Expedition 30 on board the International Space Station. The sequence of shots was taken January 29, 2012 from 05:33:11 to 05:48:10 GMT, on a pass from just southwest of Mexico to the North Atlantic Ocean, northeast of Newfoundland. This pass begins looking over Central America towards the Gulf of Mexico and the southeastern United States. As the ISS travels northeast over the gulf, some southeastern United States cities can be distinguished, like New Orleans, Mobile, Jacksonville, and Atlanta. Continuing up the east coast, some northeastern states, like Washington, D.C., Baltimore, Philadelphia, and New York City stand out brightly along the coastline. The city labeled as Ottawa is Montreal. NASA regrets the labeling error. The Aurora Borealis shines in the background as the pass finishes near Newfoundland.</t>
  </si>
  <si>
    <t>U3DAOF34r34</t>
  </si>
  <si>
    <t>https://youtu.be/_NqbD71p25E</t>
  </si>
  <si>
    <t>Up the East Coast of North America</t>
  </si>
  <si>
    <t>This video was taken by the crew of Expedition 30 on board the International Space Station. The sequence of shots was taken January 29, 2012 from 05:33:11 to 05:48:10 GMT, on a pass from just southwest of Mexico to the North Atlantic Ocean, northeast of Newfoundland. This pass begins looking over Central America towards the Gulf of Mexico and the southeastern United States. As the space station travels northeast over the gulf, some southeastern United States cities can be distinguished, like New Orleans, Mobile, Jacksonville, and Atlanta. Continuing up the east coast, some northeastern states, like Washington, D.C., Baltimore, Philadelphia, and New York City stand out brightly along the coastline. The Aurora Borealis shines in the background as the pass finishes near Newfoundland.</t>
  </si>
  <si>
    <t>_NqbD71p25E</t>
  </si>
  <si>
    <t>https://youtu.be/F3I1D14GBFU</t>
  </si>
  <si>
    <t>Across Southwest Canada at Night</t>
  </si>
  <si>
    <t>This video was taken by the crew of Expedition 30 on board the International Space Station. The sequence of shots was taken January 25, 2012 from 12:34:11 to 12:36:28 GMT, on a pass from near the border of British Columbia and Washington state, near Vancouver Island, to southern Alberta, near Calgary. The main focus of this video is the Aurora Borealis over Canada, which appears very near the space station during this short video.</t>
  </si>
  <si>
    <t>F3I1D14GBFU</t>
  </si>
  <si>
    <t>https://youtu.be/f5t7NoAKqG4</t>
  </si>
  <si>
    <t>Aurora Borealis over Northern North America and Canada</t>
  </si>
  <si>
    <t>This video was taken by the crew of Expedition 30 on board the International Space Station. The sequence of shots was taken January 29, 2012 from 10:18:13 to 10:31:28 GMT, on a pass from the North Pacific Ocean, approximately 1,000 miles west of California, to western Quebec. This video begins as the station is passing over the dark waters of the North Pacific Ocean northeast towards Vancouver Island. The Aurora Borealis can be seen far north, where both the under side and top of the aurora are visible. The pass continues over Canada until the sun begins to come up in the east while over Quebec.</t>
  </si>
  <si>
    <t>f5t7NoAKqG4</t>
  </si>
  <si>
    <t>https://youtu.be/kigptp3T05E</t>
  </si>
  <si>
    <t>Central Great Plains at Night</t>
  </si>
  <si>
    <t>This video was taken by the crew of Expedition 30 on board the International Space Station. The sequence of shots was taken January 30, 2012 from 06:14:22 to 06:19:03 GMT, on a pass from northern Mexico, near the Texas/Mexico border, to eastern Indiana, near Cincinnati, Ohio. This pass begins as the International Space Station travels northeast looking northwest. The brighter city lights are those of the southwestern United States, like Phoenix and El Paso. The pass continues up the Great Plains, where the city lights of Oklahoma City and Tulsa can be seen before continuing northeast towards Kansas City. The last city that is easily seen is Chicago, while the Aurora Borealis is shining to the far north.</t>
  </si>
  <si>
    <t>kigptp3T05E</t>
  </si>
  <si>
    <t>https://youtu.be/oNCJg1EmPjw</t>
  </si>
  <si>
    <t>Central Great Plains at Night (With Cities Labeled)</t>
  </si>
  <si>
    <t>oNCJg1EmPjw</t>
  </si>
  <si>
    <t>https://youtu.be/Z-cc6rb1wXI</t>
  </si>
  <si>
    <t>Aurora Borealis over the Pacific Ocean</t>
  </si>
  <si>
    <t>This video was taken by the crew of Expedition 30 onboard the International Space Station. The sequence of shots was taken January 25, 2012 from 12:32:06 to 12:34:10 GMT, on a pass from the North Pacific Ocean to just southwest of Vancouver Island. In this video, the International Space Station approaches the Aurora Borealis from the Pacific Ocean, where the auroras can be seen dancing very near the station.</t>
  </si>
  <si>
    <t>Z-cc6rb1wXI</t>
  </si>
  <si>
    <t>https://youtu.be/TIjY95sLOrU</t>
  </si>
  <si>
    <t>Mexico to New Brunswick</t>
  </si>
  <si>
    <t>This video was taken by the crew of Expedition 30 on board the International Space Station. The sequence of shots was taken January 30, 2012 from 06:13:36 to 06:23:09 GMT, on a pass from northern Mexico to northwest New Brunswick. This video begins looking northeast over Texas, where cities like San Antonio, Houston, and the Dallas/Fort Worth area can be seen. Continuing northeast over the Great Plains states, cities like Oklahoma City, Kansas City, and St. Louis can be easily distinguished. The pass continues over the familiar shape of the Michigan Peninsula, with Chicago at the south edge of Lake Michigan. As the ISS continues northeast, the Aurora Borealis can be seen over Canada.</t>
  </si>
  <si>
    <t>TIjY95sLOrU</t>
  </si>
  <si>
    <t>https://youtu.be/-2dGxJRzPJs</t>
  </si>
  <si>
    <t>Mexico to New Brunswick (With Cities Labeled)</t>
  </si>
  <si>
    <t>-2dGxJRzPJs</t>
  </si>
  <si>
    <t>https://youtu.be/ttkxJ1un4sE</t>
  </si>
  <si>
    <t>North Dakota to Central Quebec</t>
  </si>
  <si>
    <t>This video was taken by the crew of Expedition 30 onboard the International Space Station. The sequence of shots was taken January 26, 2012 from 10:04:56 to 10:10:42 GMT, on a pass from North Dakota to central Quebec. This video focuses on the Aurora Borealis over Canada as the International Space Station traveled from the northern United States to eastern Canada. The aurora can be seen near the space station, and small patches of the green light can be seen dancing around.</t>
  </si>
  <si>
    <t>ttkxJ1un4sE</t>
  </si>
  <si>
    <t>https://youtu.be/sv-qVYlp9hA</t>
  </si>
  <si>
    <t>Interview with NASA Nutritionist Scott M. Smith</t>
  </si>
  <si>
    <t>NASA Nutritionist Scott M. Smith talks about nutrition experiments aboard the International Space Station.</t>
  </si>
  <si>
    <t>sv-qVYlp9hA</t>
  </si>
  <si>
    <t>https://youtu.be/upPBd-QppA8</t>
  </si>
  <si>
    <t>Weekly ISS Recap - Feb. 6-Feb. 10, 2012</t>
  </si>
  <si>
    <t>The weekly International Space Station video recap for Feb. 6-Feb. 10, 2012.</t>
  </si>
  <si>
    <t>upPBd-QppA8</t>
  </si>
  <si>
    <t>2012 02 09</t>
  </si>
  <si>
    <t>https://youtu.be/wXx3OGKY0IA</t>
  </si>
  <si>
    <t>NASA Tests Transfer Device for Space Station</t>
  </si>
  <si>
    <t>Inside the Space Vehicle Mockup Facility at Johnson Space Center in Houston, NASA tests the Japanese Experiment Module ORU Transfer Interface, or JOTI. This device would allow astronauts to transfer orbital replacement units to and from Dextre, the robotic handyman on the exterior of the International Space Station.</t>
  </si>
  <si>
    <t>wXx3OGKY0IA</t>
  </si>
  <si>
    <t>https://youtu.be/GYopLI23Iy8</t>
  </si>
  <si>
    <t>Station Robotics Testing at Johnson Space Center</t>
  </si>
  <si>
    <t>At the Space Vehicle Mockup Facility at Johnson Space Center, NASA tests the Japanese Experiment Module ORU Transfer Interface, or JOTI. This device would allow astronauts to transfer orbital replacement units to and from Dextre, the robotic handyman on the exterior of the International Space Station.</t>
  </si>
  <si>
    <t>GYopLI23Iy8</t>
  </si>
  <si>
    <t>https://youtu.be/IRxlYTsHwMo</t>
  </si>
  <si>
    <t>Monica Visinsky Interview</t>
  </si>
  <si>
    <t>NASA Public Affairs Officer Brandi Dean talks with Monica Visinsky, the test coordinator for the Japanese Experiment Module ORU Transfer Interface. NASA is testing an airlock transfer device to pass orbital replacement units to and from Dextre, the robotic handyman on the exterior of the International Space Station.</t>
  </si>
  <si>
    <t>IRxlYTsHwMo</t>
  </si>
  <si>
    <t>https://youtu.be/B0RJwEWQl88</t>
  </si>
  <si>
    <t>ISS Update - Feb. 9, 2012</t>
  </si>
  <si>
    <t>The International Space Station video update for Feb. 9, 2012.</t>
  </si>
  <si>
    <t>B0RJwEWQl88</t>
  </si>
  <si>
    <t>2012 02 08</t>
  </si>
  <si>
    <t>https://youtu.be/0wAKC4WRc-s</t>
  </si>
  <si>
    <t>ISS Update - Feb. 8, 2012</t>
  </si>
  <si>
    <t>The International Space Station video update for Feb. 8, 2012.</t>
  </si>
  <si>
    <t>0wAKC4WRc-s</t>
  </si>
  <si>
    <t>2012 02 07</t>
  </si>
  <si>
    <t>https://youtu.be/hBhYneN0iAk</t>
  </si>
  <si>
    <t>Astronaut Mike Fossum Answers Twitter Questions</t>
  </si>
  <si>
    <t>NASA astronaut Mike Fossum, who spent five and a half months aboard the International Space Station, answers questions from Twitter users.
For a video of Fossum working with SHERE aboard the International Space Station, visit: http://www.nasa.gov/multimedia/videogallery/index.html?media_id=105736221
For more info on SHERE and other experiments mentioned in this video, visit http://www.nasa.gov/station</t>
  </si>
  <si>
    <t>hBhYneN0iAk</t>
  </si>
  <si>
    <t>https://youtu.be/ltWsu2BhmTQ</t>
  </si>
  <si>
    <t>ISS Update - Feb. 7, 2012</t>
  </si>
  <si>
    <t>The International Space Station video update for Feb. 7, 2012.</t>
  </si>
  <si>
    <t>ltWsu2BhmTQ</t>
  </si>
  <si>
    <t>2012 02 06</t>
  </si>
  <si>
    <t>https://youtu.be/yhetymMo_e8</t>
  </si>
  <si>
    <t>ISS Update - Feb. 6, 2012</t>
  </si>
  <si>
    <t>The International Space Station video update for Feb. 6, 2012.</t>
  </si>
  <si>
    <t>yhetymMo_e8</t>
  </si>
  <si>
    <t>https://youtu.be/qHrBhgwq__Q</t>
  </si>
  <si>
    <t>Science off the Sphere  Knitting Needle Experiment</t>
  </si>
  <si>
    <t>International Space Station Expedition 30 astronaut Don Pettit uses knitting needles and water droplets to demonstrate physics in space for 'Science off the Sphere.' Through a partnership between NASA and the American Physical Society you can participate in Pettit's physics challenge and view future experiments here: http://www.physicscentral.com/sots</t>
  </si>
  <si>
    <t>qHrBhgwq__Q</t>
  </si>
  <si>
    <t>https://youtu.be/3swQ5j4ngZ8</t>
  </si>
  <si>
    <t>Interview with NASA Earth Scientist Melissa Dawson</t>
  </si>
  <si>
    <t>NASA Earth Scientist Melissa Dawson describes her role in the Crew Earth Observation program at Johnson Space Center.</t>
  </si>
  <si>
    <t>3swQ5j4ngZ8</t>
  </si>
  <si>
    <t>2012 02 03</t>
  </si>
  <si>
    <t>https://youtu.be/cvUEr50Cos8</t>
  </si>
  <si>
    <t>Weekly ISS Recap - Jan. 30-Feb. 3, 2012</t>
  </si>
  <si>
    <t>The weekly International Space Station video recap for Jan. 30-Feb. 3, 2012.</t>
  </si>
  <si>
    <t>cvUEr50Cos8</t>
  </si>
  <si>
    <t>2012 02 02</t>
  </si>
  <si>
    <t>https://youtu.be/wkSSxjch1cM</t>
  </si>
  <si>
    <t>Mexico and the Florida Peninsula</t>
  </si>
  <si>
    <t>The International Space Station flies over Mexico and the Florida peninsula in this night time pass on Nov. 24, 2011.</t>
  </si>
  <si>
    <t>wkSSxjch1cM</t>
  </si>
  <si>
    <t>2012 02 01</t>
  </si>
  <si>
    <t>https://youtu.be/Uxz7u5LDRUo</t>
  </si>
  <si>
    <t>ARED Demo and Interview with Bob Tweedy</t>
  </si>
  <si>
    <t>An interview with Countermeasures System Instructor Bob Tweedy and demonstration of the ARED exercise device used by the crew members aboard the International Space Station.</t>
  </si>
  <si>
    <t>Uxz7u5LDRUo</t>
  </si>
  <si>
    <t>https://youtu.be/X-ieJKwytgI</t>
  </si>
  <si>
    <t>Interview with Lori Ploutz-Snyder, Ph.D. about SPRINT</t>
  </si>
  <si>
    <t>An interview with NASA Lead Exercise Physiology Scientist Lori Ploutz-Snyder, Ph.D. about the SPRINT exercise program used by the crew members aboard the International Space Station.</t>
  </si>
  <si>
    <t>X-ieJKwytgI</t>
  </si>
  <si>
    <t>https://youtu.be/_y8yfKPrDiQ</t>
  </si>
  <si>
    <t>ISS Update - Feb. 1, 2012</t>
  </si>
  <si>
    <t>The International Space Station video update for Feb. 1, 2012.</t>
  </si>
  <si>
    <t>_y8yfKPrDiQ</t>
  </si>
  <si>
    <t>2012 01 31</t>
  </si>
  <si>
    <t>https://youtu.be/drWPuXfVULs</t>
  </si>
  <si>
    <t>ISS Update - Jan. 31, 2012</t>
  </si>
  <si>
    <t>The International Space Station video update for Jan. 30, 2012.</t>
  </si>
  <si>
    <t>drWPuXfVULs</t>
  </si>
  <si>
    <t>2012 01 30</t>
  </si>
  <si>
    <t>https://youtu.be/v7uC1qo75Is</t>
  </si>
  <si>
    <t>ISS Update - Jan. 30, 2012</t>
  </si>
  <si>
    <t>v7uC1qo75Is</t>
  </si>
  <si>
    <t>2012 01 27</t>
  </si>
  <si>
    <t>https://youtu.be/TH7CHjufk2U</t>
  </si>
  <si>
    <t>T-38 Flyover for Day of Remembrance</t>
  </si>
  <si>
    <t>NASA pilots perform the "Missing Man" formation during a T-38 flyover at Johnson Space Center in Houston on Jan. 26 to commemorate the men and women lost in the agency's space exploration program.</t>
  </si>
  <si>
    <t>TH7CHjufk2U</t>
  </si>
  <si>
    <t>https://youtu.be/BbWcwqNogV8</t>
  </si>
  <si>
    <t>Weekly ISS Recap - Jan. 23-27, 2012</t>
  </si>
  <si>
    <t>The weekly International Space Station video recap for Jan. 23-27, 2012.</t>
  </si>
  <si>
    <t>BbWcwqNogV8</t>
  </si>
  <si>
    <t>2012 01 26</t>
  </si>
  <si>
    <t>https://youtu.be/HzZB40CfYpc</t>
  </si>
  <si>
    <t>ISS Update - Jan. 26, 2012</t>
  </si>
  <si>
    <t>The International Space Station video update for Jan. 26, 2012.</t>
  </si>
  <si>
    <t>HzZB40CfYpc</t>
  </si>
  <si>
    <t>2012 01 25</t>
  </si>
  <si>
    <t>https://youtu.be/L6zd9d0939M</t>
  </si>
  <si>
    <t>ISS Update - Jan. 25, 2012</t>
  </si>
  <si>
    <t>The International Space Station video update for Jan. 25, 2012.</t>
  </si>
  <si>
    <t>L6zd9d0939M</t>
  </si>
  <si>
    <t>2012 01 24</t>
  </si>
  <si>
    <t>https://youtu.be/cTDIEybgRKI</t>
  </si>
  <si>
    <t>Digital Learning Network Event with Robotics Engineer Jonathan Rogers</t>
  </si>
  <si>
    <t>Robotics engineer Jonathan Rogers and Public Affairs Officer Kylie Clem participate in a Digital Learning Network educational event, answering questions from students at Montgomery Middle School in Skillman, New Jersey.  The students received an interactive educational lesson on "Spacebots" prior to asking their questions.</t>
  </si>
  <si>
    <t>cTDIEybgRKI</t>
  </si>
  <si>
    <t>https://youtu.be/UomgfVySkCY</t>
  </si>
  <si>
    <t>ISS Update - Jan. 24, 2012</t>
  </si>
  <si>
    <t>The International Space Station video update for Jan. 24, 2012.</t>
  </si>
  <si>
    <t>UomgfVySkCY</t>
  </si>
  <si>
    <t>2012 01 23</t>
  </si>
  <si>
    <t>https://youtu.be/dZh91nKZb7c</t>
  </si>
  <si>
    <t>ISS Update - Jan. 23, 2012</t>
  </si>
  <si>
    <t>The International Space Station video update for Jan. 23, 2012.</t>
  </si>
  <si>
    <t>dZh91nKZb7c</t>
  </si>
  <si>
    <t>2012 01 20</t>
  </si>
  <si>
    <t>https://youtu.be/hVmAMwmS0Rw</t>
  </si>
  <si>
    <t>Astronaut Jack Fischer Interview</t>
  </si>
  <si>
    <t>Astronaut Jack Fischer talks about his training and the Fly NASA astronaut recruitment program.</t>
  </si>
  <si>
    <t>hVmAMwmS0Rw</t>
  </si>
  <si>
    <t>https://youtu.be/oc3eiu9XeDU</t>
  </si>
  <si>
    <t>Weekly ISS Recap - Jan. 16-20, 2012</t>
  </si>
  <si>
    <t>The weekly International Space Station video recap for Jan. 16-20, 2012.</t>
  </si>
  <si>
    <t>oc3eiu9XeDU</t>
  </si>
  <si>
    <t>2012 01 19</t>
  </si>
  <si>
    <t>https://youtu.be/q5c9zBbEBJw</t>
  </si>
  <si>
    <t>Zack Crues on Space Exploration Vehicle Mockup</t>
  </si>
  <si>
    <t>Zack Crues, the Space Exploration Vehicle modeling and simulation lead, talks to NASA Public Affairs Officer Brandi Dean about the importance of creating an immersive virtual reality environment for tests such as the simulated mission to an asteroid taking place at the Johnson Space Center in Houston.</t>
  </si>
  <si>
    <t>q5c9zBbEBJw</t>
  </si>
  <si>
    <t>https://youtu.be/sVG5OdpXdx8</t>
  </si>
  <si>
    <t>James Johnson on Asteroid Mission Simulation Testing</t>
  </si>
  <si>
    <t>NASA Public Affairs Officer Brandi Dean talks to James Johnson, the test director for a simulated mission to an asteroid taking place at the Space Vehicle Mockup Facility at the Johnson Space Center in Houston.</t>
  </si>
  <si>
    <t>sVG5OdpXdx8</t>
  </si>
  <si>
    <t>https://youtu.be/jMO4R3Bk8Rc</t>
  </si>
  <si>
    <t>Mike Gernhardt on Asteroid Mission Simulation</t>
  </si>
  <si>
    <t>NASA astronaut Mike Gernhardt talks with Public Affairs Officer Brandi Dean about the simulation of a mission to an asteroid taking place at the Space Vehicle Mockup Facility at the Johnson Space Center in Houston.</t>
  </si>
  <si>
    <t>jMO4R3Bk8Rc</t>
  </si>
  <si>
    <t>https://youtu.be/t_FFwRYfMuE</t>
  </si>
  <si>
    <t>ISS Update - Jan. 19, 2012</t>
  </si>
  <si>
    <t>The International Space Station video update for Jan. 19, 2012.</t>
  </si>
  <si>
    <t>t_FFwRYfMuE</t>
  </si>
  <si>
    <t>2012 01 18</t>
  </si>
  <si>
    <t>https://youtu.be/0pUf1IWwRcA</t>
  </si>
  <si>
    <t>International Space Station Science</t>
  </si>
  <si>
    <t>Astronaut Ron Garan takes you on a tour of the International Space Station's research facilities, which have contributed to advances in materials, environmental science, medicine and our understanding of the human body, our planet and the universe.</t>
  </si>
  <si>
    <t>0pUf1IWwRcA</t>
  </si>
  <si>
    <t>https://youtu.be/6ZiBRDlfwVw</t>
  </si>
  <si>
    <t>ISS Update - Jan. 18, 2012</t>
  </si>
  <si>
    <t>The International Space Station video update for Jan. 18, 2012.</t>
  </si>
  <si>
    <t>6ZiBRDlfwVw</t>
  </si>
  <si>
    <t>2012 01 17</t>
  </si>
  <si>
    <t>https://youtu.be/JfZqMJHHvns</t>
  </si>
  <si>
    <t>ISS Update - Jan. 17, 2012</t>
  </si>
  <si>
    <t>The International Space Station video update for Jan. 17, 2012.</t>
  </si>
  <si>
    <t>JfZqMJHHvns</t>
  </si>
  <si>
    <t>2012 01 13</t>
  </si>
  <si>
    <t>https://youtu.be/vGnbgI7yUug</t>
  </si>
  <si>
    <t>Weekly ISS Recap - Jan. 9-13, 2012</t>
  </si>
  <si>
    <t>The weekly International Space Station video recap for Jan. 9-13, 2012.</t>
  </si>
  <si>
    <t>vGnbgI7yUug</t>
  </si>
  <si>
    <t>2012 01 12</t>
  </si>
  <si>
    <t>https://youtu.be/lTgRM5bYqCc</t>
  </si>
  <si>
    <t>ISS Update - Jan. 12, 2012</t>
  </si>
  <si>
    <t>The International Space Station video update for Jan. 11, 2012.</t>
  </si>
  <si>
    <t>lTgRM5bYqCc</t>
  </si>
  <si>
    <t>2012 01 11</t>
  </si>
  <si>
    <t>https://youtu.be/rJDYsDK5Vcw</t>
  </si>
  <si>
    <t>Dan Burbank Speaks With Students Using Amateur Radio</t>
  </si>
  <si>
    <t>Station commander Dan Burbank conducted an amateur radio contact on Monday (Jan. 9) with a group of students at Descartes High School in Montigny-Le-Bretonneux, France, 30 km southwest of Paris.  Members of the school's astronomy club asked questions about life in space, cultural differences among astronauts from different countries, and the scientific experiments being conducted on board the station.</t>
  </si>
  <si>
    <t>rJDYsDK5Vcw</t>
  </si>
  <si>
    <t>https://youtu.be/BZ58Tg7nbYA</t>
  </si>
  <si>
    <t>ISS Update - Jan. 11, 2012</t>
  </si>
  <si>
    <t>BZ58Tg7nbYA</t>
  </si>
  <si>
    <t>2012 01 10</t>
  </si>
  <si>
    <t>https://youtu.be/v8VZrP4IdZE</t>
  </si>
  <si>
    <t>ISS Update - Jan. 10, 2012</t>
  </si>
  <si>
    <t>The International Space Station video update for Jan. 10, 2012.</t>
  </si>
  <si>
    <t>v8VZrP4IdZE</t>
  </si>
  <si>
    <t>2012 01 09</t>
  </si>
  <si>
    <t>https://youtu.be/9q8MM0eDU_s</t>
  </si>
  <si>
    <t>NASA Student Recruitment Video</t>
  </si>
  <si>
    <t>NASA Coops show what it's like for students to work at NASA.</t>
  </si>
  <si>
    <t>9q8MM0eDU_s</t>
  </si>
  <si>
    <t>https://youtu.be/lxGfvKYYs1U</t>
  </si>
  <si>
    <t>Reid Wiseman Interview</t>
  </si>
  <si>
    <t>NASA Astronaut Reid Wiseman talks with Public Affairs Officer Josh Byerly about the astronaut application process, his training for a mission to the International Space Station and the future of the human spaceflight program.
NASA is accepting applications for the agency's next class for the Astronaut Candidate Program. 
Learn more: http://www.nasa.gov/flynasa</t>
  </si>
  <si>
    <t>lxGfvKYYs1U</t>
  </si>
  <si>
    <t>https://youtu.be/u98MCQ6dmCU</t>
  </si>
  <si>
    <t>ISS Update - Jan. 9, 2012</t>
  </si>
  <si>
    <t>The International Space Station video update for Jan. 9, 2012.</t>
  </si>
  <si>
    <t>u98MCQ6dmCU</t>
  </si>
  <si>
    <t>2012 01 06</t>
  </si>
  <si>
    <t>https://youtu.be/6vuryY-Zqnw</t>
  </si>
  <si>
    <t>Weekly ISS Recap - Jan. 2-6, 2012</t>
  </si>
  <si>
    <t>The weekly International Space Station video recap for Jan. 2-6, 2012.</t>
  </si>
  <si>
    <t>6vuryY-Zqnw</t>
  </si>
  <si>
    <t>2012 01 05</t>
  </si>
  <si>
    <t>https://youtu.be/cjmJrqRgdsQ</t>
  </si>
  <si>
    <t>Dan Burbank  Astronaut Recruitment Message</t>
  </si>
  <si>
    <t>Expedition 30 Commander Dan Burbank recruits new astronauts for the International Space Station and Orion programs.</t>
  </si>
  <si>
    <t>cjmJrqRgdsQ</t>
  </si>
  <si>
    <t>https://youtu.be/QQ4Y8EGxgkU</t>
  </si>
  <si>
    <t>EPIC Computer Upgrade</t>
  </si>
  <si>
    <t>Expedition 30 Commander Dan Burbank and Flight Engineer Don Pettit work on installing hardware for the Enhanced Processor and Integrated Communications (EPIC) upgrade of the International Space Station's compters. The upgrade will provide the station's computers with faster processors, more memory and an Ethernet interface for data outputs.</t>
  </si>
  <si>
    <t>QQ4Y8EGxgkU</t>
  </si>
  <si>
    <t>https://youtu.be/_7cPt4e3vUA</t>
  </si>
  <si>
    <t>ISS Update - Jan. 5, 2012</t>
  </si>
  <si>
    <t>The International Space Station video update for Jan. 5, 2012.</t>
  </si>
  <si>
    <t>_7cPt4e3vUA</t>
  </si>
  <si>
    <t>2012 01 04</t>
  </si>
  <si>
    <t>https://youtu.be/7N-Trori7EA</t>
  </si>
  <si>
    <t>ISS Update - Jan. 4, 2012</t>
  </si>
  <si>
    <t>The International Space Station video update for Jan. 4, 2012.</t>
  </si>
  <si>
    <t>7N-Trori7EA</t>
  </si>
  <si>
    <t>2012 01 03</t>
  </si>
  <si>
    <t>https://youtu.be/GEzAUNmchZQ</t>
  </si>
  <si>
    <t>ISS Update - Jan. 3, 2012</t>
  </si>
  <si>
    <t>The International Space Station video update for Jan. 3, 2012.</t>
  </si>
  <si>
    <t>GEzAUNmchZQ</t>
  </si>
  <si>
    <t>2011 12 30</t>
  </si>
  <si>
    <t>https://youtu.be/ATW1PyDor3k</t>
  </si>
  <si>
    <t>Weekly ISS Recap - Dec. 26-30, 2011</t>
  </si>
  <si>
    <t>The International Space Station video update for Dec. 26-30, 2011.</t>
  </si>
  <si>
    <t>ATW1PyDor3k</t>
  </si>
  <si>
    <t>2011 12 27</t>
  </si>
  <si>
    <t>https://youtu.be/AitL5M7VzHo</t>
  </si>
  <si>
    <t>ISS Update - Dec. 27, 2011</t>
  </si>
  <si>
    <t>The International Space Station video update for Dec. 27, 2011.</t>
  </si>
  <si>
    <t>AitL5M7VzHo</t>
  </si>
  <si>
    <t>https://youtu.be/b08QZVJzz38</t>
  </si>
  <si>
    <t>Expedition 30 Crew New Year's Message</t>
  </si>
  <si>
    <t>A special New Year's message from the Expedition 30 crew members aboard the International Space Station.</t>
  </si>
  <si>
    <t>b08QZVJzz38</t>
  </si>
  <si>
    <t>2011 12 23</t>
  </si>
  <si>
    <t>https://youtu.be/gUh6iQ-mvU4</t>
  </si>
  <si>
    <t>Orion  From Factory to Flight</t>
  </si>
  <si>
    <t>NASA is making steady progress on building the Orion spacecraft, which will take astronauts deeper into space than ever before. Take a look at the latest achievements and milestones in "Orion: From Factory to Flight" as Orion gets ready for its first orbital test flight in 2014.</t>
  </si>
  <si>
    <t>gUh6iQ-mvU4</t>
  </si>
  <si>
    <t>https://youtu.be/JN90Y_DSE2w</t>
  </si>
  <si>
    <t>Expedition 30 Hatch Opening</t>
  </si>
  <si>
    <t>Expedition 30 Flight Engineers Don Pettit, Oleg Kononenko and Andre Kuipers are welcomed aboard the International Space Station when the hatches between the station and the Soyuz TMA-03M spacecraft were opened on Dec. 23.</t>
  </si>
  <si>
    <t>JN90Y_DSE2w</t>
  </si>
  <si>
    <t>https://youtu.be/3hx3G25dSbY</t>
  </si>
  <si>
    <t>Weekly ISS Recap - Dec. 19-23, 2011</t>
  </si>
  <si>
    <t>The weekly International Space Station video recap for Dec. 19-23, 2011</t>
  </si>
  <si>
    <t>3hx3G25dSbY</t>
  </si>
  <si>
    <t>https://youtu.be/1z4Kj5YsYLY</t>
  </si>
  <si>
    <t>Expedition 30 Docking</t>
  </si>
  <si>
    <t>The Soyuz TMA-03M spacecraft carrying NASA astronaut Don Pettit, Russian cosmonaut Oleg Kononenko and European Space Agency astronaut Andre Kuipers docks to the International Space Station's Rassvet module on Dec. 23 at 10:19 a.m. EST.</t>
  </si>
  <si>
    <t>1z4Kj5YsYLY</t>
  </si>
  <si>
    <t>2011 12 22</t>
  </si>
  <si>
    <t>https://youtu.be/ZAId-Sf5m4U</t>
  </si>
  <si>
    <t xml:space="preserve">What Will Your Day Look Like </t>
  </si>
  <si>
    <t>NASA Coops examine a typical day for an astronaut and a regular Joe or Jane.</t>
  </si>
  <si>
    <t>ZAId-Sf5m4U</t>
  </si>
  <si>
    <t>https://youtu.be/QqwTBUJiOCE</t>
  </si>
  <si>
    <t>Imagine the Possibilities</t>
  </si>
  <si>
    <t>NASA Coop students imagine the future possibilities for the agency's next class of astronaut candidates.</t>
  </si>
  <si>
    <t>QqwTBUJiOCE</t>
  </si>
  <si>
    <t>https://youtu.be/aoZIwtgEqKY</t>
  </si>
  <si>
    <t>Space Station Commander Captures Unprecedented View of Comet</t>
  </si>
  <si>
    <t>International Space Station Commander Dan Burbank captured spectacular imagery of Comet Lovejoy as seen from about 240 miles above the Earth's horizon on Wednesday, Dec. 21. 
Today Burbank described seeing the comet two nights ago as "the most amazing thing I have ever seen in space," in an interview with WDIV-TV in Detroit. Last night he captured hundreds of still images of the comet.
More images available in the International Space Station image gallery:
http://www.nasa.gov/mission_pages/station/multimedia/gallery/index.html</t>
  </si>
  <si>
    <t>aoZIwtgEqKY</t>
  </si>
  <si>
    <t>https://youtu.be/hAnJHSzHD1Q</t>
  </si>
  <si>
    <t>ISS Update - Dec. 22, 2011</t>
  </si>
  <si>
    <t>The International Space Station video update for Dec. 22, 2011.</t>
  </si>
  <si>
    <t>hAnJHSzHD1Q</t>
  </si>
  <si>
    <t>2011 12 21</t>
  </si>
  <si>
    <t>https://youtu.be/NoX0GYwCdBE</t>
  </si>
  <si>
    <t>Interview With Astronaut Mike Fossum</t>
  </si>
  <si>
    <t>Astronaut Mike Fossum talks about his Soyuz launch experience and gives insight into life aboard the station.</t>
  </si>
  <si>
    <t>NoX0GYwCdBE</t>
  </si>
  <si>
    <t>https://youtu.be/O49YHkVVm8c</t>
  </si>
  <si>
    <t>Expedition 30 Pre-launch Preps and Launch</t>
  </si>
  <si>
    <t>Expedition 30 Flight Engineers Don Pettit, Oleg Kononenko and Andre Kuipers pre-launch preparations and launch from the Baikonur Cosmodrome in Kazakhstan.</t>
  </si>
  <si>
    <t>O49YHkVVm8c</t>
  </si>
  <si>
    <t>https://youtu.be/hH2qZs7vH8g</t>
  </si>
  <si>
    <t>ISS Update - Dec. 21, 2011</t>
  </si>
  <si>
    <t>The International Space Station video update for Dec. 21, 2011.</t>
  </si>
  <si>
    <t>hH2qZs7vH8g</t>
  </si>
  <si>
    <t>https://youtu.be/RiD2uxMO12Q</t>
  </si>
  <si>
    <t>New Expedition 30 Crew Members Launch to Station</t>
  </si>
  <si>
    <t>Expedition 30 Flight Engineers Don Pettit, Oleg Kononenko and Andre Kuipers launched at 8:16 a.m. EST on Wednesday (7:16 p.m. local time) from the Baikonur Cosmodrome in Kazakhstan. The three new International Space Station crew members launched in their Soyuz TMA-03M spacecraft beginning a two-day trip to the orbiting outpost.</t>
  </si>
  <si>
    <t>RiD2uxMO12Q</t>
  </si>
  <si>
    <t>2011 12 20</t>
  </si>
  <si>
    <t>https://youtu.be/Ijdu7-_NH0Y</t>
  </si>
  <si>
    <t>ISS Update - Dec. 20, 2011</t>
  </si>
  <si>
    <t>The International Space Station video update for Dec. 20, 2011.</t>
  </si>
  <si>
    <t>Ijdu7-_NH0Y</t>
  </si>
  <si>
    <t>2011 12 19</t>
  </si>
  <si>
    <t>https://youtu.be/0bPJWcmQAwE</t>
  </si>
  <si>
    <t>ISS Update - Dec. 19, 2011</t>
  </si>
  <si>
    <t>The International Space Station video update for Dec. 19, 2011.</t>
  </si>
  <si>
    <t>0bPJWcmQAwE</t>
  </si>
  <si>
    <t>https://youtu.be/uOQqkKECS5Y</t>
  </si>
  <si>
    <t>Expedition 30 Soyuz Moves to Launch Pad</t>
  </si>
  <si>
    <t>On Dec. 19, the Soyuz TMA-03M spacecraft and its booster were moved to the launch pad at the Baikonur Cosmodrome in Kazakhstan for final preparations before launch to the International Space Station on Dec. 21.  The TMA-03M will carry Russian cosmonaut Oleg Kononenko, NASA astronaut Don Pettit and European Space Agency astronaut Andre Kuipers to the orbiting complex.</t>
  </si>
  <si>
    <t>uOQqkKECS5Y</t>
  </si>
  <si>
    <t>2011 12 16</t>
  </si>
  <si>
    <t>https://youtu.be/h82WfPfzahE</t>
  </si>
  <si>
    <t>Expedition 30 Prepares for Dec. 21 Launch</t>
  </si>
  <si>
    <t>NASA astronaut Don Pettit, Russian cosmonaut Oleg Kononenko and European Space Agency astronaut Andre Kuipers arrive at the Baikonur Cosmodrome in Kazakhstan to begin the final phase of preparations for their Dec. 21 launch to the International Space Station.
When their Soyuz TMA-03M spacecraft docks with the station on Dec. 23, Pettit, Kononenko and Kuipers will join Expedition 30 Commander Dan Burbank of NASA and Russian Flight Engineers Anton Shkaplerov and Anatoly Ivanishin, who have been on the station since Nov. 16.</t>
  </si>
  <si>
    <t>h82WfPfzahE</t>
  </si>
  <si>
    <t>https://youtu.be/CpJYF2o9nBQ</t>
  </si>
  <si>
    <t>Mike Hopkins Interview</t>
  </si>
  <si>
    <t>NASA Astronaut Mike Hopkins talks with Public Affairs Officer Nicole Cloutier about the astronaut application process and what it's like to be an astronaut. 
NASA is accepting applications for the agency's next class for the Astronaut Candidate Program. Those selected will be among the first to pioneer a new generation of commercial launch vehicles and travel aboard a new heavy-lift rocket to distant destinations in deep space. 
More info: http://www.nasa.gov/flynasa</t>
  </si>
  <si>
    <t>CpJYF2o9nBQ</t>
  </si>
  <si>
    <t>https://youtu.be/_zhZ2v4Aq70</t>
  </si>
  <si>
    <t>ISS Update - Dec. 16, 2011</t>
  </si>
  <si>
    <t>The International Space Station video update for Dec. 16, 2011.</t>
  </si>
  <si>
    <t>_zhZ2v4Aq70</t>
  </si>
  <si>
    <t>https://youtu.be/MaXdoqq3Dzs</t>
  </si>
  <si>
    <t>Station Commander Sends Holiday Greetings</t>
  </si>
  <si>
    <t>Aboard the International Space Station, Expedition 30 Commander Dan Burbank of NASA sends season's greetings to the world and shares his thoughts about being in orbit aboard the space-based laboratory with his crewmates during the holidays.</t>
  </si>
  <si>
    <t>MaXdoqq3Dzs</t>
  </si>
  <si>
    <t>2011 12 14</t>
  </si>
  <si>
    <t>https://youtu.be/H5USGLITwaU</t>
  </si>
  <si>
    <t>ISS Update - Dec. 14, 2011</t>
  </si>
  <si>
    <t>The International Space Station video update for Dec. 14, 2011.</t>
  </si>
  <si>
    <t>H5USGLITwaU</t>
  </si>
  <si>
    <t>2011 12 13</t>
  </si>
  <si>
    <t>https://youtu.be/FL4ZuAR_w2k</t>
  </si>
  <si>
    <t>ISS Update - Dec. 13, 2011</t>
  </si>
  <si>
    <t>The International Space Station video update for Dec. 13, 2011.</t>
  </si>
  <si>
    <t>FL4ZuAR_w2k</t>
  </si>
  <si>
    <t>2011 12 12</t>
  </si>
  <si>
    <t>https://youtu.be/UIg2-B9ufDo</t>
  </si>
  <si>
    <t>ISS Update - Dec. 12, 2011</t>
  </si>
  <si>
    <t>The International Space Station video update for Dec. 12, 2011.</t>
  </si>
  <si>
    <t>UIg2-B9ufDo</t>
  </si>
  <si>
    <t>https://youtu.be/DAp1_ADRt-E</t>
  </si>
  <si>
    <t>Jeanette Epps Interview</t>
  </si>
  <si>
    <t>NASA Astronaut Jeanette Epps talks with Public Affairs Officer Brandi Dean about the astronaut application process and what it's like to be an astronaut. 
NASA is accepting applications for the agency's next class for the Astronaut Candidate Program. Those selected will be among the first to pioneer a new generation of commercial launch vehicles and travel aboard a new heavy-lift rocket to distant destinations in deep space. 
More info: http://www.nasa.gov/flynasa</t>
  </si>
  <si>
    <t>DAp1_ADRt-E</t>
  </si>
  <si>
    <t>2011 12 09</t>
  </si>
  <si>
    <t>https://youtu.be/kFDNzGbvbGg</t>
  </si>
  <si>
    <t>Weekly ISS Recap - Dec. 5-9, 2011</t>
  </si>
  <si>
    <t>The weekly International Space Station video recap for Dec. 5-9, 2011.</t>
  </si>
  <si>
    <t>kFDNzGbvbGg</t>
  </si>
  <si>
    <t>2011 12 08</t>
  </si>
  <si>
    <t>https://youtu.be/cA6QzliwHks</t>
  </si>
  <si>
    <t>ISS Update - Dec. 8, 2011</t>
  </si>
  <si>
    <t>The International Space Station video update for Dec. 8, 2011.</t>
  </si>
  <si>
    <t>cA6QzliwHks</t>
  </si>
  <si>
    <t>https://youtu.be/7JmJfl7_BDo</t>
  </si>
  <si>
    <t>Expedition 30 Departs for Launch Site</t>
  </si>
  <si>
    <t>Three Expedition 30 flight engineers -- NASA astronaut Don Pettit, Russian cosmonaut Oleg Kononenko and European Space Agency astronaut Andre Kuipers -- departed Star City, Russia on Thursday for the Baikonur Cosmodrome in Kazakhstan where their Soyuz TMA-03M spacecraft is being prepared for its Dec. 21 launch to the International Space Station.</t>
  </si>
  <si>
    <t>7JmJfl7_BDo</t>
  </si>
  <si>
    <t>2011 12 07</t>
  </si>
  <si>
    <t>https://youtu.be/F5MwZu7Sehc</t>
  </si>
  <si>
    <t>ISS Update - Dec. 7, 2011</t>
  </si>
  <si>
    <t>The International Space Station video update for Dec. 7, 2011.</t>
  </si>
  <si>
    <t>F5MwZu7Sehc</t>
  </si>
  <si>
    <t>2011 12 06</t>
  </si>
  <si>
    <t>https://youtu.be/NKPKG5RbGuw</t>
  </si>
  <si>
    <t>ISS Update - Dec. 6, 2011</t>
  </si>
  <si>
    <t>The International Space Station video update for Dec. 6, 2011.</t>
  </si>
  <si>
    <t>NKPKG5RbGuw</t>
  </si>
  <si>
    <t>2011 12 05</t>
  </si>
  <si>
    <t>https://youtu.be/v_LTCS1bjVI</t>
  </si>
  <si>
    <t>ISS Update - Dec. 5, 2011</t>
  </si>
  <si>
    <t>The International Space Station video update for Dec. 5, 2011.</t>
  </si>
  <si>
    <t>v_LTCS1bjVI</t>
  </si>
  <si>
    <t>2011 12 02</t>
  </si>
  <si>
    <t>https://youtu.be/aqgtNcyLkEo</t>
  </si>
  <si>
    <t>Weekly ISS Recap - Nov. 28-Dec. 2, 2011</t>
  </si>
  <si>
    <t>The weekly International Space Station video recap for Nov. 28-Dec 2, 2001.</t>
  </si>
  <si>
    <t>aqgtNcyLkEo</t>
  </si>
  <si>
    <t>2011 12 01</t>
  </si>
  <si>
    <t>https://youtu.be/GsN8OWIAO38</t>
  </si>
  <si>
    <t>ISS Update - Dec. 1, 2011</t>
  </si>
  <si>
    <t>The International Space Station video update for Dec. 1, 2011.</t>
  </si>
  <si>
    <t>GsN8OWIAO38</t>
  </si>
  <si>
    <t>2011 11 30</t>
  </si>
  <si>
    <t>https://youtu.be/h3VvtEQnwZI</t>
  </si>
  <si>
    <t>ISS Update - Nov. 30, 2011</t>
  </si>
  <si>
    <t>The International Space Station video update for Nov. 30, 2011.</t>
  </si>
  <si>
    <t>h3VvtEQnwZI</t>
  </si>
  <si>
    <t>2011 11 29</t>
  </si>
  <si>
    <t>https://youtu.be/xZq7FWSlhfE</t>
  </si>
  <si>
    <t>ISS Update - Nov. 29, 2011</t>
  </si>
  <si>
    <t>The International Space Station video update for Nov. 29, 2011.</t>
  </si>
  <si>
    <t>xZq7FWSlhfE</t>
  </si>
  <si>
    <t>https://youtu.be/y2zoqq4_Uh4</t>
  </si>
  <si>
    <t>Expedition 30 Ask the Crew</t>
  </si>
  <si>
    <t>Submit your questions to the Expedition 30 crew on the International Space Station.</t>
  </si>
  <si>
    <t>y2zoqq4_Uh4</t>
  </si>
  <si>
    <t>2011 11 28</t>
  </si>
  <si>
    <t>https://youtu.be/mHI8RoltA4E</t>
  </si>
  <si>
    <t>ISS Update - Nov. 28, 2011</t>
  </si>
  <si>
    <t>The International Space Station video update for Nov. 28, 2011.</t>
  </si>
  <si>
    <t>mHI8RoltA4E</t>
  </si>
  <si>
    <t>2011 11 25</t>
  </si>
  <si>
    <t>https://youtu.be/Qanwvvbe8bM</t>
  </si>
  <si>
    <t>Weekly ISS Recap - Nov. 21-Nov. 25, 2011</t>
  </si>
  <si>
    <t>The weekly International Space Station video recap for Nov. 21-Nov. 25, 2011</t>
  </si>
  <si>
    <t>Qanwvvbe8bM</t>
  </si>
  <si>
    <t>2011 11 23</t>
  </si>
  <si>
    <t>https://youtu.be/WRSncTLMRZM</t>
  </si>
  <si>
    <t>ISS Update - Nov. 23, 2011</t>
  </si>
  <si>
    <t>The International Space Station video update for Nov. 23, 2011.</t>
  </si>
  <si>
    <t>WRSncTLMRZM</t>
  </si>
  <si>
    <t>2011 11 22</t>
  </si>
  <si>
    <t>https://youtu.be/k4s1IADXwUI</t>
  </si>
  <si>
    <t>Philadelphia Eagles Honor NASA Astronaut Chris Ferguson</t>
  </si>
  <si>
    <t>NASA astronaut Chris Ferguson returned to his hometown on Nov. 7 to serve as the Philadelphia Eagles' Honorary Captain during the NFL's "Monday Night Football" game. The Eagles hosted the Chicago Bears at Lincoln Financial Field in Philadelphia.</t>
  </si>
  <si>
    <t>k4s1IADXwUI</t>
  </si>
  <si>
    <t>https://youtu.be/21df24FXt_E</t>
  </si>
  <si>
    <t>ISS Update - Nov. 22, 2011</t>
  </si>
  <si>
    <t>The International Space Station video update for Nov. 22, 2011.</t>
  </si>
  <si>
    <t>21df24FXt_E</t>
  </si>
  <si>
    <t>https://youtu.be/i8WTPOYqTzU</t>
  </si>
  <si>
    <t>Coming Back Down to Our Fragile Oasis</t>
  </si>
  <si>
    <t>International Space Station Expedition 27 and 28 astronaut Ron Garan presents a video about his return from space, including a compilation of time lapse photography of the Earth. The images were captured by Garan and Expedition 28 and 29 astronaut Mike Fossum while aboard the space station.</t>
  </si>
  <si>
    <t>i8WTPOYqTzU</t>
  </si>
  <si>
    <t>2011 11 21</t>
  </si>
  <si>
    <t>https://youtu.be/pZtN85mHkLY</t>
  </si>
  <si>
    <t>Expedition 29 Says Farewell and Undocks</t>
  </si>
  <si>
    <t>Expedition 29 Commander Mike Fossum and Flight Engineers Satoshi Furukawa and Sergei Volkov say farewell to their crewmates and undock in the Soyuz TMA-02M spacecraft for the return home Nov. 21, 2011.</t>
  </si>
  <si>
    <t>pZtN85mHkLY</t>
  </si>
  <si>
    <t>https://youtu.be/QubDudI0XVc</t>
  </si>
  <si>
    <t>The reins of the International Space Station were passed from Expedition 29 Commander Mike Fossum of NASA to his NASA colleague, newly arrived Expedition 30 Commander Dan Burbank in a ceremony on the complex on November 20, 2011.</t>
  </si>
  <si>
    <t>QubDudI0XVc</t>
  </si>
  <si>
    <t>https://youtu.be/WCpy0IUKt0Q</t>
  </si>
  <si>
    <t>ISS Update - Nov. 21, 2011</t>
  </si>
  <si>
    <t>The International Space Station video update for Nov. 21, 2011.</t>
  </si>
  <si>
    <t>WCpy0IUKt0Q</t>
  </si>
  <si>
    <t>2011 11 18</t>
  </si>
  <si>
    <t>https://youtu.be/f-APIYEuAfQ</t>
  </si>
  <si>
    <t>Weekly ISS Recap - Nov. 14-Nov. 18, 2011</t>
  </si>
  <si>
    <t>The weekly International Space Station video recap for Nov. 14-Nov. 18, 2011</t>
  </si>
  <si>
    <t>f-APIYEuAfQ</t>
  </si>
  <si>
    <t>https://youtu.be/23UliVfrjXA</t>
  </si>
  <si>
    <t>Aspire To Inspire  Women in Technology</t>
  </si>
  <si>
    <t>Think Science, Technology, Engineering, and Math (STEM) is just for boys?  We think differently; visit http://women.nasa.gov/a2i/ to find your inspiration!
The technology video features Allison Wolff discussing her job with Information Technology, Antja Chambers seeks new technologies for spacesuits, and C.J. Kanelakos highlights novel work on "Robonaut 2".
Follow these women on Twitter @a2i_tech</t>
  </si>
  <si>
    <t>23UliVfrjXA</t>
  </si>
  <si>
    <t>https://youtu.be/qv-ZNyFVat4</t>
  </si>
  <si>
    <t>Aspire To Inspire   Women in Science</t>
  </si>
  <si>
    <t>Think Science, Technology, Engineering, and Math (STEM) is just for boys?  We think differently; visit http://women.nasa.gov/a2i/ to find your inspiration!
In our science video you'll see Julie Mitchell working on water recovery and recycling, Tara Ruttley talking about experiments on the International Space Station, and Carlie Zumwalt's experience with Mars Analogs.
Follow these women on Twitter @a2i_sci</t>
  </si>
  <si>
    <t>qv-ZNyFVat4</t>
  </si>
  <si>
    <t>https://youtu.be/htoZwE8n--Q</t>
  </si>
  <si>
    <t>Thanksgiving Message from Station Crew</t>
  </si>
  <si>
    <t>NASA astronaut Dan Burbank delivers a special Thanksgiving message from the International Space Station.</t>
  </si>
  <si>
    <t>htoZwE8n--Q</t>
  </si>
  <si>
    <t>https://youtu.be/yuyEWbWRu5M</t>
  </si>
  <si>
    <t>Aspire To Inspire   Women in STEM</t>
  </si>
  <si>
    <t>Think Science, Technology, Engineering, and Math (STEM) is just for boys?  We think differently; visit http://women.nasa.gov/a2i/ to find your inspiration!
STEM fields have long been perceived as being male dominated areas. However, in this film we take a look at how women have had important and significant impacts in STEM fields.  Where will you take us tomorrow?</t>
  </si>
  <si>
    <t>yuyEWbWRu5M</t>
  </si>
  <si>
    <t>https://youtu.be/5LWtMqGbjtA</t>
  </si>
  <si>
    <t>Aspire To Inspire  Women in Mathematics</t>
  </si>
  <si>
    <t>Think Science, Technology, Engineering, and Math (STEM) is just for boys?  We think differently; visit http://women.nasa.gov/a2i/ to find your inspiration!
In our mathematics video Tejal Fairfield talks about financial analysis, Kim Hambuchen shows her world of software development for advanced robotics, and Carolina Restrepo describes spacecraft trajectory analysis and orbital mechanics calculations.
Follow these women on Twitter @a2i_math</t>
  </si>
  <si>
    <t>5LWtMqGbjtA</t>
  </si>
  <si>
    <t>https://youtu.be/QhunCY-8L9Q</t>
  </si>
  <si>
    <t>Aspire To Inspire   Women in Engineering</t>
  </si>
  <si>
    <t>Think Science, Technology, Engineering, and Math (STEM) is just for boys?  We think differently; visit http://women.nasa.gov/a2i/ to find your inspiration!
In the engineering video Cindy Koester shares her job of Environmental Control &amp; Life Support Systems, Alma Stephanie Tapia explores materials and softgoods development, and Carly Watts explains her participation in Space Suit design and testing.
Follow these women on Twitter @a2i_engr</t>
  </si>
  <si>
    <t>QhunCY-8L9Q</t>
  </si>
  <si>
    <t>2011 11 17</t>
  </si>
  <si>
    <t>https://youtu.be/ZoRFCPDcU1o</t>
  </si>
  <si>
    <t>ISS Update - Nov. 17, 2011</t>
  </si>
  <si>
    <t>The International Space Station video update for Nov. 17, 2011.</t>
  </si>
  <si>
    <t>ZoRFCPDcU1o</t>
  </si>
  <si>
    <t>2011 11 16</t>
  </si>
  <si>
    <t>https://youtu.be/IC4gU69QAD0</t>
  </si>
  <si>
    <t>ISS Update - Nov. 16, 2011</t>
  </si>
  <si>
    <t>The International Space Station video update for Nov. 16, 2011.</t>
  </si>
  <si>
    <t>IC4gU69QAD0</t>
  </si>
  <si>
    <t>https://youtu.be/u5UjyQh44tw</t>
  </si>
  <si>
    <t>Expedition 29 Welcomes Three New Crewmates</t>
  </si>
  <si>
    <t>The Soyuz TMA-22 spacecraft carrying NASA astronaut Dan Burbank and Russian cosmonauts Anton Shkaplerov and Anatoly Ivanishin docked to the International Space Station's Poisk mini-research module at 12:24 a.m. EST Wednesday. After the hatches between Soyuz and station were opened at 2:39 a.m., Expedition 29 Commander Mike Fossum of NASA and Flight Engineers Satoshi Furukawa of the Japan Aerospace Exploration Agency and Russian cosmonaut Sergei Volkov welcomed the new flight engineers aboard for their four-month stay on the orbiting complex.</t>
  </si>
  <si>
    <t>u5UjyQh44tw</t>
  </si>
  <si>
    <t>2011 11 15</t>
  </si>
  <si>
    <t>https://youtu.be/8Preb1cb8wY</t>
  </si>
  <si>
    <t>Join NASA  The Sky is NOT the Limit</t>
  </si>
  <si>
    <t>We're going to send humans farther into space than ever before ... and eventually to Mars. We need YOU to help plan for this future of exploration. Join NASA: Get your application in now for the 2013 Astronaut Candidate Class. 
More info: http://www.nasa.gov/flynasa</t>
  </si>
  <si>
    <t>8Preb1cb8wY</t>
  </si>
  <si>
    <t>https://youtu.be/WbYAX1lXotE</t>
  </si>
  <si>
    <t>NASA is not Cancelled</t>
  </si>
  <si>
    <t>NASA co-ops remind us that the space program is DEFINITELY NOT CANCELLED.</t>
  </si>
  <si>
    <t>WbYAX1lXotE</t>
  </si>
  <si>
    <t>https://youtu.be/yTWDQFmso6Y</t>
  </si>
  <si>
    <t>ISS Update - Nov. 15, 2011</t>
  </si>
  <si>
    <t>The International Space Station video update for Nov. 15, 2011.</t>
  </si>
  <si>
    <t>yTWDQFmso6Y</t>
  </si>
  <si>
    <t>2011 11 14</t>
  </si>
  <si>
    <t>https://youtu.be/C-263gf6kbA</t>
  </si>
  <si>
    <t>ISS Update - Nov. 14, 2011</t>
  </si>
  <si>
    <t>The International Space Station video update for Nov. 14, 2011.</t>
  </si>
  <si>
    <t>C-263gf6kbA</t>
  </si>
  <si>
    <t>https://youtu.be/s_BeSndIuG0</t>
  </si>
  <si>
    <t>Expedition 29 Launch</t>
  </si>
  <si>
    <t>Expedition 29 crew members Anton Shkaplerov, Anatoly Ivanishin and Dan Burbank launch from the Baikonur Cosmodrome in Kazakhstan at 11:14 p.m. EST Nov. 13, 2011 aboard the Soyuz TMA-22 spacecraft.</t>
  </si>
  <si>
    <t>s_BeSndIuG0</t>
  </si>
  <si>
    <t>2011 11 10</t>
  </si>
  <si>
    <t>https://youtu.be/iq4YaTqGcf4</t>
  </si>
  <si>
    <t>ISS Update - Nov. 10, 2011</t>
  </si>
  <si>
    <t>The International Space Station video update for Nov. 10, 2011.</t>
  </si>
  <si>
    <t>iq4YaTqGcf4</t>
  </si>
  <si>
    <t>2011 11 09</t>
  </si>
  <si>
    <t>https://youtu.be/glKR892dYrQ</t>
  </si>
  <si>
    <t>Exploration Flight Test-1 Animation</t>
  </si>
  <si>
    <t>This animation depicts the proposed test flight of the Orion spacecraft in 2014. During the test, which is called Exploration Flight Test-1 (EFT-1), Orion will launch from Cape Canaveral, Fla., perform two orbits, reaching an altitude higher than any achieved by a spacecraft intended for human use since 1973, and then will re-enter and land in the Pacific Ocean off the west coast of the United States.</t>
  </si>
  <si>
    <t>glKR892dYrQ</t>
  </si>
  <si>
    <t>2011 11 08</t>
  </si>
  <si>
    <t>https://youtu.be/Jz56V4mapyE</t>
  </si>
  <si>
    <t>ISS Update - Nov. 8, 2011</t>
  </si>
  <si>
    <t>The International Space Station video update for Nov. 8, 2011.</t>
  </si>
  <si>
    <t>Jz56V4mapyE</t>
  </si>
  <si>
    <t>2011 11 07</t>
  </si>
  <si>
    <t>https://youtu.be/XfbOx3oalH0</t>
  </si>
  <si>
    <t>ISS Update - Nov. 7, 2011</t>
  </si>
  <si>
    <t>The International Space Station video update for Nov. 7, 2011.</t>
  </si>
  <si>
    <t>XfbOx3oalH0</t>
  </si>
  <si>
    <t>2011 11 04</t>
  </si>
  <si>
    <t>https://youtu.be/NC3-zqZ_2QA</t>
  </si>
  <si>
    <t>Weekly ISS Recap - Oct. 31-Nov. 4, 2011</t>
  </si>
  <si>
    <t>The weekly International Space Station video recap for Oct. 31-Nov. 4, 2011</t>
  </si>
  <si>
    <t>NC3-zqZ_2QA</t>
  </si>
  <si>
    <t>2011 11 03</t>
  </si>
  <si>
    <t>https://youtu.be/Olopl-2tIB8</t>
  </si>
  <si>
    <t>ISS Update - Nov. 3, 2011</t>
  </si>
  <si>
    <t>The International Space Station video update for Nov. 3, 2011.</t>
  </si>
  <si>
    <t>Olopl-2tIB8</t>
  </si>
  <si>
    <t>2011 11 02</t>
  </si>
  <si>
    <t>https://youtu.be/DUgOPnmUySo</t>
  </si>
  <si>
    <t>ISS Update - Nov. 2, 2011</t>
  </si>
  <si>
    <t>The International Space Station video update for Nov. 2, 2011.</t>
  </si>
  <si>
    <t>DUgOPnmUySo</t>
  </si>
  <si>
    <t>2011 11 01</t>
  </si>
  <si>
    <t>https://youtu.be/aN87yKcqZyE</t>
  </si>
  <si>
    <t>ISS Update - Nov. 1, 2011</t>
  </si>
  <si>
    <t>The International Space Station video update for Nov. 1, 2011.</t>
  </si>
  <si>
    <t>aN87yKcqZyE</t>
  </si>
  <si>
    <t>2011 10 31</t>
  </si>
  <si>
    <t>https://youtu.be/3uVNN82Wyz4</t>
  </si>
  <si>
    <t>Station Commander Connects With Texas A&amp;M</t>
  </si>
  <si>
    <t>NASA astronaut Mike Fossum, commander of Expedition 29 aboard the International Space Station, answers questions from engineering students at his alma mater, Texas A&amp;M University.</t>
  </si>
  <si>
    <t>3uVNN82Wyz4</t>
  </si>
  <si>
    <t>https://youtu.be/0ae2h8Qu66Y</t>
  </si>
  <si>
    <t>ISS Update - Oct. 31, 2011</t>
  </si>
  <si>
    <t>The International Space Station video update for Oct. 31, 2011.</t>
  </si>
  <si>
    <t>0ae2h8Qu66Y</t>
  </si>
  <si>
    <t>2011 10 28</t>
  </si>
  <si>
    <t>https://youtu.be/aQMwLQZR0FM</t>
  </si>
  <si>
    <t>Weekly ISS Recap - Oct. 24-28, 2011</t>
  </si>
  <si>
    <t>The weekly International Space Station video recap for Oct. 24-28, 2011.</t>
  </si>
  <si>
    <t>aQMwLQZR0FM</t>
  </si>
  <si>
    <t>https://youtu.be/ezL6x5-_eg4</t>
  </si>
  <si>
    <t>Station Commander Congratulates New Flight Directors</t>
  </si>
  <si>
    <t>Aboard the International Space Station, Expedition 29 Commander Mike Fossum congratulates Judd Frieling, Tomas Gonzalez-Torres and Greg Whitney on being selected as NASA's newest flight directors. They will join a select group of human spaceflight leaders in the Christopher C. Kraft Jr. Mission Control Center at NASA's Johnson Space Center in Houston. 
More info: http://www.nasa.gov/mission_pages/station/news/fltdir2011.html</t>
  </si>
  <si>
    <t>ezL6x5-_eg4</t>
  </si>
  <si>
    <t>2011 10 27</t>
  </si>
  <si>
    <t>https://youtu.be/D-W6c_jQex8</t>
  </si>
  <si>
    <t>ISS Update - Oct. 27, 2011</t>
  </si>
  <si>
    <t>The International Space Station video update for Oct. 27, 2011.</t>
  </si>
  <si>
    <t>D-W6c_jQex8</t>
  </si>
  <si>
    <t>https://youtu.be/cmHamp0IIyE</t>
  </si>
  <si>
    <t>Space Station Reboost  The Inside Story</t>
  </si>
  <si>
    <t>As the International Space Station is boosted into a higher orbit, Expedition 29 Commander Mike Fossum and Flight Engineers Satoshi Furukawa and Sergei Volkov float freely to demonstrate the acceleration of the orbiting complex.</t>
  </si>
  <si>
    <t>cmHamp0IIyE</t>
  </si>
  <si>
    <t>2011 10 26</t>
  </si>
  <si>
    <t>https://youtu.be/cAHB5WEzlD0</t>
  </si>
  <si>
    <t>Space Station Cameras Capture New Views of Hurricane Rina</t>
  </si>
  <si>
    <t>From an altitude of 248 miles, external cameras on the International Space Station captured new views of Hurricane Rina at 3:18 p.m. EDT on Oct. 26, 2011, as the storm churned 180 miles south-southeast of Cozumel, Mexico. At the time the ISS passed overhead, Rina had been downgraded to a Category 1 hurricane, packing winds of 85 miles an hour. 
The National Hurricane Center is forecasting Rina to turn to the northeast toward the northwest coast of Cuba over the weekend after it passes north of the Yucatan Peninsula.</t>
  </si>
  <si>
    <t>cAHB5WEzlD0</t>
  </si>
  <si>
    <t>https://youtu.be/xkmyhixBHyE</t>
  </si>
  <si>
    <t>ISS Update - Oct. 26, 2011</t>
  </si>
  <si>
    <t>The International Space Station video update for Oct. 26, 2011.</t>
  </si>
  <si>
    <t>xkmyhixBHyE</t>
  </si>
  <si>
    <t>https://youtu.be/eu0Mgn0TKA8</t>
  </si>
  <si>
    <t>ZZ Top's Dusty Hill Talks to Expedition 29</t>
  </si>
  <si>
    <t>Dusty Hill of the rock band ZZ Top visits the Mission Control Center in Houston to talk with the International Space Station's Expedition 29 crew.</t>
  </si>
  <si>
    <t>eu0Mgn0TKA8</t>
  </si>
  <si>
    <t>2011 10 25</t>
  </si>
  <si>
    <t>https://youtu.be/P4N1EX8i1CU</t>
  </si>
  <si>
    <t>Station Cameras Capture Late Season Hurricane</t>
  </si>
  <si>
    <t>External cameras on the International Space Station captured views of Hurricane Rina at 2:39 p.m. EDT on Oct. 25, 2011, as the complex flew 248 miles over the Caribbean Sea east of Belize. Rina, which continues to intensify, was located 300 miles east-southeast of Chetumal, Mexico, barely moving west-northwest at a glacial three miles an hour. Rina is packing winds of 105 miles an hour, and is forecast to intensify to a major hurricane as it approaches the Yucatan Peninsula.</t>
  </si>
  <si>
    <t>P4N1EX8i1CU</t>
  </si>
  <si>
    <t>https://youtu.be/0JVP7laAxx0</t>
  </si>
  <si>
    <t>ISS Update - Oct. 25, 2011 ISS Update - Oct. 24, 2011</t>
  </si>
  <si>
    <t>The International Space Station video update for Oct. 25, 2011.</t>
  </si>
  <si>
    <t>0JVP7laAxx0</t>
  </si>
  <si>
    <t>2011 10 24</t>
  </si>
  <si>
    <t>https://youtu.be/uXnr1biU5hc</t>
  </si>
  <si>
    <t>Day Pass through Western United States</t>
  </si>
  <si>
    <t>This video over the Western United States was taken by the crew of Expedition 29 aboard the International Space Station. This sequence of shots was taken on Sept. 24, 2011, from 17:45:14 to 17:54:18 GMT, on a descending pass from just west of Washington state to the Gulf of Mexico, due east of Corpus Christi, Texas.</t>
  </si>
  <si>
    <t>uXnr1biU5hc</t>
  </si>
  <si>
    <t>https://youtu.be/KrEvxcrqBUI</t>
  </si>
  <si>
    <t>Night Pass over Central Africa and the Middle East</t>
  </si>
  <si>
    <t>This video over Central Africa and the Middle East was taken by the crew of Expedition 29 aboard the International Space Station. This sequence of shots was taken on Oct. 1, 2011, from 21:20:24 to 21:41:24 GMT, on an ascending pass from just southwest of Cote d'Ivoire in Africa to southern Russia.</t>
  </si>
  <si>
    <t>KrEvxcrqBUI</t>
  </si>
  <si>
    <t>https://youtu.be/5-8u1vsM3fs</t>
  </si>
  <si>
    <t>Night Pass over Malaysia</t>
  </si>
  <si>
    <t>This video showing night lights over Malaysia was taken by the crew of Expedition 28 aboard the International Space Station. This sequence of shots was taken on Aug. 21, 2011, from 19:33:05 to 19:38:05 GMT, on a descending pass from western Burma to just east of Malaysia on the South China Sea. The pass continues over the northern Balkan Peninsula, with the Black Sea standing out as a dark patch among city lights.</t>
  </si>
  <si>
    <t>5-8u1vsM3fs</t>
  </si>
  <si>
    <t>https://youtu.be/E4eRsi0mFVA</t>
  </si>
  <si>
    <t>Night views over the Mediterranean Sea</t>
  </si>
  <si>
    <t>This video over the Mediterranean Sea was taken by the crew of Expedition 29 aboard the International Space Station. This sequence of shots was taken on Oct. 6, 2011, from 22:58:09 to 23:13:15 GMT, on an ascending pass from just west of the Strait of Gibraltar, over the Atlantic Ocean to northern Kazakhstan. The first significant landmark is the Strait of Gibraltar, separating Spain and Morocco. As the pass continues down the Mediterranean Sea, the Balearic Islands stand out in contrast to the water. Next, Corsica and Sardinia stand out before the Italian Peninsula.</t>
  </si>
  <si>
    <t>E4eRsi0mFVA</t>
  </si>
  <si>
    <t>https://youtu.be/MxBvdLiLV1o</t>
  </si>
  <si>
    <t>Halfway Across the World</t>
  </si>
  <si>
    <t>This video was taken by the crew of Expedition 29 aboard the International Space Station. The sequence of shots was taken on Oct. 8, 2011, from 20:53:10 to 21:24:58 GMT, during a long pass from the mid-Atlantic Ocean between South America and Africa, ascending to the Balkan Peninsula, and finishing on a descending pass southwest toward the Solomon Islands.</t>
  </si>
  <si>
    <t>MxBvdLiLV1o</t>
  </si>
  <si>
    <t>https://youtu.be/7OszRMkK2Q0</t>
  </si>
  <si>
    <t>Pass over Southeastern Asia</t>
  </si>
  <si>
    <t>This video over Southeastern Asia was taken by the crew of Expedition 29 aboard the International Space Station. This sequence of shots was taken on Oct. 7, 2011, from 12:41:10 to 12:50:46 GMT, on an ascending pass from the island of Java to the northeast of Japan. Clouds fill most of the sky until the island of Japan approaches near the end of the sequence. Tokyo is brightly visible on the eastern-most side of the island.</t>
  </si>
  <si>
    <t>7OszRMkK2Q0</t>
  </si>
  <si>
    <t>https://youtu.be/zvqH8K7x2dM</t>
  </si>
  <si>
    <t>Evening Pass over the Sahara Desert and the Middle East</t>
  </si>
  <si>
    <t>This video over the Sahara Desert and the Middle East was taken by the crew of Expedition 29 aboard the International Space Station. This sequence of shots was taken on Oct. 6, 2011, from 19:46:23 to 19:58:41 GMT, on an ascending pass from the Sahara Desert to western Kazakhstan. The rust color of the Sahara Desert is the first view in this video.</t>
  </si>
  <si>
    <t>zvqH8K7x2dM</t>
  </si>
  <si>
    <t>https://youtu.be/hrI8mqeY3f0</t>
  </si>
  <si>
    <t>Day Pass Down the Red Sea</t>
  </si>
  <si>
    <t>This video over the southeastern Mediterranean Sea and down the coastline of the Red Sea was taken by the crew of Expedition 29 aboard the International Space Station. This sequence of shots was taken on Sept. 17, 2011, from 12:14:25 to 12:24:55 GMT, on a descending pass from southern Greece to the Horn of Africa.</t>
  </si>
  <si>
    <t>hrI8mqeY3f0</t>
  </si>
  <si>
    <t>https://youtu.be/MbruHIt_oR4</t>
  </si>
  <si>
    <t>ISS Update - Oct. 24, 2011</t>
  </si>
  <si>
    <t>The International Space Station video update for Oct. 24, 2011.</t>
  </si>
  <si>
    <t>MbruHIt_oR4</t>
  </si>
  <si>
    <t>2011 10 21</t>
  </si>
  <si>
    <t>https://youtu.be/yAYqf5E6qIY</t>
  </si>
  <si>
    <t>Weekly ISS Recap - Oct. 17-21, 2011</t>
  </si>
  <si>
    <t>The weekly International Space Station video recap for Oct. 17-21, 2011.</t>
  </si>
  <si>
    <t>yAYqf5E6qIY</t>
  </si>
  <si>
    <t>2011 10 20</t>
  </si>
  <si>
    <t>https://youtu.be/a5c_eTwAn0o</t>
  </si>
  <si>
    <t>ISS Update - Oct. 20, 2011</t>
  </si>
  <si>
    <t>The International Space Station video update for Oct. 20, 2011.</t>
  </si>
  <si>
    <t>a5c_eTwAn0o</t>
  </si>
  <si>
    <t>2011 10 19</t>
  </si>
  <si>
    <t>https://youtu.be/4iVaqZGti-A</t>
  </si>
  <si>
    <t>ISS Update - Oct. 19, 2011</t>
  </si>
  <si>
    <t>The International Space Station video update for Oct. 19, 2011.</t>
  </si>
  <si>
    <t>4iVaqZGti-A</t>
  </si>
  <si>
    <t>2011 10 18</t>
  </si>
  <si>
    <t>https://youtu.be/0CUDg0FxuJk</t>
  </si>
  <si>
    <t>ISS Update - Oct. 18, 2011</t>
  </si>
  <si>
    <t>The International Space Station video update for Oct. 18, 2011.</t>
  </si>
  <si>
    <t>0CUDg0FxuJk</t>
  </si>
  <si>
    <t>https://youtu.be/C2njqePX4eY</t>
  </si>
  <si>
    <t>Peter Frampton Talks to Station Crew</t>
  </si>
  <si>
    <t>Rocker Peter Frampton and his band are introduced by astronaut Ron Garan to Commander Mike Fossum and Flight Engineers Satoshi Furukawa and Sergei Volkov aboard the International Space Station during a visit to Mission Control in Houston.</t>
  </si>
  <si>
    <t>C2njqePX4eY</t>
  </si>
  <si>
    <t>2011 10 17</t>
  </si>
  <si>
    <t>https://youtu.be/IDE7X_K8gT8</t>
  </si>
  <si>
    <t>Kids in Micro-g  Pepper Oil Surprise</t>
  </si>
  <si>
    <t>Astronauts Cady Coleman and Paolo Nespoli perform the Pepper Oil Surprise experiment from Potlatch Elementary School in Potlatch, Idaho. This research investigates the interaction of liquid pepper/oil and water in a plastic bag in microgravity.</t>
  </si>
  <si>
    <t>IDE7X_K8gT8</t>
  </si>
  <si>
    <t>https://youtu.be/4GvDoczaGDI</t>
  </si>
  <si>
    <t>Kids in Micro-g  Pondering the Pendulum</t>
  </si>
  <si>
    <t>Astronaut Cady Coleman performs the Pondering the Pendulum experiment from Key Peninsula Middle School in Lakebay, Wash. This research examines the effects of microgravity on a pendulum and explores the scientific principles of pendulum motion and inertia.</t>
  </si>
  <si>
    <t>4GvDoczaGDI</t>
  </si>
  <si>
    <t>https://youtu.be/i1oR8FsJP7I</t>
  </si>
  <si>
    <t>Kids in Micro-g  Attracting Water Drops</t>
  </si>
  <si>
    <t>Astronauts Cady Coleman and Ron Garan perform the Attracting Water Drops experiment from Chabad Hebrew Academy in San Diego, Calif. This research determines if a free-floating water drop can be attracted to a static-charged rubber exercise tube and explores the scientific principle of electrostatics.</t>
  </si>
  <si>
    <t>i1oR8FsJP7I</t>
  </si>
  <si>
    <t>https://youtu.be/1UCRJ17Kshc</t>
  </si>
  <si>
    <t>ISS Update - Oct. 17, 2011</t>
  </si>
  <si>
    <t>The International Space Station video update for Oct. 17, 2011.</t>
  </si>
  <si>
    <t>1UCRJ17Kshc</t>
  </si>
  <si>
    <t>2011 10 14</t>
  </si>
  <si>
    <t>https://youtu.be/X9fXS4-WlWE</t>
  </si>
  <si>
    <t>Weekly ISS Update - Oct. 10-14, 2011</t>
  </si>
  <si>
    <t>The weekly International Space Station video update for Oct. 10-14, 2011.</t>
  </si>
  <si>
    <t>X9fXS4-WlWE</t>
  </si>
  <si>
    <t>https://youtu.be/QTcJGJkx-r4</t>
  </si>
  <si>
    <t>ISS Update - Oct. 14, 2011</t>
  </si>
  <si>
    <t>The International Space Station video update for Oct. 14, 2011.</t>
  </si>
  <si>
    <t>QTcJGJkx-r4</t>
  </si>
  <si>
    <t>2011 10 13</t>
  </si>
  <si>
    <t>https://youtu.be/nnEzjiX9tcQ</t>
  </si>
  <si>
    <t>ISS Update - Oct. 13, 2011</t>
  </si>
  <si>
    <t>The International Space Station video update for Oct. 13, 2011.</t>
  </si>
  <si>
    <t>nnEzjiX9tcQ</t>
  </si>
  <si>
    <t>2011 10 12</t>
  </si>
  <si>
    <t>https://youtu.be/85VF5gsGFCQ</t>
  </si>
  <si>
    <t>ISS Update - Oct. 12, 2011</t>
  </si>
  <si>
    <t>The International Space Station video update for Oct. 12, 2011.</t>
  </si>
  <si>
    <t>85VF5gsGFCQ</t>
  </si>
  <si>
    <t>2011 10 11</t>
  </si>
  <si>
    <t>https://youtu.be/ipz5C4FHHcw</t>
  </si>
  <si>
    <t>ISS Update - Oct. 11, 2011</t>
  </si>
  <si>
    <t>The International Space Station video update for Oct. 11, 2011.</t>
  </si>
  <si>
    <t>ipz5C4FHHcw</t>
  </si>
  <si>
    <t>2011 10 07</t>
  </si>
  <si>
    <t>https://youtu.be/YsrCwBWxvr0</t>
  </si>
  <si>
    <t>ISS Update - Oct. 7, 2011</t>
  </si>
  <si>
    <t>The International Space Station video update for Oct. 7, 2011.</t>
  </si>
  <si>
    <t>YsrCwBWxvr0</t>
  </si>
  <si>
    <t>2011 10 06</t>
  </si>
  <si>
    <t>https://youtu.be/_NEW3_yqQLc</t>
  </si>
  <si>
    <t>ISS Update - Oct. 6, 2011</t>
  </si>
  <si>
    <t>The International Space Station video update for Oct. 6, 2011.</t>
  </si>
  <si>
    <t>_NEW3_yqQLc</t>
  </si>
  <si>
    <t>https://youtu.be/P82-HZQPimY</t>
  </si>
  <si>
    <t>Orion Futures</t>
  </si>
  <si>
    <t>Take a look at the progress being made as NASA builds America's deep space exploration spacecraft in this fast-paced music video.</t>
  </si>
  <si>
    <t>P82-HZQPimY</t>
  </si>
  <si>
    <t>2011 10 04</t>
  </si>
  <si>
    <t>https://youtu.be/uRXiK-MilD4</t>
  </si>
  <si>
    <t>ISS Update - Oct. 4, 2011</t>
  </si>
  <si>
    <t>The International Space Station video update for Oct. 4, 2011.</t>
  </si>
  <si>
    <t>uRXiK-MilD4</t>
  </si>
  <si>
    <t>2011 10 03</t>
  </si>
  <si>
    <t>https://youtu.be/iyu5nr29k_0</t>
  </si>
  <si>
    <t>ISS Update - Oct. 3, 2011</t>
  </si>
  <si>
    <t>The International Space Station video update for Oct. 3, 2011.</t>
  </si>
  <si>
    <t>iyu5nr29k_0</t>
  </si>
  <si>
    <t>2011 09 30</t>
  </si>
  <si>
    <t>https://youtu.be/YFdWEcPocl8</t>
  </si>
  <si>
    <t>ISS Update - Sept. 30, 2011</t>
  </si>
  <si>
    <t>The International Space Station video update for Sept. 30, 2011.</t>
  </si>
  <si>
    <t>YFdWEcPocl8</t>
  </si>
  <si>
    <t>2011 09 29</t>
  </si>
  <si>
    <t>https://youtu.be/nc6wPVritfk</t>
  </si>
  <si>
    <t>Expedition 29 Crew Profile (Part 1)</t>
  </si>
  <si>
    <t>Expedition 29 crew members Mike Fossum, Sergei Volkov and Satoshi Furukawa are profiled and interviewed.</t>
  </si>
  <si>
    <t>nc6wPVritfk</t>
  </si>
  <si>
    <t>https://youtu.be/gkqE-gzehug</t>
  </si>
  <si>
    <t>ISS Update - Sept. 29, 2011</t>
  </si>
  <si>
    <t>The International Space Station video update for Sept. 29, 2011.</t>
  </si>
  <si>
    <t>gkqE-gzehug</t>
  </si>
  <si>
    <t>https://youtu.be/8_Rd88i9nTc</t>
  </si>
  <si>
    <t>NASA Administrator Charlie Bolden Visits Johnson Space Center</t>
  </si>
  <si>
    <t>NASA Administrator Charlie Bolden visited the Johnson Space Center's Orion facilities inside the Space Vehicle Mockup Facility on Sept. 26, 2011.</t>
  </si>
  <si>
    <t>8_Rd88i9nTc</t>
  </si>
  <si>
    <t>https://youtu.be/cywqwYCumK0</t>
  </si>
  <si>
    <t>Expedition 29 Crew Profile (Part 2)</t>
  </si>
  <si>
    <t>Expedition 29 crew members Dan Burbank, Anton Shkaplerov and Anatoly Ivanishin are profiled and interviewed.</t>
  </si>
  <si>
    <t>cywqwYCumK0</t>
  </si>
  <si>
    <t>2011 09 28</t>
  </si>
  <si>
    <t>https://youtu.be/KkvH48f5a00</t>
  </si>
  <si>
    <t>Plants In Space</t>
  </si>
  <si>
    <t>Student plant growth investigation on the International Space Station. Ground Control Plants vs. Plants in Space - First Planting (Brassica rapa)</t>
  </si>
  <si>
    <t>KkvH48f5a00</t>
  </si>
  <si>
    <t>https://youtu.be/Lc4hSYGr0m8</t>
  </si>
  <si>
    <t>ISS Update - Sept. 28, 2011</t>
  </si>
  <si>
    <t>The International Space Station video update for Sept. 28, 2011.</t>
  </si>
  <si>
    <t>Lc4hSYGr0m8</t>
  </si>
  <si>
    <t>2011 09 27</t>
  </si>
  <si>
    <t>https://youtu.be/Ug23fU1Kdo0</t>
  </si>
  <si>
    <t>ISS Update - Sept. 27, 2011</t>
  </si>
  <si>
    <t>The International Space Station video update for Sept. 27, 2011.</t>
  </si>
  <si>
    <t>Ug23fU1Kdo0</t>
  </si>
  <si>
    <t>2011 09 26</t>
  </si>
  <si>
    <t>https://youtu.be/3Ia6WSMHYCw</t>
  </si>
  <si>
    <t>Expedition 29 30 Mission Overview</t>
  </si>
  <si>
    <t>The Expedition 29/30 Mission Overview looks at the crew members and their activities while they live and work aboard the International Space Station.</t>
  </si>
  <si>
    <t>3Ia6WSMHYCw</t>
  </si>
  <si>
    <t>https://youtu.be/AyRGHhFF-bA</t>
  </si>
  <si>
    <t>ISS Update - Sept. 26, 2011</t>
  </si>
  <si>
    <t>The International Space Station video update for Sept. 26, 2011.</t>
  </si>
  <si>
    <t>AyRGHhFF-bA</t>
  </si>
  <si>
    <t>2011 09 23</t>
  </si>
  <si>
    <t>https://youtu.be/sffla8Akq9w</t>
  </si>
  <si>
    <t>ISS Update - Sept. 23, 2011</t>
  </si>
  <si>
    <t>The International Space Station video update for Sept. 23, 2011.</t>
  </si>
  <si>
    <t>sffla8Akq9w</t>
  </si>
  <si>
    <t>2011 09 22</t>
  </si>
  <si>
    <t>https://youtu.be/_chpcVf-uEs</t>
  </si>
  <si>
    <t>Tropical Storm Lee Time Lapse</t>
  </si>
  <si>
    <t>This video shows Tropical Storm Lee as it made landfall in Louisiana and Mississippi on September 4, 2011. This storm produced flooding and tornadoes to the southern states all the way to flooding in Pennsylvania and New York.</t>
  </si>
  <si>
    <t>_chpcVf-uEs</t>
  </si>
  <si>
    <t>https://youtu.be/jMzwyr0qNZI</t>
  </si>
  <si>
    <t>Southern California to Hudson Bay</t>
  </si>
  <si>
    <t>This sequence of still frames was acquired as the International Space Station was tracking east-northeastward across the United States. The sequence begins over the Pacific Ocean as the ISS headed toward the Baja peninsula, and continues northeast through the northern Great Plains, with heavier cloud cover shown near the midwest. The video ends as the ISS is flying over the Great Lakes, and finally near Hudson Bay (left of track).</t>
  </si>
  <si>
    <t>jMzwyr0qNZI</t>
  </si>
  <si>
    <t>https://youtu.be/2mA1lx_019g</t>
  </si>
  <si>
    <t>Hurricane Irene Hits the U.S.</t>
  </si>
  <si>
    <t>This series of still frames was taken as the International Space Station was tracking northeastward toward the eastern coast of the United States. The imagery was taken by the Expedition 28 crew on August 26, 2011, from 20:28:27 - 20:30:22 GMT (4:28:27 - 4:30:22 EDT). The astronauts onboard the ISS captured this series of still frames as Hurricane Irene, a category 1 storm at the time, made landfall into the coast of North Carolina.</t>
  </si>
  <si>
    <t>2mA1lx_019g</t>
  </si>
  <si>
    <t>https://youtu.be/cC7khEUs4-U</t>
  </si>
  <si>
    <t>Cuba and the Bahamas</t>
  </si>
  <si>
    <t>This short video shows the cloudy island of Cuba and the Bahamas as the International Space Station flies from the Caribbean Sea northeast to the Atlantic Ocean. These shots were taken from onboard the ISS on August 31, 2011, from 17:10:36 to 17:16:01 GMT. In the video, you can see Cuba is mostly covered by clouds, but the reefs in the Bahamas stand out quite nicely.</t>
  </si>
  <si>
    <t>cC7khEUs4-U</t>
  </si>
  <si>
    <t>https://youtu.be/h50Ky6sN8FI</t>
  </si>
  <si>
    <t>Northwest Coast of United States to Central South America at Night</t>
  </si>
  <si>
    <t>This video was taken on August 19, 2011 from 08:56:00 to 09:22:18 GMT from the ISS. This pass begins just southeast of Alaska, and the first cities that the ISS passes over (seen approximately 10 seconds into the video) is San Francisco and the surrounding areas. If one looks very carefully, you can spot where the Golden Gate Bridge is located: a smaller strip of lights just before the city of San Francisco, nearest to the clouds on the right of the image.</t>
  </si>
  <si>
    <t>h50Ky6sN8FI</t>
  </si>
  <si>
    <t>https://youtu.be/Vohdz0rzdGs</t>
  </si>
  <si>
    <t>Aurora Australis From Madagascar to Northern Australia</t>
  </si>
  <si>
    <t>Video of the Aurora Australis taken by the crew of Expedition 29 on board the International Space Station. This sequence of shots was taken September 17, 2011 from 17:22:27 to 17:45:12 GMT, on an ascending pass from south of Madagascar to just north of Australia over the Indian Ocean.</t>
  </si>
  <si>
    <t>Vohdz0rzdGs</t>
  </si>
  <si>
    <t>https://youtu.be/FwtptrZzQak</t>
  </si>
  <si>
    <t>Aurora Australis Over Indian Ocean</t>
  </si>
  <si>
    <t>Video of the Aurora Australis taken by the crew of Expedition 28 on board the International Space Station. This sequence of shots was taken September 7, 2011 from 17:38:03 to 17:49:15 GMT, from the French Southern and Antarctic Lands in the South Indian Ocean to southern Australia.</t>
  </si>
  <si>
    <t>FwtptrZzQak</t>
  </si>
  <si>
    <t>https://youtu.be/9xxoESx8iFc</t>
  </si>
  <si>
    <t>Southern Lights From Eastern Australia to Eastern New Zealand</t>
  </si>
  <si>
    <t>This video of the Aurora Australis was created from a sequence of still shots taken by astronauts on board the International Space Station. The images were acquired on September 11, 2011 as the ISS orbit pass descended over eastern Australia.</t>
  </si>
  <si>
    <t>9xxoESx8iFc</t>
  </si>
  <si>
    <t>https://youtu.be/MH85D7oOnvw</t>
  </si>
  <si>
    <t>Pass Over Eastern Asia to Philippine Sea and Guam</t>
  </si>
  <si>
    <t>This pass begins over Mongolia, looking towards the Pacific Ocean, China, and Japan. As the video progresses, you can see major cities along the coast and the Japanese islands on the Philippine Sea. The island of Guam can be seen further down the pass into the Philippine Sea, and the pass ends just to the east of New Zealand. A lightning storm can be seen as light pulses near the end of the video.</t>
  </si>
  <si>
    <t>MH85D7oOnvw</t>
  </si>
  <si>
    <t>https://youtu.be/_2UKwOaFxko</t>
  </si>
  <si>
    <t>Africa, the Mideast, and the Terminator Line</t>
  </si>
  <si>
    <t>This video sequence was created using a series of still images taken onboard the International Space Station on August 21, 2011, from 14:12:10 to 14:43:48 GMT. In this video, you can clearly see as the ISS passes over central Africa through the desert and northeastward to Egypt and the Nile delta.</t>
  </si>
  <si>
    <t>_2UKwOaFxko</t>
  </si>
  <si>
    <t>https://youtu.be/jdtQuTwF1i8</t>
  </si>
  <si>
    <t>ISS Update - Sept. 22, 2011</t>
  </si>
  <si>
    <t>The International Space Station video update for Sept. 22, 2011.</t>
  </si>
  <si>
    <t>jdtQuTwF1i8</t>
  </si>
  <si>
    <t>2011 09 21</t>
  </si>
  <si>
    <t>https://youtu.be/nCNVGwkL7DE</t>
  </si>
  <si>
    <t>Pass over Eastern Asia to Philippine Sea and Guam</t>
  </si>
  <si>
    <t>nCNVGwkL7DE</t>
  </si>
  <si>
    <t>https://youtu.be/a74Q-QCVs70</t>
  </si>
  <si>
    <t>ISS pass over Southern California to Hudson Bay</t>
  </si>
  <si>
    <t>a74Q-QCVs70</t>
  </si>
  <si>
    <t>https://youtu.be/QmQrRC6lerk</t>
  </si>
  <si>
    <t>Aurora Australis</t>
  </si>
  <si>
    <t>QmQrRC6lerk</t>
  </si>
  <si>
    <t>https://youtu.be/pSze4gbaL-8</t>
  </si>
  <si>
    <t>ISS Update - Sept. 21, 2011</t>
  </si>
  <si>
    <t>The International Space Station video update for Sept. 21, 2011.</t>
  </si>
  <si>
    <t>pSze4gbaL-8</t>
  </si>
  <si>
    <t>2011 09 20</t>
  </si>
  <si>
    <t>https://youtu.be/vgfWH3g9kpY</t>
  </si>
  <si>
    <t>Station Assembly Animation</t>
  </si>
  <si>
    <t>This animation depicts the assembly of the International Space Station since Nov. 20, 1998, with the delivery of the Zarya module, through May 16, 2011, with the delivery of the EXPRESS Logistics Carrier-3 and the Alpha Magnetic Spectrometer. The space station is a collaborative product of five space agencies, representing 15 nations, and has been continuously inhabited by humans since November 2000.</t>
  </si>
  <si>
    <t>vgfWH3g9kpY</t>
  </si>
  <si>
    <t>https://youtu.be/zdE6nmci64Q</t>
  </si>
  <si>
    <t>Destination  Station -- Denver 2011</t>
  </si>
  <si>
    <t>Expedition 29 Commander Mike Fossum and Flight Engineer Satoshi Furukawa invite those attending Destination: Station at the Wings over the Rockies Air and Space Museum in Denver to keep the spirit of exploration alive by helping expand research aboard the International Space Station.</t>
  </si>
  <si>
    <t>zdE6nmci64Q</t>
  </si>
  <si>
    <t>https://youtu.be/MchUnQpmTCo</t>
  </si>
  <si>
    <t>ISS Update - Sept. 20, 2011</t>
  </si>
  <si>
    <t>The International Space Station video update for Sept. 20, 2011.</t>
  </si>
  <si>
    <t>MchUnQpmTCo</t>
  </si>
  <si>
    <t>2011 09 19</t>
  </si>
  <si>
    <t>https://youtu.be/UYs-akyPq6U</t>
  </si>
  <si>
    <t>ISS Update - Sept. 19, 2011</t>
  </si>
  <si>
    <t>The International Space Station video update for Sept. 19, 2011.</t>
  </si>
  <si>
    <t>UYs-akyPq6U</t>
  </si>
  <si>
    <t>2011 09 16</t>
  </si>
  <si>
    <t>https://youtu.be/L1jC5W1cT5I</t>
  </si>
  <si>
    <t>ISS Update - Sept. 16, 2011</t>
  </si>
  <si>
    <t>The International Space Station video update for Sept. 16, 2011.</t>
  </si>
  <si>
    <t>L1jC5W1cT5I</t>
  </si>
  <si>
    <t>https://youtu.be/5BBPtc2W7gA</t>
  </si>
  <si>
    <t>Expedition 28 Crew Lands Safely</t>
  </si>
  <si>
    <t>Expedition 28 Commander Andrey Borisenko and Flight Engineers Alexander Samokutyaev and Ron Garan land their Soyuz TMA-21 spacecraft in Kazakhstan. Russian recovery teams were on hand to help the crew exit the Soyuz vehicle and adjust to gravity after 164 days in space.</t>
  </si>
  <si>
    <t>5BBPtc2W7gA</t>
  </si>
  <si>
    <t>https://youtu.be/OWIBOB7ZJeQ</t>
  </si>
  <si>
    <t>Expedition 28 Crew Undocks from Station</t>
  </si>
  <si>
    <t>Expedition 28 Commander Andrey Borisenko and Flight Engineers Alexander Samokutyaev and Ron Garan undock from the International Space Station in the Soyuz TMA-21 spacecraft, wrapping up 162 days aboard the orbiting outpost.</t>
  </si>
  <si>
    <t>OWIBOB7ZJeQ</t>
  </si>
  <si>
    <t>https://youtu.be/AwDZ9EJNKMY</t>
  </si>
  <si>
    <t>Expedition 28 Farewell and Hatch Closure</t>
  </si>
  <si>
    <t>The hatches between the Soyuz TMA-21 spacecraft and the International Space Station were closed at 5:30 p.m. EDT Thursday, Sept. 15 wrapping up 162 days aboard the orbiting outpost for Expedition 28 Commander Andrey Borisenko and Flight Engineers Alexander Samokutyaev and Ron Garan.</t>
  </si>
  <si>
    <t>AwDZ9EJNKMY</t>
  </si>
  <si>
    <t>2011 09 15</t>
  </si>
  <si>
    <t>https://youtu.be/0IPmvjMsoPw</t>
  </si>
  <si>
    <t>ISS Update - Sept. 15, 2011</t>
  </si>
  <si>
    <t>The International Space Station video update for Sept. 15, 2011.</t>
  </si>
  <si>
    <t>0IPmvjMsoPw</t>
  </si>
  <si>
    <t>2011 09 14</t>
  </si>
  <si>
    <t>https://youtu.be/9m4uhL9HUMk</t>
  </si>
  <si>
    <t>Borisenko Hands Over Command to Fossum</t>
  </si>
  <si>
    <t>Expedition 28 Commander Andrey Borisenko handed over station command duties to Flight Engineer Mike Fossum. Fossum will command Expedition 29. The traditional Change of Command Ceremony took place at 5:40 p.m. EDT September 14, 2011.</t>
  </si>
  <si>
    <t>9m4uhL9HUMk</t>
  </si>
  <si>
    <t>https://youtu.be/dqSCvj_QpDU</t>
  </si>
  <si>
    <t>ISS Update - Sept. 14, 2011</t>
  </si>
  <si>
    <t>The International Space Station video update for Sept. 14, 2011.</t>
  </si>
  <si>
    <t>dqSCvj_QpDU</t>
  </si>
  <si>
    <t>2011 09 13</t>
  </si>
  <si>
    <t>https://youtu.be/Qo-kHM-XDJI</t>
  </si>
  <si>
    <t>ISS Update - Sept. 13, 2011</t>
  </si>
  <si>
    <t>The International Space Station video update for Sept. 13, 2011.</t>
  </si>
  <si>
    <t>Qo-kHM-XDJI</t>
  </si>
  <si>
    <t>https://youtu.be/puhGf2SzPAE</t>
  </si>
  <si>
    <t>Cupola Corner 6 - Conversation With Mike Fossum</t>
  </si>
  <si>
    <t>Ron Garan talks with fellow NASA astronaut and Expedition 28 crewmate Mike Fossum as they look back on the past 100 days of their time together aboard the International Space Station.</t>
  </si>
  <si>
    <t>puhGf2SzPAE</t>
  </si>
  <si>
    <t>2011 09 12</t>
  </si>
  <si>
    <t>https://youtu.be/33EOoi5TLzs</t>
  </si>
  <si>
    <t>ISS Update - Sept. 12, 2011</t>
  </si>
  <si>
    <t>The International Space Station video update for Sept. 12, 2011.</t>
  </si>
  <si>
    <t>33EOoi5TLzs</t>
  </si>
  <si>
    <t>https://youtu.be/7Q3g9JzwVHM</t>
  </si>
  <si>
    <t>Cupola Corner 5 - Conversation With Satoshi Furukawa</t>
  </si>
  <si>
    <t>NASA astronaut Ron Garan talks with fellow Expedition 28 Flight Engineer Satoshi Furukawa about using  the view from the International Space Station to inspire people to make a difference, and to make life better on our planet.</t>
  </si>
  <si>
    <t>7Q3g9JzwVHM</t>
  </si>
  <si>
    <t>https://youtu.be/U_jtVE7jucQ</t>
  </si>
  <si>
    <t>Cupola Corner 4 - Conversation With Sergei Volkov</t>
  </si>
  <si>
    <t>NASA astronaut Ron Garan speaks with fellow Expedition 28 Flight Engineer Sergei Volkov about using the view from the International Space Station to inspire people to make a difference, and to make life better on our planet.</t>
  </si>
  <si>
    <t>U_jtVE7jucQ</t>
  </si>
  <si>
    <t>https://youtu.be/_KiFtLK-qE4</t>
  </si>
  <si>
    <t>Cupola Corner 3 - Conversation With Andrey Borisenko</t>
  </si>
  <si>
    <t>Expedition 28 Flight Engineer Ron Garan talks with Commander Andrey Borisenko about using the view from the International Space Station to inspire people to make a difference and to make life better on our planet.</t>
  </si>
  <si>
    <t>_KiFtLK-qE4</t>
  </si>
  <si>
    <t>https://youtu.be/39Vcr1V9VRw</t>
  </si>
  <si>
    <t>Cupola Corner 2 - Conversation With Alexander Samokutyaev</t>
  </si>
  <si>
    <t>Astronaut Ron Garan speaks with fellow Expedition 28 flight engineer and Soyuz Commander Alexander Samokutyaev about using the view from the International Space Station to inspire people to make a difference and to make life better on our planet.</t>
  </si>
  <si>
    <t>39Vcr1V9VRw</t>
  </si>
  <si>
    <t>https://youtu.be/BYmbe4860wY</t>
  </si>
  <si>
    <t>Cupola Corner 1 - Conversation With Chris Ferguson</t>
  </si>
  <si>
    <t>Atlantis Commander Chris Ferguson joined Expedition 28 Flight Engineer Ron Garan in the International Space Station cupola back in July 2011 for some conversation about the space shuttle, and how the astronauts can communicate what they see from space in a way that will inspire people to make a difference.</t>
  </si>
  <si>
    <t>BYmbe4860wY</t>
  </si>
  <si>
    <t>https://youtu.be/AeQ-M0YiiP4</t>
  </si>
  <si>
    <t>We're Getting the Band Back Together</t>
  </si>
  <si>
    <t>The Expedition 28 crew returned to full strength with the June 9 arrival to the International Space Station of Flight Engineers Mike Fossum, Sergei Volkov and Satoshi Furukawa. They joined Commander Andrey Borisenko, and Flight Engineers Alexander Samokutyaev and Ron Garan.</t>
  </si>
  <si>
    <t>AeQ-M0YiiP4</t>
  </si>
  <si>
    <t>2011 09 09</t>
  </si>
  <si>
    <t>https://youtu.be/nbxdPZKmhTw</t>
  </si>
  <si>
    <t>ISS Update - Sept. 9, 2011</t>
  </si>
  <si>
    <t>The International Space Station video update for Sept. 9, 2011.</t>
  </si>
  <si>
    <t>nbxdPZKmhTw</t>
  </si>
  <si>
    <t>2011 09 08</t>
  </si>
  <si>
    <t>https://youtu.be/4egnezZTmRA</t>
  </si>
  <si>
    <t>Hurricane Katia on Sept. 8, 2011</t>
  </si>
  <si>
    <t>Hurricane Katia is seen from the International Space Station on Sept. 8, 2011.</t>
  </si>
  <si>
    <t>4egnezZTmRA</t>
  </si>
  <si>
    <t>https://youtu.be/sOYjMxL6UDk</t>
  </si>
  <si>
    <t>ISS Update - Sept. 8, 2011</t>
  </si>
  <si>
    <t>The International Space Station video update for Sept. 8, 2011.</t>
  </si>
  <si>
    <t>sOYjMxL6UDk</t>
  </si>
  <si>
    <t>2011 09 07</t>
  </si>
  <si>
    <t>https://youtu.be/UT0kRqq_j50</t>
  </si>
  <si>
    <t>Texas Wildfires on Sept. 6</t>
  </si>
  <si>
    <t>Smoke plumes and haze from wildfires across Texas on Sept. 6, 2011 can be seen in this video captured from International Space Station.</t>
  </si>
  <si>
    <t>UT0kRqq_j50</t>
  </si>
  <si>
    <t>https://youtu.be/uCg03y0qJ-E</t>
  </si>
  <si>
    <t>Texas Wildfires on Sept. 7</t>
  </si>
  <si>
    <t>Smoke plumes and haze from wildfires are seen across Texas on Sept. 7, 2011 from the International Space Station.</t>
  </si>
  <si>
    <t>uCg03y0qJ-E</t>
  </si>
  <si>
    <t>https://youtu.be/_4EhXXMf8y0</t>
  </si>
  <si>
    <t>ISS Update - Sept. 7, 2011</t>
  </si>
  <si>
    <t>The International Space Station video update for Sept. 7, 2011.</t>
  </si>
  <si>
    <t>_4EhXXMf8y0</t>
  </si>
  <si>
    <t>2011 09 06</t>
  </si>
  <si>
    <t>https://youtu.be/NSnCRFnVr40</t>
  </si>
  <si>
    <t>Texas Wildfires Views from Station</t>
  </si>
  <si>
    <t>External cameras mounted on the International Space Station as well as handheld cameras captured these dramatic views Tuesday of wildfires burning around Bastrop, Texas.</t>
  </si>
  <si>
    <t>NSnCRFnVr40</t>
  </si>
  <si>
    <t>https://youtu.be/PKMUJ5B5q4Y</t>
  </si>
  <si>
    <t>Station Cameras Capture New Videos of Hurricane Katia</t>
  </si>
  <si>
    <t>Aboard the International Space Station, external cameras captured new video of Hurricane Katia as it moved northwest across the western Atlantic north of Puerto Rico at 10:35 a.m. EDT on September 6, 2011. Katia has strengthened into a major Category 3 hurricane packing winds of 125 miles an hour and could strengthen even more before taking a northern and then northeastern track east of the east coast of the United States.</t>
  </si>
  <si>
    <t>PKMUJ5B5q4Y</t>
  </si>
  <si>
    <t>https://youtu.be/r7yxTJdtLDw</t>
  </si>
  <si>
    <t>ISS Update - Sept. 6, 2011</t>
  </si>
  <si>
    <t>The International Space Station video update for Sept. 6, 2011.</t>
  </si>
  <si>
    <t>r7yxTJdtLDw</t>
  </si>
  <si>
    <t>2011 09 02</t>
  </si>
  <si>
    <t>https://youtu.be/dyrYzMzwAFs</t>
  </si>
  <si>
    <t>ISS Update - Sept. 2, 2011</t>
  </si>
  <si>
    <t>The International Space Station video update for Sept. 2, 2011.</t>
  </si>
  <si>
    <t>dyrYzMzwAFs</t>
  </si>
  <si>
    <t>2011 09 01</t>
  </si>
  <si>
    <t>https://youtu.be/SPaWqtLXsX0</t>
  </si>
  <si>
    <t>ISS Update - Sept. 1, 2011</t>
  </si>
  <si>
    <t>The International Space Station video update for  Sept. 1, 2011.</t>
  </si>
  <si>
    <t>SPaWqtLXsX0</t>
  </si>
  <si>
    <t>2011 08 31</t>
  </si>
  <si>
    <t>https://youtu.be/fdBspJhyINk</t>
  </si>
  <si>
    <t>ISS Update - August 31, 2011</t>
  </si>
  <si>
    <t>The International Space Station video update for Aug. 31, 2011.</t>
  </si>
  <si>
    <t>fdBspJhyINk</t>
  </si>
  <si>
    <t>2011 08 30</t>
  </si>
  <si>
    <t>https://youtu.be/sJzN2Y05h-Y</t>
  </si>
  <si>
    <t>ISS Update - August 30, 2011</t>
  </si>
  <si>
    <t>The International Space Station video update for Aug. 30, 2011.</t>
  </si>
  <si>
    <t>sJzN2Y05h-Y</t>
  </si>
  <si>
    <t>https://youtu.be/Lds16-yG2n0</t>
  </si>
  <si>
    <t>Celebrities Thank NASA Shuttle Teams (Part 3)</t>
  </si>
  <si>
    <t>Celebrities and VIPs express thanks to NASA and the space shuttle team, part 3.</t>
  </si>
  <si>
    <t>Lds16-yG2n0</t>
  </si>
  <si>
    <t>https://youtu.be/cia1tfFr-zU</t>
  </si>
  <si>
    <t>Celebrities Thank NASA Shuttle Teams (Part 2)</t>
  </si>
  <si>
    <t>Celebrities and VIPs express thanks to NASA and the space shuttle team, part 2.</t>
  </si>
  <si>
    <t>cia1tfFr-zU</t>
  </si>
  <si>
    <t>https://youtu.be/azViv3vm8jI</t>
  </si>
  <si>
    <t>Celebrities Thank NASA Shuttle Teams (Part 1)</t>
  </si>
  <si>
    <t>Celebrities and VIPs express thanks to NASA and the space shuttle team, part 1.</t>
  </si>
  <si>
    <t>azViv3vm8jI</t>
  </si>
  <si>
    <t>https://youtu.be/Pgy3_LqyeC8</t>
  </si>
  <si>
    <t>NASA Human Space Flight  A  Look Ahead</t>
  </si>
  <si>
    <t>A quick look set to music of current and future NASA human space flight activities.</t>
  </si>
  <si>
    <t>Pgy3_LqyeC8</t>
  </si>
  <si>
    <t>2011 08 29</t>
  </si>
  <si>
    <t>https://youtu.be/7Dwn6pus4WA</t>
  </si>
  <si>
    <t>ISS Update - August 29, 2011</t>
  </si>
  <si>
    <t>The International Space Station video update for Aug. 29, 2011</t>
  </si>
  <si>
    <t>7Dwn6pus4WA</t>
  </si>
  <si>
    <t>2011 08 28</t>
  </si>
  <si>
    <t>https://youtu.be/EOuoAiUbrGk</t>
  </si>
  <si>
    <t>Station Crew Spots Irene</t>
  </si>
  <si>
    <t>An Expedition 28 crew member aboard the International Space Station captured this video of Tropical Storm Irene on August 28 at 4:09 p.m. EDT as it moved over the east coast of the United States.</t>
  </si>
  <si>
    <t>EOuoAiUbrGk</t>
  </si>
  <si>
    <t>https://youtu.be/MhDzSz-_HtU</t>
  </si>
  <si>
    <t>Space Station Views Tropical Storm Irene</t>
  </si>
  <si>
    <t>Cameras mounted on the International Space Station captured new views of Tropical Storm Irene at 2:33 p.m. EDT on August 28, 2011 as the storm bore down on the east coast of the United States.  Expedition 28 Flight Engineer Mike Fossum comments on the condition of the storm as seen from space.</t>
  </si>
  <si>
    <t>MhDzSz-_HtU</t>
  </si>
  <si>
    <t>2011 08 27</t>
  </si>
  <si>
    <t>https://youtu.be/FRuuWkb0vh0</t>
  </si>
  <si>
    <t>Space Station Sees Hurricane Irene on Aug. 26</t>
  </si>
  <si>
    <t>Cameras mounted on the International Space Station captured new views of Hurricane Irene at 4:27 p.m. EDT on August 26, 2011 as the storm bore down on the east coast of the United States. Accompanied by narration from Expedition 28 Flight Engineer Mike Fossum of NASA, the video showed the massive system moving north at 14 miles an hour packing winds of 100 miles an hour some 300 miles south-southwest of Cape Hatteras, North Carolina.</t>
  </si>
  <si>
    <t>FRuuWkb0vh0</t>
  </si>
  <si>
    <t>https://youtu.be/u3vmym2e0Mk</t>
  </si>
  <si>
    <t>Hurricane Irene Viewed on Thursday by Space Station Cameras</t>
  </si>
  <si>
    <t>Cameras mounted on the International Space Station captured new views of Hurricane Irene as it churned across the Bahamas at 3:47 p.m. EDT on August 25, 2011. Irene, which is a massive and powerful category 3 hurricane, is moving north-northwest toward a likely brush with the outer banks of North Carolina Saturday before tracking up the mid-Atlantic states and a possible path over the metropolitan New York area and New England late this weekend.</t>
  </si>
  <si>
    <t>u3vmym2e0Mk</t>
  </si>
  <si>
    <t>2011 08 26</t>
  </si>
  <si>
    <t>https://youtu.be/fV7-S8OHY90</t>
  </si>
  <si>
    <t>ISS Update - August 26, 2011</t>
  </si>
  <si>
    <t>The International Space Station video update for Aug. 26, 2011.</t>
  </si>
  <si>
    <t>fV7-S8OHY90</t>
  </si>
  <si>
    <t>2011 08 25</t>
  </si>
  <si>
    <t>https://youtu.be/gUXJCORNA7w</t>
  </si>
  <si>
    <t>ISS Update - August 25, 2011</t>
  </si>
  <si>
    <t>The International Space Station video update for Aug. 25, 2011.</t>
  </si>
  <si>
    <t>gUXJCORNA7w</t>
  </si>
  <si>
    <t>2011 08 24</t>
  </si>
  <si>
    <t>https://youtu.be/SeLeB9-L_F4</t>
  </si>
  <si>
    <t>Station Cameras Capture New Views of Major Hurricane Irene</t>
  </si>
  <si>
    <t>From 230 miles above the Earth, cameras on the International Space Station captured new views of powerful Hurricane Irene as it churned over the Bahamas at 3:10 p.m. EDT on August 24, 2011. Irene is moving to the northwest as a Category 3 hurricane, packing winds of 120 miles an hour. Irene is expected to strengthen to a Category 4 storm as it heads toward the Outer Banks of North Carolina, the Eastern Seaboard and the middle Atlantic and New England states.</t>
  </si>
  <si>
    <t>SeLeB9-L_F4</t>
  </si>
  <si>
    <t>https://youtu.be/LW9QPa4o_e0</t>
  </si>
  <si>
    <t>ISS Update - August 24, 2011</t>
  </si>
  <si>
    <t>The International Space Station video update for Aug. 24, 2011.</t>
  </si>
  <si>
    <t>LW9QPa4o_e0</t>
  </si>
  <si>
    <t>https://youtu.be/qkqzUuK9aIk</t>
  </si>
  <si>
    <t>Steven Curtis Chapman -- Live from NASA</t>
  </si>
  <si>
    <t>Grammy award-winning artist Steven Curtis Chapman gave a live performance on the radio while surrounded by space vehicle trainers at the Johnson Space Center. Steve later got a chance to talk to astronauts currently orbiting the Earth on the International Space Station and tour the space center's astronaut training facilities.</t>
  </si>
  <si>
    <t>qkqzUuK9aIk</t>
  </si>
  <si>
    <t>2011 08 23</t>
  </si>
  <si>
    <t>https://youtu.be/XTCQymboDOg</t>
  </si>
  <si>
    <t>ISS Update - August 23, 2011</t>
  </si>
  <si>
    <t>The International Space Station video update for Aug. 23, 2011.</t>
  </si>
  <si>
    <t>XTCQymboDOg</t>
  </si>
  <si>
    <t>2011 08 22</t>
  </si>
  <si>
    <t>https://youtu.be/Bcocoz8IZLg</t>
  </si>
  <si>
    <t>Space Station Cameras Capture Views of Hurricane Irene From Orbit</t>
  </si>
  <si>
    <t>Aboard the International Space Station, an Expedition 28 crew member captured views of intensifying Hurricane Irene from an altitude of 225 miles at 3:33 p.m. EDT on Aug. 22, 2011, as the tropical system passed to the north of Hispaniola. The National Hurricane Center is forecasting a track that would take Irene near to or east of the Florida peninsula as a major hurricane on Friday with a possible landfall along the southeastern United States on Saturday. As of 11 a.m. EDT on Monday, Irene was packing winds of 80 miles an hour, but growing stronger, moving west-northwest at 13 miles an hour.</t>
  </si>
  <si>
    <t>Bcocoz8IZLg</t>
  </si>
  <si>
    <t>https://youtu.be/lbKsVfCZQG0</t>
  </si>
  <si>
    <t>ISS Update - August 22, 2011</t>
  </si>
  <si>
    <t>The International Space Station video update for Aug. 22, 2011.</t>
  </si>
  <si>
    <t>lbKsVfCZQG0</t>
  </si>
  <si>
    <t>2011 08 09</t>
  </si>
  <si>
    <t>https://youtu.be/-A8MpAiD3CE</t>
  </si>
  <si>
    <t>Peter Frampton Hooks Up With the International Space Station</t>
  </si>
  <si>
    <t>The video with audio can also be viewed here: http://1.usa.gov/nyxGJV
Musician Peter Frampton introduces Expedition 28 Flight Engineer Ron Garan during a concert at the Warfield Theater in San Francisco.</t>
  </si>
  <si>
    <t>-A8MpAiD3CE</t>
  </si>
  <si>
    <t>2011 08 08</t>
  </si>
  <si>
    <t>https://youtu.be/zx3B4mIcgyE</t>
  </si>
  <si>
    <t>Internship Opportunities at Johnson Space Center</t>
  </si>
  <si>
    <t>This is an intern recruitment video for business students at NASA's Johnson Space Center. There are diverse, exciting opportunities available for business students here at Johnson Space Center, ranging from finance, to procurement and budgeting, to public affairs. Now more than ever, NASA needs talented students from around the country, who are ready for a unique working environment and experience.</t>
  </si>
  <si>
    <t>zx3B4mIcgyE</t>
  </si>
  <si>
    <t>2011 08 01</t>
  </si>
  <si>
    <t>https://youtu.be/NiJ54Jj2rck</t>
  </si>
  <si>
    <t>Astronaut Charles Duke During an Apollo 16 Lunar Surface EVA</t>
  </si>
  <si>
    <t>Astronaut Charles Duke hammers a core tube into the ground until it meets a rock and won't go any further. Then the hammer flies from his hand and he makes four attempts to pick it up by bending down and leaning to reach for it. He gives up and returns to the rover to get the tongs to pick up the hammer successfully.</t>
  </si>
  <si>
    <t>NiJ54Jj2rck</t>
  </si>
  <si>
    <t>2011 07 21</t>
  </si>
  <si>
    <t>https://youtu.be/Q0jR8fqXdzg</t>
  </si>
  <si>
    <t>Flight Director Tony Ceccacci's Post-Landing Remarks</t>
  </si>
  <si>
    <t>Flight Director Tony Ceccacci gives thanks to the flight control team in the shuttle flight control room at Johnson Space Center following the landing of space shuttle Atlantis.</t>
  </si>
  <si>
    <t>Q0jR8fqXdzg</t>
  </si>
  <si>
    <t>https://youtu.be/0bIiA7k2WBo</t>
  </si>
  <si>
    <t>STS-135 Flight Day 13 Interviews</t>
  </si>
  <si>
    <t>The STS-135 crew members participate in interviews with ABC News, CBS News, CNN, Fox News and NBC News.</t>
  </si>
  <si>
    <t>0bIiA7k2WBo</t>
  </si>
  <si>
    <t>https://youtu.be/RuTMn2rPFw8</t>
  </si>
  <si>
    <t>Landing Day Wake Up Song and Greeting</t>
  </si>
  <si>
    <t>The video with audio can also be viewed here: http://1.usa.gov/p6Rg8n
Kate Smith's rendition of Irving Berlin's "God Bless America" woke Commander Chris Ferguson, Pilot Doug Hurley and Mission Specialists Sandy Magnus and Rex Walheim. But unlike most wakeup songs, which are played in honor of a particular crew member, this one was dedicated to all the men and women who have worked for the Space Shuttle Program in the past three decades.</t>
  </si>
  <si>
    <t>RuTMn2rPFw8</t>
  </si>
  <si>
    <t>2011 07 20</t>
  </si>
  <si>
    <t>https://youtu.be/Z7QAXCM6Gz0</t>
  </si>
  <si>
    <t>STS-135 Daily Mission Recap - Flight Day 13</t>
  </si>
  <si>
    <t>A video recap of flight day 13 of the STS-135 mission of space shuttle Atlantis to the International Space Station.</t>
  </si>
  <si>
    <t>Z7QAXCM6Gz0</t>
  </si>
  <si>
    <t>https://youtu.be/84IYJ7o3Xik</t>
  </si>
  <si>
    <t>Kennedy Space Center Wakes STS-135 Crew</t>
  </si>
  <si>
    <t>The video with audio can also be viewed here: http://1.usa.gov/oQkHRY
The Flight Day 13 wakeup music was "Fanfare for the Common Man" by Aaron Copland played for Commander Chris Ferguson. It was followed by a prerecorded message from Kennedy Space Center employees. Kennedy is home to the space shuttle fleet, along with its launch pads and the people who prepared the shuttles for each trip into space. Atlantis is scheduled to land at the Shuttle Landing Facility in Kennedy on Thursday.</t>
  </si>
  <si>
    <t>84IYJ7o3Xik</t>
  </si>
  <si>
    <t>2011 07 19</t>
  </si>
  <si>
    <t>https://youtu.be/KXh1A_pEx7U</t>
  </si>
  <si>
    <t>STS-135 Daily Mission Recap - Flight Day 12</t>
  </si>
  <si>
    <t>A video recap of flight day 12 of the STS-135 mission of space shuttle Atlantis to the International Space Station.</t>
  </si>
  <si>
    <t>KXh1A_pEx7U</t>
  </si>
  <si>
    <t>https://youtu.be/rVJDYI1BQA4</t>
  </si>
  <si>
    <t>STS-135 Ascent Imagery Highlights</t>
  </si>
  <si>
    <t>Space shuttle Atlantis and the STS-135 crew begin the journey to the International Space Station on July 8, 2011.</t>
  </si>
  <si>
    <t>rVJDYI1BQA4</t>
  </si>
  <si>
    <t>https://youtu.be/OlWaFXle3VQ</t>
  </si>
  <si>
    <t>STS-135 Undocking</t>
  </si>
  <si>
    <t>Space shuttle Atlantis undocks from the International Space Station during STS-135, the final shuttle mission.</t>
  </si>
  <si>
    <t>OlWaFXle3VQ</t>
  </si>
  <si>
    <t>https://youtu.be/PQa8fCiZRg4</t>
  </si>
  <si>
    <t>Flight Day 12 Wake Up Song and Greeting</t>
  </si>
  <si>
    <t>The video with audio can also be viewed here: http://1.usa.gov/rnAQBJ
The Flight Day 12 wakeup music was "Don't Panic" by Coldplay, which was played for Pilot Doug Hurley. This was the last wakeup song played for a shuttle crew while docked to the International Space Station.</t>
  </si>
  <si>
    <t>PQa8fCiZRg4</t>
  </si>
  <si>
    <t>2011 07 18</t>
  </si>
  <si>
    <t>https://youtu.be/toabl6i4fBY</t>
  </si>
  <si>
    <t>STS-135 Daily Mission Recap - Flight Day 11</t>
  </si>
  <si>
    <t>A video recap of flight day 11 of the STS-135 mission of space shuttle Atlantis to the International Space Station.</t>
  </si>
  <si>
    <t>toabl6i4fBY</t>
  </si>
  <si>
    <t>https://youtu.be/GYyjMhPYjaQ</t>
  </si>
  <si>
    <t>The STS-135 Crew Speaks with Students</t>
  </si>
  <si>
    <t>Atlantis Pilot Doug Hurley and Mission Specialist Rex Walheim field questions from NASA Explorer School students as part of the "Summer of Innovation" during an in-flight educational event. It was the last opportunity for shuttle crew members to respond to students' questions.</t>
  </si>
  <si>
    <t>GYyjMhPYjaQ</t>
  </si>
  <si>
    <t>https://youtu.be/ra2QX00R3R0</t>
  </si>
  <si>
    <t>The STS-135 Crew Farewell Ceremony and Hatch Closing</t>
  </si>
  <si>
    <t>The STS-135 and Expedition 28 crews hold a farewell ceremony and close the hatches between the International Space Station and space shuttle Atlantis. The hatches between the spacecraft were open for seven days, 21 hours and 41 minutes.</t>
  </si>
  <si>
    <t>ra2QX00R3R0</t>
  </si>
  <si>
    <t>https://youtu.be/dDMZ5j_jrds</t>
  </si>
  <si>
    <t>Johnson Space Center Wakes STS-135 Crew</t>
  </si>
  <si>
    <t>The video with audio can also be viewed here: http://1.usa.gov/pLDdJF
The Flight Day 11 wakeup music was "Days Go By" by Keith Urban, which was played for Mission Specialist Rex Walheim. The song was accompanied by a special good morning message recorded by employees at NASA's Johnson Space Center in Houston, TX. The NASA center is home not only to the astronaut corps, but also Mission Control and the Space Shuttle Program.</t>
  </si>
  <si>
    <t>dDMZ5j_jrds</t>
  </si>
  <si>
    <t>2011 07 17</t>
  </si>
  <si>
    <t>https://youtu.be/mVxfhZUSppY</t>
  </si>
  <si>
    <t>STS-135 Daily Mission Recap - Flight Day 10</t>
  </si>
  <si>
    <t>A video recap of flight day 10 of the STS-135 mission of space shuttle Atlantis to the International Space Station.</t>
  </si>
  <si>
    <t>mVxfhZUSppY</t>
  </si>
  <si>
    <t>https://youtu.be/ATgxiy1Ewho</t>
  </si>
  <si>
    <t>Stennis Space Center Wakes STS-135 Crew</t>
  </si>
  <si>
    <t>The video with audio can also be viewed here: http://1.usa.gov/oisd21
The Flight Day 10 wakeup music was "Celebration" by Kool and the Gang, which was played for Mission Specialist Sandy Magnus. The song was accompanied by a special good morning message recorded by employees at NASA's Stennis Space Center in southern Mississippi, the NASA center that is home to the test stands that verified each of the main engines that helped propel space shuttles into low Earth orbit, including the three used in the STS-135 launch.</t>
  </si>
  <si>
    <t>ATgxiy1Ewho</t>
  </si>
  <si>
    <t>2011 07 16</t>
  </si>
  <si>
    <t>https://youtu.be/PjDd767IkFs</t>
  </si>
  <si>
    <t>STS-135 and Expedition 28 Joint Crew News Conference</t>
  </si>
  <si>
    <t>Atlantis crew members and their six station colleagues gathered in the Japanese Kibo Laboratory to take questions from news media. Reporters at four NASA centers, NASA headquarters and in Japan participated.</t>
  </si>
  <si>
    <t>PjDd767IkFs</t>
  </si>
  <si>
    <t>https://youtu.be/1sTTV3SUGzE</t>
  </si>
  <si>
    <t>STS-135 Flight Day 8 Interviews, Part 2</t>
  </si>
  <si>
    <t>The STS-135 crew members participate in interviews with CBS Radio, KYW-TV in Philadelphia and Associated Press. Next up was interviews with WPVI-TV and KYW Radio, both of Philadelphia, and Reuters.</t>
  </si>
  <si>
    <t>1sTTV3SUGzE</t>
  </si>
  <si>
    <t>https://youtu.be/Tb4biKCRPOg</t>
  </si>
  <si>
    <t>STS-135 Flight Day 8 Interviews, Part 1</t>
  </si>
  <si>
    <t>Tb4biKCRPOg</t>
  </si>
  <si>
    <t>https://youtu.be/rs_eT_0FXw0</t>
  </si>
  <si>
    <t>STS-135 Daily Mission Recap - Flight Day 9</t>
  </si>
  <si>
    <t>A video recap of flight day 9 of the STS-135 mission of space shuttle Atlantis to the International Space Station.</t>
  </si>
  <si>
    <t>rs_eT_0FXw0</t>
  </si>
  <si>
    <t>https://youtu.be/9PbTjXC2WwA</t>
  </si>
  <si>
    <t>STS-135 Crew Tribute to the Space Shuttle Program</t>
  </si>
  <si>
    <t>The STS-135 crew provided a recorded message as a tribute to Atlantis, the entire Space Shuttle Program and team. In the message, Ferguson spoke about the U.S. flag displayed behind them that was flown on the first space shuttle mission, STS-1. It was flown on this mission to be presented to the space station crew and it will remain displayed aboard the station until the next crew launched from the U.S. retrieves it for return to Earth. It will fly from Earth again, with the next crew that launches from the U.S. on a journey of exploration beyond Earth orbit.</t>
  </si>
  <si>
    <t>9PbTjXC2WwA</t>
  </si>
  <si>
    <t>https://youtu.be/anRlH-CqYew</t>
  </si>
  <si>
    <t>Crew World Cup Message</t>
  </si>
  <si>
    <t>STS-135 Mission Specialist Sandy Magnus and Expedition 28 Flight Engineer Satoshi Furukawa record a special World Cup message</t>
  </si>
  <si>
    <t>anRlH-CqYew</t>
  </si>
  <si>
    <t>https://youtu.be/dtwQvCbw9Qk</t>
  </si>
  <si>
    <t>Beyonce  Brings It  On Orbit</t>
  </si>
  <si>
    <t>The video with audio can also be viewed here: http://1.usa.gov/quMD2n
The STS-135 crew gets moving on Flight Day 9 with "Run the World (Girls)" after being awakened by a special greeting from songstress Beyonce Knowles.</t>
  </si>
  <si>
    <t>dtwQvCbw9Qk</t>
  </si>
  <si>
    <t>2011 07 15</t>
  </si>
  <si>
    <t>https://youtu.be/4ckuxkYJZF8</t>
  </si>
  <si>
    <t>STS-135 Daily Mission Recap - Flight Day 8</t>
  </si>
  <si>
    <t>A video recap of flight day 8 of the STS-135 mission of space shuttle Atlantis to the International Space Station.</t>
  </si>
  <si>
    <t>4ckuxkYJZF8</t>
  </si>
  <si>
    <t>https://youtu.be/iV-X0NcG8Lc</t>
  </si>
  <si>
    <t>STS-135 Flight Day 7 Interviews, Part 2</t>
  </si>
  <si>
    <t>The STS-135 crew members talk with representatives of WBBM-TV of Chicago, KTVU-TV of Oakland, Calif., and WTXF-TV of Philadelphia.</t>
  </si>
  <si>
    <t>iV-X0NcG8Lc</t>
  </si>
  <si>
    <t>https://youtu.be/RiQUvyGGu6A</t>
  </si>
  <si>
    <t>STS-135 Flight Day 7 Interviews, Part 1</t>
  </si>
  <si>
    <t>STS-135 Commander Chris Ferguson and Mission Specialist Sandy Magnus talk with Fox News Radio, as well as KTVI-TV and KSDK-TV in St. Louis.</t>
  </si>
  <si>
    <t>RiQUvyGGu6A</t>
  </si>
  <si>
    <t>https://youtu.be/MT7C5zX_lMQ</t>
  </si>
  <si>
    <t>Sir Paul Awakens Final Shuttle Crew</t>
  </si>
  <si>
    <t>The video with audio can also be viewed here: http://1.usa.gov/qle5d0
Paul McCartney and Beatles favorite "Good Day Sunshine" greet the Atlantis crew of Chris Ferguson, Doug Hurley, Sandy Magnus and Rex Walheim first thing on Flight Day 8. Sir Paul and the Beatles' music have awakened a dozen past shuttle crews. "Good Day Sunshine" was played for two Discovery crews of STS-121 and STS-128. On learning the popular Beatles song was used to rouse the shuttle crew of STS-121, McCartney treated the Expedition 12 crew aboard the International Space Station with a live musical wakeup call during a first-ever concert linkup in November 2005. The wakeup call during which McCartney performed "Good Day Sunshine" and "English Tea," came from McCartney's "US" Tour performance in Anaheim, California. During the live linkup, McCartney said," I can't believe we're actually transmitting to space" as Bill McArthur performed a zero-g flip for the 17,000 Earth bound concert-goers. In an interview about the "Good Day Sunshine" wakeup calls, McCartney said, "I think it hit a chord with American audiences, because...well they're American, Number 1, and that's their space shuttle going up there." McCartney and "Good Day Sunshine" hit a chord with the crew members of the final space shuttle crew in NASA's history: "Good morning guys, wake up! And good luck on this, your last mission. Well done."</t>
  </si>
  <si>
    <t>MT7C5zX_lMQ</t>
  </si>
  <si>
    <t>2011 07 14</t>
  </si>
  <si>
    <t>https://youtu.be/ladwrg_K-u4</t>
  </si>
  <si>
    <t>STS-135 Centennial of Naval Aviation Message</t>
  </si>
  <si>
    <t>STS-135 Commander Chris Ferguson and Pilot Doug Hurley record a special message to commemorate the centennial of naval aviation.</t>
  </si>
  <si>
    <t>ladwrg_K-u4</t>
  </si>
  <si>
    <t>https://youtu.be/zg1NgO4ZucM</t>
  </si>
  <si>
    <t>STS-135 Daily Mission Recap - Flight Day 7</t>
  </si>
  <si>
    <t>A video recap of flight day 7 of the STS-135 mission of space shuttle Atlantis to the International Space Station.</t>
  </si>
  <si>
    <t>zg1NgO4ZucM</t>
  </si>
  <si>
    <t>https://youtu.be/qCMGjdI-TKw</t>
  </si>
  <si>
    <t>The STS-135 Crew Participates in Interviews</t>
  </si>
  <si>
    <t>The STS-135 crew members talk with representatives of WBNG-TV and WICZ-TV in Binghamton, N.Y., near Pilot Doug Hurley's home town of Apalachin, and KGO-TV of San Francisco. Mission Specialist Rex Walheim is from nearby San Carlos.</t>
  </si>
  <si>
    <t>qCMGjdI-TKw</t>
  </si>
  <si>
    <t>https://youtu.be/FheKP4YgLwk</t>
  </si>
  <si>
    <t>Michael Stipe Wake Up Song and Greeting</t>
  </si>
  <si>
    <t>The video with audio can also be viewed here: http://1.usa.gov/pv4Avr
The four astronauts of the final space shuttle mission are greeted by R.E.M. front man Michael Stipe and the group's hit, "Man on the Moon" to begin Flight Day 7. On recording this song for the Atlantis' last crew Stipe said, "I recorded 'Man on The Moon' for NASA in Venice, Italy, where Galileo first presented to the Venetian government his eight-power telescope, and in 1610 wrote 'The Starry Messenger' (Sidereus Nuncius), an account of his early astronomical discoveries that altered forever our view of our place in the universe."</t>
  </si>
  <si>
    <t>FheKP4YgLwk</t>
  </si>
  <si>
    <t>2011 07 13</t>
  </si>
  <si>
    <t>https://youtu.be/eA3uNh_QIzc</t>
  </si>
  <si>
    <t>STS-135 Daily Mission Recap - Flight Day 6</t>
  </si>
  <si>
    <t>A video recap of flight day 6 of the STS-135 mission of space shuttle Atlantis to the International Space Station.</t>
  </si>
  <si>
    <t>eA3uNh_QIzc</t>
  </si>
  <si>
    <t>https://youtu.be/2lD1xnxWAhQ</t>
  </si>
  <si>
    <t>A Message From NASA Astronauts to the Space Shuttle Workforce</t>
  </si>
  <si>
    <t>A special message to the space shuttle workforce from the STS-135 and Expedition 28 astronauts.</t>
  </si>
  <si>
    <t>2lD1xnxWAhQ</t>
  </si>
  <si>
    <t>https://youtu.be/boTpJ16GJaM</t>
  </si>
  <si>
    <t>Elton John Wake Up Song and Greeting for STS-135</t>
  </si>
  <si>
    <t>Flight Day 6 was kick-started for the STS-135 astronauts with a special wake-up message from Elton John and one of the legendary performer's greatest hits. "Rocket Man" debuted around the time of the Apollo 16 mission, which sent men to the moon for the fifth time. The 4.5-minute song, which describes a long-term space bound astronaut's mixed feelings at leaving his family to do his job, has been played to awaken four shuttle crews aboard Discovery and Atlantis. "Rocket Man" also, one of NASA's top 40 wakeup call songs listed for voter selection during a contest to commemorate the space shuttle Discovery and Endeavour's last missions, earned nearly 5,000 votes from the public. The song inspired by space exploration woke up the final space shuttle crew of Atlantis one last time: "Good morning Atlantis, this is Elton John. We wish you much success on your mission. A huge thank you to all the men and women at NASA who worked on the shuttle for the last three decades."</t>
  </si>
  <si>
    <t>boTpJ16GJaM</t>
  </si>
  <si>
    <t>https://youtu.be/hSSHqaggLYQ</t>
  </si>
  <si>
    <t>STS-135 Daily Mission Recap - Flight Day 5</t>
  </si>
  <si>
    <t>A video recap of flight day 5 of the STS-135 mission of space shuttle Atlantis to the International Space Station.</t>
  </si>
  <si>
    <t>hSSHqaggLYQ</t>
  </si>
  <si>
    <t>2011 07 12</t>
  </si>
  <si>
    <t>https://youtu.be/mNcKNzAi5hU</t>
  </si>
  <si>
    <t>STS-135 Flight Day 5 Crew Wake Up Call</t>
  </si>
  <si>
    <t>The video with audio can also be viewed here: http://1.usa.gov/r3AcY8
The STS-135 Flight Day 5 wakeup call was "More" by Matthew West played for Mission Specialist Rex Walheim.</t>
  </si>
  <si>
    <t>mNcKNzAi5hU</t>
  </si>
  <si>
    <t>https://youtu.be/tOsGCU6Syf4</t>
  </si>
  <si>
    <t>STS-135 Daily Mission Recap - Flight Day 4</t>
  </si>
  <si>
    <t>A video recap of flight day 4 of the STS-135 mission of space shuttle Atlantis to the International Space Station.</t>
  </si>
  <si>
    <t>tOsGCU6Syf4</t>
  </si>
  <si>
    <t>2011 07 11</t>
  </si>
  <si>
    <t>https://youtu.be/zU_Ry73C1iA</t>
  </si>
  <si>
    <t>STS-135 Flight Day 4 Crew Wake Up Call</t>
  </si>
  <si>
    <t>The video with audio can also be viewed here: http://1.usa.gov/rmuSO7
The STS-135 Flight Day 4 wakeup call was "Tubthumping" by Chumbawamba played for Mission Specialist Sandy Magnus.</t>
  </si>
  <si>
    <t>zU_Ry73C1iA</t>
  </si>
  <si>
    <t>https://youtu.be/Nry8B9yd_C4</t>
  </si>
  <si>
    <t>STS-135 Daily Mission Recap - Flight Day 3</t>
  </si>
  <si>
    <t>A video recap of flight day 3 of the STS-135 mission of space shuttle Atlantis to the International Space Station.</t>
  </si>
  <si>
    <t>Nry8B9yd_C4</t>
  </si>
  <si>
    <t>2011 07 10</t>
  </si>
  <si>
    <t>https://youtu.be/Y6wc8kZ9CBw</t>
  </si>
  <si>
    <t>Shuttle Showcase  STS-134</t>
  </si>
  <si>
    <t>After 25 flights and over 120 million miles of travel in service to the nation and to the world, It was time for Endeavour to come home for the final time.</t>
  </si>
  <si>
    <t>Y6wc8kZ9CBw</t>
  </si>
  <si>
    <t>https://youtu.be/ItZJ-LoAHj0</t>
  </si>
  <si>
    <t>Atlantis Docks to Station</t>
  </si>
  <si>
    <t>The Expedition 28 crew welcomes the STS-135 crew of space shuttle Atlantis aboard the International Space Station.</t>
  </si>
  <si>
    <t>ItZJ-LoAHj0</t>
  </si>
  <si>
    <t>https://youtu.be/WxCvsl-SyvE</t>
  </si>
  <si>
    <t>Shuttle Showcase  STS-125</t>
  </si>
  <si>
    <t>After four previous trips to repair and upgrade the Hubble Space Telescope, it was time for the Shuttle to make one final service call to install new, advanced instruments, batteries, gyros and insulation on the astronomical icon. Following 5 complex spacewalks, Hubble was left virtually brand new --- and ready for many more years of unprecedented science.</t>
  </si>
  <si>
    <t>WxCvsl-SyvE</t>
  </si>
  <si>
    <t>https://youtu.be/mSXViTNLpDM</t>
  </si>
  <si>
    <t>Shuttle Showcase  STS-124</t>
  </si>
  <si>
    <t>The second in a series of flights to assemble the Japanese segment of the International Space Station saw the mammoth Kibo module delivered to the complex complements of Discovery and its crew on the STS-124 mission. Kibo, the Japanese word for "hope" would house dozens of experiments and serve as a platform for external payloads brought to the complex on subsequent Shuttle flights and the Japanese "Kounotori" H-2 Transfer Vehicle cargo ship.</t>
  </si>
  <si>
    <t>mSXViTNLpDM</t>
  </si>
  <si>
    <t>https://youtu.be/44UyTWeaIM0</t>
  </si>
  <si>
    <t>Shuttle Showcase  STS-49</t>
  </si>
  <si>
    <t>Everyone knew the maiden flight of Endeavour, the successor to the fallen Challenger, would be challenging. In the end, it turned out to be that, and more, as the crew ultimately made history. Rick Heib, Pierre Thuot and Tom Akers salvaged the rescue of the crippled Intelsat satellite, performing the first, and to date, the only three-person spacewalk to manually capture Intelsat.</t>
  </si>
  <si>
    <t>44UyTWeaIM0</t>
  </si>
  <si>
    <t>https://youtu.be/QyikYNYmCC0</t>
  </si>
  <si>
    <t>Shuttle Showcase  STS-31</t>
  </si>
  <si>
    <t>The Hubble Space Telescope is deployed from space shuttle Discovery on STS-31</t>
  </si>
  <si>
    <t>QyikYNYmCC0</t>
  </si>
  <si>
    <t>https://youtu.be/ker0KDYzklU</t>
  </si>
  <si>
    <t>Shuttle Showcase  STS-30</t>
  </si>
  <si>
    <t>May 4, 1989... the five-person crew of Atlantis prepares for the first deployment of a planetary spacecraft from the shuttle. A little over six hours after launch, Magellan and its mammoth Inertial Upper Stage booster are released from Atlantis' payload bay to begin Magellan's voyage to peel back the layers of the cloudy planet of Venus.</t>
  </si>
  <si>
    <t>ker0KDYzklU</t>
  </si>
  <si>
    <t>https://youtu.be/nMDMzCw0Cug</t>
  </si>
  <si>
    <t>Shuttle Showcase  STS-1</t>
  </si>
  <si>
    <t>The launch of STS-1 marked the beginning of a new era in human spaceflight.</t>
  </si>
  <si>
    <t>nMDMzCw0Cug</t>
  </si>
  <si>
    <t>https://youtu.be/B9Mgbduz3Tk</t>
  </si>
  <si>
    <t>Shuttle Showcase  Firsts</t>
  </si>
  <si>
    <t>The space shuttle has defined an era and broken boundaries both in space and on Earth. Among the hundreds of people who have flown on the shuttle, many have been firsts -- for their race, their country or their profession.</t>
  </si>
  <si>
    <t>B9Mgbduz3Tk</t>
  </si>
  <si>
    <t>https://youtu.be/ONNc0RX-3RQ</t>
  </si>
  <si>
    <t>STS-135  Rendezvous Pitch Maneuver</t>
  </si>
  <si>
    <t>On July 10, 2011, space shuttle Atlantis performed the nine-minute Rendezvous Pitch Maneuver, or "backflip." With Commander Chris Ferguson at the helm, Atlantis rotated 360 degrees backward to enable space station crew members to take high resolution digital pictures of the shuttle's heat shield.</t>
  </si>
  <si>
    <t>ONNc0RX-3RQ</t>
  </si>
  <si>
    <t>https://youtu.be/ug0vIR1_W6M</t>
  </si>
  <si>
    <t>STS-135 Flight Day 3 Crew Wake Up Call</t>
  </si>
  <si>
    <t>The video with audio can also be viewed here: http://1.usa.gov/n32ixN
The STS-135 Flight Day 3 wakeup call was "Mr. Blue Sky" by Electric Light Orchestra played for Commander Chris Ferguson.</t>
  </si>
  <si>
    <t>ug0vIR1_W6M</t>
  </si>
  <si>
    <t>https://youtu.be/NLOLYR6t7lY</t>
  </si>
  <si>
    <t>STS-135 Daily Mission Recap - Flight Day 2</t>
  </si>
  <si>
    <t>A video recap of flight day 2 of the STS-135 mission of space shuttle Atlantis to the International Space Station</t>
  </si>
  <si>
    <t>NLOLYR6t7lY</t>
  </si>
  <si>
    <t>2011 07 09</t>
  </si>
  <si>
    <t>https://youtu.be/t0EDWhwVd68</t>
  </si>
  <si>
    <t>Mission Control Roses</t>
  </si>
  <si>
    <t>The 110th bouquet of roses arrived in Mission Control on Saturday, July 9, 2011. They were sent as quietly as they have been for more than 23 years by a family near Dallas, Texas. For 110 shuttle missions, beginning with the first mission to fly following the Challenger accident, the Shelton family's flowers arrived in the control center like clockwork, usually with a simple note of well wishes.</t>
  </si>
  <si>
    <t>t0EDWhwVd68</t>
  </si>
  <si>
    <t>https://youtu.be/7MYmpG9d7XA</t>
  </si>
  <si>
    <t>Marshall Space Flight Center Wakes STS-135 Crew</t>
  </si>
  <si>
    <t>The video with audio can also be viewed here: http://1.usa.gov/nfPCG9
The STS-135 Flight Day 2 wakeup music was "Viva la Vida" performed by Coldplay, a song picked by STS-135 Pilot Doug Hurley. The song was accompanied by a special good morning message recorded by employees at NASA's Marshall Spaceflight Center in Huntsville, Ala., the NASA center that has managed the space shuttle's solid rocket boosters, main engines and external tank throughout the program's history.</t>
  </si>
  <si>
    <t>7MYmpG9d7XA</t>
  </si>
  <si>
    <t>2011 07 08</t>
  </si>
  <si>
    <t>https://youtu.be/rYjBukIVxO8</t>
  </si>
  <si>
    <t>STS-135 Daily Mission Recap - Flight Day 1</t>
  </si>
  <si>
    <t>A video recap of flight day 1 of the STS-135 mission of space shuttle Atlantis to the International Space Station.</t>
  </si>
  <si>
    <t>rYjBukIVxO8</t>
  </si>
  <si>
    <t>https://youtu.be/GLgnZ89b8Po</t>
  </si>
  <si>
    <t>Orion  The Journey Begins</t>
  </si>
  <si>
    <t>Even as the space shuttle program comes to a close, NASA is already building its next human spacecraft, the Orion Multi-Purpose Crew Vehicle (MPCV), around the country.  Orion is being designed and tested to go further than we've ever gone and do things the shuttle could never do, namely explore deep space. In "Orion: The Journey Begins" take a look at the progress and development of NASA's  newest vehicle, which will be the most advanced human spacecraft ever built.</t>
  </si>
  <si>
    <t>GLgnZ89b8Po</t>
  </si>
  <si>
    <t>https://youtu.be/YYh6BD6-Hc8</t>
  </si>
  <si>
    <t xml:space="preserve">What Kind of World Do You Want </t>
  </si>
  <si>
    <t>Although STS-135 is the final space shuttle mission, the International Space Station will continue an uninterrupted human presence in space. This music video featuring the space station and its crews is set to the song "World" by recording artists Five for Fighting.</t>
  </si>
  <si>
    <t>YYh6BD6-Hc8</t>
  </si>
  <si>
    <t>2011 07 05</t>
  </si>
  <si>
    <t>https://youtu.be/72OLN4lBpSQ</t>
  </si>
  <si>
    <t>Launching Our Dreams  A Shuttle Retrospective</t>
  </si>
  <si>
    <t>A tribute to NASA's Space Shuttle Program and its 30 year history.</t>
  </si>
  <si>
    <t>72OLN4lBpSQ</t>
  </si>
  <si>
    <t>2011 06 30</t>
  </si>
  <si>
    <t>https://youtu.be/MBADi5nJI2o</t>
  </si>
  <si>
    <t>STS-135 Overview Animation</t>
  </si>
  <si>
    <t>A computer-animated overview of the STS-135 mission of space shuttle Atlantis.</t>
  </si>
  <si>
    <t>MBADi5nJI2o</t>
  </si>
  <si>
    <t>2011 06 27</t>
  </si>
  <si>
    <t>https://youtu.be/g2aoKTfPUtc</t>
  </si>
  <si>
    <t>STS-135 Mission Overview</t>
  </si>
  <si>
    <t>With the final flight of space shuttle Atlantis and its crew of four astronauts, the space shuttle era comes to a close, and America and the world bids a final farewell to a sleek and one-of-a-kind ship that has helped history unfold in low Earth orbit.</t>
  </si>
  <si>
    <t>g2aoKTfPUtc</t>
  </si>
  <si>
    <t>2011 06 21</t>
  </si>
  <si>
    <t>https://youtu.be/NACbbyl1ciA</t>
  </si>
  <si>
    <t>STS-135 Crew Profile</t>
  </si>
  <si>
    <t>The last flight of the U.S. space shuttle is a return flight to the International Space Station for each of the four astronauts aboard Atlantis.</t>
  </si>
  <si>
    <t>NACbbyl1ciA</t>
  </si>
  <si>
    <t>2011 06 20</t>
  </si>
  <si>
    <t>https://youtu.be/zxO-pM1lLZ0</t>
  </si>
  <si>
    <t>Behind the Scenes  Landing the Soyuz</t>
  </si>
  <si>
    <t>06/20/2011 -- NASA Public Affairs Officer Josh Byerly talks to ground support personnel and mission officials in Russia and Kazakhstan as they prepare for the landing of Expedition 27 on May 23, 2011. Crew members Dmitry Kondratyev, Cady Coleman and Paolo Nespoli returned home aboard the Soyuz TMA-20 spacecraft while space shuttle Endeavour and the STS-134 crew were still docked to the International Space Station.</t>
  </si>
  <si>
    <t>zxO-pM1lLZ0</t>
  </si>
  <si>
    <t>2011 06 15</t>
  </si>
  <si>
    <t>https://youtu.be/uCVt0kpefHM</t>
  </si>
  <si>
    <t>Space Shuttle Launch and Landing Highlights</t>
  </si>
  <si>
    <t>A variety of camera views showcase the amazing journey into orbit, the space shuttle docked to the International Space Station and the voyage home.</t>
  </si>
  <si>
    <t>uCVt0kpefHM</t>
  </si>
  <si>
    <t>2011 06 10</t>
  </si>
  <si>
    <t>https://youtu.be/yzWFvlK0Ifc</t>
  </si>
  <si>
    <t>New Trio Welcomed Aboard Station</t>
  </si>
  <si>
    <t>Three new Expedition 28 crew members entered the station's Rassvet module to begin their stay when the hatches were opened at 8:34 p.m. on June 9, 2011.</t>
  </si>
  <si>
    <t>yzWFvlK0Ifc</t>
  </si>
  <si>
    <t>2011 06 09</t>
  </si>
  <si>
    <t>https://youtu.be/ElX2b-PnaaQ</t>
  </si>
  <si>
    <t>New Crew Members Arrive at Station</t>
  </si>
  <si>
    <t>The Expedition 28 crew expanded to six members with the arrival of Flight Engineers Mike Fossum, Sergei Volkov and Satoshi Furukawa. The new trio docked to the International Space Station in the Soyuz TMA-02M spacecraft June 9, 2011.</t>
  </si>
  <si>
    <t>ElX2b-PnaaQ</t>
  </si>
  <si>
    <t>https://youtu.be/ThRVzDIrrKA</t>
  </si>
  <si>
    <t>STS-134 Daily Mission Recap - Flight Day 7</t>
  </si>
  <si>
    <t>A video recap of flight day 7 of the STS-134 mission of space shuttle Endeavour to the International Space Station.</t>
  </si>
  <si>
    <t>ThRVzDIrrKA</t>
  </si>
  <si>
    <t>2011 06 08</t>
  </si>
  <si>
    <t>https://youtu.be/Ob9WXozrLdQ</t>
  </si>
  <si>
    <t>Rocket Rock  Soyuz Crew Gets a Sendoff Song from ZZ Top</t>
  </si>
  <si>
    <t>NASA Astronaut Michael Fossum, now on his way to the International Space Station aboard the Russian Soyuz TMA-02M along with his fellow astronauts and cosmonauts aboard got a sneak preview of a track that is slated to be in part of ZZ Top's, as yet untitled, forthcoming album.</t>
  </si>
  <si>
    <t>Ob9WXozrLdQ</t>
  </si>
  <si>
    <t>https://youtu.be/NYFu3UNENyI</t>
  </si>
  <si>
    <t>Shuttle Endeavour Docked to Station</t>
  </si>
  <si>
    <t>After the Soyuz TMA-20 carrying Expedition 27 Commander Dmitry Kondratyev and Flight Engineers Cady Coleman and Paolo Nespoli undocked from the International Space Station on May 23, Nespoli captured this video of shuttle Endeavour docked to the orbital complex.</t>
  </si>
  <si>
    <t>NYFu3UNENyI</t>
  </si>
  <si>
    <t>2011 06 01</t>
  </si>
  <si>
    <t>https://youtu.be/e7ltSFWfAlU</t>
  </si>
  <si>
    <t>Endeavour's Crew Wakes to Song Contest Winner</t>
  </si>
  <si>
    <t>The STS-134 crew members were awakened on the final day of their mission with the song "Sunrise Number 1," performed by the band Stormy Mondays. This song was chosen in an online vote of the general public as the winner in the Space Shuttle Program's Original Song Contest, which attracted 1350 entrants.</t>
  </si>
  <si>
    <t>e7ltSFWfAlU</t>
  </si>
  <si>
    <t>https://youtu.be/9ci2j7ammio</t>
  </si>
  <si>
    <t>STS-134 Crew Wakes to Song Contest Runner-Up</t>
  </si>
  <si>
    <t>On the day before landing, space shuttle Endeavour's crew wakeup call featured the original composition "Dreams You Give" by Brain Plunkett, the second place winner in the Space Shuttle Program's Original Song Contest, which drew more than 1,300 entries. More than a million votes were cast online by the general public to choose two songs from among 10 finalists to be played to the astronauts.</t>
  </si>
  <si>
    <t>9ci2j7ammio</t>
  </si>
  <si>
    <t>2011 05 31</t>
  </si>
  <si>
    <t>https://youtu.be/4TLTpGivmco</t>
  </si>
  <si>
    <t>STS-134 Daily Mission Recap - Flight Day 16</t>
  </si>
  <si>
    <t>A video recap of flight day 16 of the STS-134 mission of space shuttle Endeavour to the International Space Station.</t>
  </si>
  <si>
    <t>4TLTpGivmco</t>
  </si>
  <si>
    <t>https://youtu.be/0qOENXuZiTs</t>
  </si>
  <si>
    <t>STS-134 Tribute to Endeavour</t>
  </si>
  <si>
    <t>STS-134 Commander Mark Kelly pays tribute to space shuttle Endeavour and the spacecraft's contribution to human spaceflight. Mission specialists Andrew Feustel, Mike Fincke, Roberto Vittori, Greg Chamitoff and Pilot Greg Johnson also share their thoughts and impressions of Endeavour.</t>
  </si>
  <si>
    <t>0qOENXuZiTs</t>
  </si>
  <si>
    <t>2011 05 30</t>
  </si>
  <si>
    <t>https://youtu.be/HP7uND5Ocek</t>
  </si>
  <si>
    <t>Last Station Flyaround for Space Shuttle Endeavour</t>
  </si>
  <si>
    <t>Space shuttle Endeavour undocked from the International Space Station at 11:55 p.m. EDT Sunday, May 29, ending a stay of 11 days, 17 hours and 41 minutes at the orbiting laboratory.
Pilot Greg Johnson, at the aft flight deck controls, flew Endeavour in a circle around the station at distances of about 450 to 650 feet. Commander Mark Kelly radioed mission control that he could see the $2 billion Alpha Magnetic Spectrometer particle physics detector Endeavour had brought to orbit.
After the flyaround and a separation burn, Kelly took the controls for a test of an automated rendezvous and docking system called STORRM, for Sensor Test for Orion Relative Navigation Risk Mitigation. Endeavour moved about 20,000 feet above and behind the station, then to a point below and behind it.</t>
  </si>
  <si>
    <t>HP7uND5Ocek</t>
  </si>
  <si>
    <t>2011 05 29</t>
  </si>
  <si>
    <t>https://youtu.be/fg1_cZM9HEU</t>
  </si>
  <si>
    <t>STS-134 Daily Mission Recap - Flight Day 14</t>
  </si>
  <si>
    <t>A video recap of flight day 14 of the STS-134 mission of space shuttle Endeavour to the International Space Station</t>
  </si>
  <si>
    <t>fg1_cZM9HEU</t>
  </si>
  <si>
    <t>https://youtu.be/32zm5J5NkTc</t>
  </si>
  <si>
    <t>Shuttle Crew Says Farewell, Closes Hatches</t>
  </si>
  <si>
    <t>At 7:23 a.m. Sunday, hatches were closed between Endeavour and the station 12 days, 22 hours and 27 minutes into the mission. The hatches between the two spacecraft were opened at 7:38 a.m. on May 18 and were open for joint crew operations for a total of 10 days, 23 hours, and 45 minutes.</t>
  </si>
  <si>
    <t>32zm5J5NkTc</t>
  </si>
  <si>
    <t>https://youtu.be/Sf0j3oHKBZ8</t>
  </si>
  <si>
    <t>STS-134 Memorial Day Message</t>
  </si>
  <si>
    <t>STS-134 Pilot Greg Johnson and Mission Specialist Andrew Feustel send a Memorial Day message from the International Space Station's Kibo laboratory.</t>
  </si>
  <si>
    <t>Sf0j3oHKBZ8</t>
  </si>
  <si>
    <t>https://youtu.be/DO7ZBp4HXQA</t>
  </si>
  <si>
    <t>STS-134 Ascent Imagery Highlights</t>
  </si>
  <si>
    <t>Space shuttle Endeavour and the STS-134 crew begin the journey to the International Space Station on May 16, 2011.</t>
  </si>
  <si>
    <t>DO7ZBp4HXQA</t>
  </si>
  <si>
    <t>2011 05 28</t>
  </si>
  <si>
    <t>https://youtu.be/rhHJRwBcr1M</t>
  </si>
  <si>
    <t>STS-134 Daily Mission Recap - Flight Day 13</t>
  </si>
  <si>
    <t>A video recap of flight day 13 of the STS-134 mission of space shuttle Endeavour to the International Space Station.</t>
  </si>
  <si>
    <t>rhHJRwBcr1M</t>
  </si>
  <si>
    <t>2011 05 27</t>
  </si>
  <si>
    <t>https://youtu.be/Hh4-B91mTWg</t>
  </si>
  <si>
    <t>STS-134 Daily Mission Recap - Flight Day 12</t>
  </si>
  <si>
    <t>A video recap of flight day 12 of the STS-134 mission of space shuttle Endeavour to the International Space Station.</t>
  </si>
  <si>
    <t>Hh4-B91mTWg</t>
  </si>
  <si>
    <t>2011 05 26</t>
  </si>
  <si>
    <t>https://youtu.be/aTXuwi_1d0Q</t>
  </si>
  <si>
    <t>STS-134 Daily Mission Recap - Flight Day 11</t>
  </si>
  <si>
    <t>A video recap of flight day 11 of the STS-134 mission of space shuttle Endeavour to the International Space Station.</t>
  </si>
  <si>
    <t>aTXuwi_1d0Q</t>
  </si>
  <si>
    <t>2011 05 25</t>
  </si>
  <si>
    <t>https://youtu.be/1mdtpFFNwUg</t>
  </si>
  <si>
    <t>Shuttle Astronauts Play Chess</t>
  </si>
  <si>
    <t>STS-134 astronauts Greg Johnson and Greg Chamitoff ponder their next move for the Earth vs. Space chess match. The shuttle crew members also discuss their activities aboard the International Space Station and the benefits of playing chess.</t>
  </si>
  <si>
    <t>1mdtpFFNwUg</t>
  </si>
  <si>
    <t>https://youtu.be/c0jbhAj_5kI</t>
  </si>
  <si>
    <t>STS-134 Daily Mission Recap - Flight Day 10</t>
  </si>
  <si>
    <t>A video recap of flight day 10 of the STS-134 mission of space shuttle Endeavour to the International Space Station.</t>
  </si>
  <si>
    <t>c0jbhAj_5kI</t>
  </si>
  <si>
    <t>2011 05 24</t>
  </si>
  <si>
    <t>https://youtu.be/rP0pM6PwqPs</t>
  </si>
  <si>
    <t>STS-134 Daily Mission Recap - Flight Day 9</t>
  </si>
  <si>
    <t>A video recap of flight day 9 of the STS-134 mission of space shuttle Endeavour to the International Space Station.</t>
  </si>
  <si>
    <t>rP0pM6PwqPs</t>
  </si>
  <si>
    <t>https://youtu.be/S0Ux4MUxZ9c</t>
  </si>
  <si>
    <t>Expedition 27 Undocks from the Station</t>
  </si>
  <si>
    <t>After spending 157 days aboard the International Space Station, Dmitry Kondratyev, NASA Flight Engineer Cady Coleman and European Space Agency Flight Engineer Paolo Nespoli undocked from the station's Rassvet module at 5:35 p.m. EDT May 23, 2011, to begin their voyage home.</t>
  </si>
  <si>
    <t>S0Ux4MUxZ9c</t>
  </si>
  <si>
    <t>https://youtu.be/UQC_8_SP-zM</t>
  </si>
  <si>
    <t>Expedition 27 Says Goodbye</t>
  </si>
  <si>
    <t>At 2:45 p.m. EDT on May 23, 2011, hatches were closed between the International Space Station and Soyuz TMA-20 spacecraft. Expedition 27 crew members Dmitry Kondratyev, NASA Flight Engineer Cady Coleman and European Space Agency Flight Engineer Paolo Nespoli undocked at 5:35 p.m. for their return home.</t>
  </si>
  <si>
    <t>UQC_8_SP-zM</t>
  </si>
  <si>
    <t>2011 05 23</t>
  </si>
  <si>
    <t>https://youtu.be/val6DfAwM8s</t>
  </si>
  <si>
    <t>STS-134 Daily Mission Recap - Flight Day 8</t>
  </si>
  <si>
    <t>A video recap of flight day 8 of the STS-134 mission of space shuttle Endeavour to the International Space Station.</t>
  </si>
  <si>
    <t>val6DfAwM8s</t>
  </si>
  <si>
    <t>https://youtu.be/uJttwRg9MLE</t>
  </si>
  <si>
    <t>Astronauts Talk to Students in Tucson</t>
  </si>
  <si>
    <t>STS-134 Commander Mark Kelly and Mission Specialist Mike Fincke speak with students from Mesa Verde Elementary School in Tucson, Ariz. Approximately 400 students in kindergarten through fifth grade participated in the event and learned how the unique environment of space helps advance scientific discovery and exploration.</t>
  </si>
  <si>
    <t>uJttwRg9MLE</t>
  </si>
  <si>
    <t>2011 05 22</t>
  </si>
  <si>
    <t>https://youtu.be/5wyH_6Z6b00</t>
  </si>
  <si>
    <t>Expedition 27 28 Change of Command Ceremony</t>
  </si>
  <si>
    <t>At 11:41 a.m. EDT Sunday, Dmitry Kondratyev, who has been the commander of Expedition 27 aboard the International Space Station, conducted a ceremonial change of command with Andrey Borisenko, who now commands Expedition 27 and will command Expedition 28. Kondratyev, NASA Flight Engineer Cady Coleman and European Space Agency Flight Engineer Paolo Nespoli will return to Earth Monday night inside their Soyuz TMA-20 spacecraft that launched to the station Dec. 15. Expedition 28 will begin officially at the moment of Soyuz undocking.</t>
  </si>
  <si>
    <t>5wyH_6Z6b00</t>
  </si>
  <si>
    <t>https://youtu.be/ryTnDTqTrQk</t>
  </si>
  <si>
    <t>STS-134 Daily Mission Recap - Flight Day 6</t>
  </si>
  <si>
    <t>A video recap of flight day 6 of the STS-134 mission of space shuttle Endeavour to the International Space Station.</t>
  </si>
  <si>
    <t>ryTnDTqTrQk</t>
  </si>
  <si>
    <t>2011 05 21</t>
  </si>
  <si>
    <t>https://youtu.be/kj3BjfcJDHI</t>
  </si>
  <si>
    <t>Crews Speak with Pope Benedict XVI</t>
  </si>
  <si>
    <t>The STS-134 and Expedition 27 crews joined together in the Kibo module for a special call from Pope Benedict XVI.</t>
  </si>
  <si>
    <t>kj3BjfcJDHI</t>
  </si>
  <si>
    <t>https://youtu.be/6USwy2NdO5c</t>
  </si>
  <si>
    <t>Expedition 27  Spiders in Space</t>
  </si>
  <si>
    <t>Two golden orb spiders are delivered by the STS-134 crew to the International Space Station so researchers can observe the arachnids' habits in microgravity.</t>
  </si>
  <si>
    <t>6USwy2NdO5c</t>
  </si>
  <si>
    <t>2011 05 20</t>
  </si>
  <si>
    <t>https://youtu.be/-s71i5X90ug</t>
  </si>
  <si>
    <t>STS-134 Daily Mission Recap - Flight Day 5</t>
  </si>
  <si>
    <t>A video recap of flight day 5 of the STS-134 mission of space shuttle Endeavour to the International Space Station.</t>
  </si>
  <si>
    <t>-s71i5X90ug</t>
  </si>
  <si>
    <t>https://youtu.be/KpARJPkHo8M</t>
  </si>
  <si>
    <t>Expedition 27 Trains for Soyuz Undocking</t>
  </si>
  <si>
    <t>Expedition 27 crew members Dmitry Kondratyev, Cady Coleman and Paolo Nespoli train inside the Soyuz TMA-20 spacecraft. They are preparing for their undocking and landing in Kazakhstan planned for May 23, 2011.</t>
  </si>
  <si>
    <t>KpARJPkHo8M</t>
  </si>
  <si>
    <t>https://youtu.be/nrGNiK3vEfI</t>
  </si>
  <si>
    <t>Soyuz Flyaround Animation</t>
  </si>
  <si>
    <t>The Soyuz TMA-20 spacecraft undocks and flies around the International Space Station in this computer-generated animation shown during the May 20, 2011 STS-134 Mission Status Briefing.</t>
  </si>
  <si>
    <t>nrGNiK3vEfI</t>
  </si>
  <si>
    <t>https://youtu.be/GHuJELfSNuU</t>
  </si>
  <si>
    <t>STS-134 Daily Mission Recap - Flight Day 4</t>
  </si>
  <si>
    <t>A video recap of flight day 4 of the STS-134 mission of space shuttle Endeavour to the International Space Station.</t>
  </si>
  <si>
    <t>GHuJELfSNuU</t>
  </si>
  <si>
    <t>2011 05 19</t>
  </si>
  <si>
    <t>https://youtu.be/G7q2-dV76zc</t>
  </si>
  <si>
    <t>STS-134 Daily Mission Recap - Flight Day 3</t>
  </si>
  <si>
    <t>A video recap of flight day 3 of the STS-134 mission of space shuttle Endeavour to the International Space Station.</t>
  </si>
  <si>
    <t>G7q2-dV76zc</t>
  </si>
  <si>
    <t>2011 05 18</t>
  </si>
  <si>
    <t>https://youtu.be/19Bvj_g6XAM</t>
  </si>
  <si>
    <t>STS-134  Rendezvous Pitch Maneuver</t>
  </si>
  <si>
    <t>On May 18, 2011, space shuttle Endeavour performed the Rendezvous Pitch Maneuver, or "backflip." With Commander Mark Kelly at the helm, Endeavour rotated 360 degrees backward to enable International Space Station astronauts to take high resolution pictures of the shuttle's heat shield.</t>
  </si>
  <si>
    <t>19Bvj_g6XAM</t>
  </si>
  <si>
    <t>2011 05 17</t>
  </si>
  <si>
    <t>https://youtu.be/zkGMy1r2p5A</t>
  </si>
  <si>
    <t>STS-134 Daily Mission Recap - Flight Day 2</t>
  </si>
  <si>
    <t>A video recap of flight day 2 of the STS-134 mission of space shuttle Endeavour to the International Space Station.</t>
  </si>
  <si>
    <t>zkGMy1r2p5A</t>
  </si>
  <si>
    <t>https://youtu.be/fQRYP0U7h0w</t>
  </si>
  <si>
    <t>STS-134 Daily Mission Recap - Flight Day 1</t>
  </si>
  <si>
    <t>A video recap of flight day 1 of the STS-134 mission of space shuttle Endeavour to the International Space Station.</t>
  </si>
  <si>
    <t>fQRYP0U7h0w</t>
  </si>
  <si>
    <t>2011 05 09</t>
  </si>
  <si>
    <t>https://youtu.be/lUsNBAJ62pQ</t>
  </si>
  <si>
    <t>STORRM Overview</t>
  </si>
  <si>
    <t>A state-of-the-art relative navigation system will be demonstrated on the STS-134 mission to the International Space Station called the Sensor Test for Orion Relative Navigation Risk Mitigation or STORRM. The goal of STORRM is to validate a new relative navigation sensor based on advanced laser and detector technology that will make docking and undocking to the International Space Station and other spacecraft easier and safer. The demonstration is a test-run of the technology, and the STS-134 crew and engineers in mission control will monitor the flight data throughout the mission with specialized STORRM software.</t>
  </si>
  <si>
    <t>lUsNBAJ62pQ</t>
  </si>
  <si>
    <t>https://youtu.be/hG-bqgVRDFs</t>
  </si>
  <si>
    <t>Expedition 27 Crew Profile</t>
  </si>
  <si>
    <t>Expedition 27 is the first long-duration spaceflight for each member of the International Space Station crew.</t>
  </si>
  <si>
    <t>hG-bqgVRDFs</t>
  </si>
  <si>
    <t>https://youtu.be/HH-bFLyyrZM</t>
  </si>
  <si>
    <t>Expedition 27 Mission Overview</t>
  </si>
  <si>
    <t>Three crew members who will be aboard the International Space Station for the final flight of the space shuttle will also be on orbit to celebrate the shuttle's 30th birthday.</t>
  </si>
  <si>
    <t>HH-bFLyyrZM</t>
  </si>
  <si>
    <t>2011 04 29</t>
  </si>
  <si>
    <t>https://youtu.be/c7bs-Nhl2M8</t>
  </si>
  <si>
    <t>Expedition 27 Royal Message</t>
  </si>
  <si>
    <t>Flight Engineers Cady Coleman, Paolo Nespoli and Ron Garan send a congratulatory message to the royal couple on behalf of the Expedition 27 crew.</t>
  </si>
  <si>
    <t>c7bs-Nhl2M8</t>
  </si>
  <si>
    <t>2011 04 28</t>
  </si>
  <si>
    <t>https://youtu.be/DWT4AFuHCuU</t>
  </si>
  <si>
    <t>Views of England</t>
  </si>
  <si>
    <t>England is seen from the orbiting International Space Station.</t>
  </si>
  <si>
    <t>DWT4AFuHCuU</t>
  </si>
  <si>
    <t>2011 04 26</t>
  </si>
  <si>
    <t>https://youtu.be/NCRO3o6f01w</t>
  </si>
  <si>
    <t>Spinning Off With NASA</t>
  </si>
  <si>
    <t>The year is 1958. A top secret research project investigating the nature of quantum uncertainty splits the universe into two parallel realities—one with NASA-developed technologies, and one without. Now, two American families live against their will: one at the forefront of progress, and one in a postmodern dystopia!
Follow the Johnsons and the Andersons through an average day in their lives, and find out exactly how and why it is that space technology pioneered at every NASA center, when applied to ordinary situations, paves the way to a brighter, happier future!
To learn more about NASA spinoffs and how they affect everyday life, be sure to
check out their official website:
NASA Spinoffs Website: http://www.sti.nasa.gov/tto/
NASA Spinoffs Database: http://www.sti.nasa.gov/spinoff/database
This video was made by the interns and co-ops at NASA on their own time, with their own resources. They care deeply about America's space program, and they want to help you get more involved with NASA's activities.</t>
  </si>
  <si>
    <t>NCRO3o6f01w</t>
  </si>
  <si>
    <t>2011 04 22</t>
  </si>
  <si>
    <t>https://youtu.be/qydRiaGscE0</t>
  </si>
  <si>
    <t>Helicopter Rover Innovation Project</t>
  </si>
  <si>
    <t>This successful innovation project at the Johnson Space Center was born from some Orion engineers and then joined by engineers from other programs. The innovation teams creation can save funds and be used effectively for Orion and other NASA programs.</t>
  </si>
  <si>
    <t>qydRiaGscE0</t>
  </si>
  <si>
    <t>2011 04 21</t>
  </si>
  <si>
    <t>https://youtu.be/n8lFhaMihTg</t>
  </si>
  <si>
    <t>ISS Tour -- April 21, 2011</t>
  </si>
  <si>
    <t>Expedition 27 Flight Engineer Cady Coleman flies through the International Space Station with a high-definition video camera.</t>
  </si>
  <si>
    <t>n8lFhaMihTg</t>
  </si>
  <si>
    <t>2011 04 19</t>
  </si>
  <si>
    <t>https://youtu.be/5Z8pKpgTD7o</t>
  </si>
  <si>
    <t>A Message from Mike Suffredini Commemorating the 10th Anniversary of Canadarm2</t>
  </si>
  <si>
    <t>A message from ISS Program Manager Mike Suffredini commemorating the 10th anniversary of the launch of the station's robotic arm, Canadarm2 aboard space shuttle Endeavour on April 19, 2001.</t>
  </si>
  <si>
    <t>5Z8pKpgTD7o</t>
  </si>
  <si>
    <t>https://youtu.be/-7WgPQPU7hk</t>
  </si>
  <si>
    <t>A Message from the Expediton 27 Crew Commemorating Canadarm2's 10th Anniversary</t>
  </si>
  <si>
    <t>A message from the Expedition 27 crew commemorating the 10th anniversary of the launch of the station's robotic arm, Canadarm2 aboard space shuttle Endeavour on April 19, 2001.</t>
  </si>
  <si>
    <t>-7WgPQPU7hk</t>
  </si>
  <si>
    <t>https://youtu.be/mnVyllDIZ5k</t>
  </si>
  <si>
    <t>Alpha Magnetic Spectrometer (AMS) Overview</t>
  </si>
  <si>
    <t>The Alpha Magnetic Spectrometer (AMS) is flying to the station on STS-134. The AMS experiment is a state-of-the-art particle physics detector being operated by an international team composed of 60 institutes from 16 countries and organized under United States Department of Energy (DOE) sponsorship. The AMS Experiment will use the unique environment of space to advance knowledge of the universe and lead to the understanding of the universe's origin. The AMS is a high profile space-based particle physics experiment that is led by Nobel laureate Samuel Ting of the Massachusetts Institute of Technology (MIT).</t>
  </si>
  <si>
    <t>mnVyllDIZ5k</t>
  </si>
  <si>
    <t>2011 04 18</t>
  </si>
  <si>
    <t>https://youtu.be/QPdsPMo1qJE</t>
  </si>
  <si>
    <t>Expedition 27 Flight Engineer Ron Garan Education Message</t>
  </si>
  <si>
    <t>QPdsPMo1qJE</t>
  </si>
  <si>
    <t>https://youtu.be/bEiqPu9sT-g</t>
  </si>
  <si>
    <t>Expedition 27 Flight Engineer Cady Coleman Education Message</t>
  </si>
  <si>
    <t>bEiqPu9sT-g</t>
  </si>
  <si>
    <t>https://youtu.be/05rGa6LUAgU</t>
  </si>
  <si>
    <t>STS-134 Commander Mark Kelly Education Message</t>
  </si>
  <si>
    <t>NASA astronaut Mark Kelly talks about the importance of science, technology, engineering and math education for achieving your dreams.</t>
  </si>
  <si>
    <t>05rGa6LUAgU</t>
  </si>
  <si>
    <t>https://youtu.be/rQ-sE_vBbJI</t>
  </si>
  <si>
    <t>STS-134 Mission Specialist Andrew Feustel Education Message</t>
  </si>
  <si>
    <t>rQ-sE_vBbJI</t>
  </si>
  <si>
    <t>2011 04 15</t>
  </si>
  <si>
    <t>https://youtu.be/2MpAQ8RumX0</t>
  </si>
  <si>
    <t>STS-133 Post-Flight</t>
  </si>
  <si>
    <t>A retrospective of STS-133, the final mission of space shuttle Discovery.</t>
  </si>
  <si>
    <t>2MpAQ8RumX0</t>
  </si>
  <si>
    <t>2011 04 14</t>
  </si>
  <si>
    <t>https://youtu.be/0IuxVxfELc4</t>
  </si>
  <si>
    <t>Mission Control Center Named for Legendary Flight Director</t>
  </si>
  <si>
    <t>NASA is recognizing Christopher C. Kraft Jr., America's first human space mission flight director, by naming the Mission Control Center in his honor for his service to the nation and its space programs.
Read more here:
http://www.nasa.gov/mission_pages/shuttle/behindscenes/kraft_mcc.html</t>
  </si>
  <si>
    <t>0IuxVxfELc4</t>
  </si>
  <si>
    <t>2011 04 11</t>
  </si>
  <si>
    <t>https://youtu.be/LuK9GqhNLgI</t>
  </si>
  <si>
    <t>Meet the STS-134 Crew</t>
  </si>
  <si>
    <t>Meet the six astronauts of space shuttle Endeavour's STS-134 mission to deliver the Alpha Magnetic Spectrometer and spare parts to the International Space Station.</t>
  </si>
  <si>
    <t>LuK9GqhNLgI</t>
  </si>
  <si>
    <t>https://youtu.be/n3xWRE2OfH4</t>
  </si>
  <si>
    <t>STS-134  Legacy of Endeavour</t>
  </si>
  <si>
    <t>When Endeavour launches on NASA's 36th mission to the International Space Station, the STS-134 crew of six astronauts will begin a mission to stock the station with spare parts and a world-class stellar research instrument.</t>
  </si>
  <si>
    <t>n3xWRE2OfH4</t>
  </si>
  <si>
    <t>2011 04 07</t>
  </si>
  <si>
    <t>https://youtu.be/_1NSYrbKFQQ</t>
  </si>
  <si>
    <t>New Expedition 27 Trio Docks to Station</t>
  </si>
  <si>
    <t>The International Space Station welcomed three new flight engineers when they docked Wednesday April 6, 2011 at 7:09 p.m. EDT in the Soyuz TMA-21 spacecraft. Flight Engineers Ron Garan, Alexander Samokutyaev and Andrey Borisenko began their journey when they launched Monday at 6:18 p.m. from Baikonur Cosmodrome, Kazakhstan.</t>
  </si>
  <si>
    <t>_1NSYrbKFQQ</t>
  </si>
  <si>
    <t>2011 04 05</t>
  </si>
  <si>
    <t>https://youtu.be/n0JbyTtHWNs</t>
  </si>
  <si>
    <t>Behind the Scenes  STS-134 Crew Training</t>
  </si>
  <si>
    <t>Astronaut Mike Massimino visits the Neutral Buoyancy Laboratory near NASA's Johnson Space Center to talk to the members of the STS-134 crew of space shuttle Endeavour about their mission.</t>
  </si>
  <si>
    <t>n0JbyTtHWNs</t>
  </si>
  <si>
    <t>2011 04 04</t>
  </si>
  <si>
    <t>https://youtu.be/QN9ZxNozBvI</t>
  </si>
  <si>
    <t>Expedition 27 Launch</t>
  </si>
  <si>
    <t>NASA astronaut Ron Garan and Russian cosmonauts Andrey Borisenko and Alexander Samokutyaev launch in their Soyuz TMA-21 spacecraft from the Baikonur Cosmodrome in Kazakhstan on April 4, 2011 (April 5, Kazakhstan time).</t>
  </si>
  <si>
    <t>QN9ZxNozBvI</t>
  </si>
  <si>
    <t>2011 04 01</t>
  </si>
  <si>
    <t>https://youtu.be/Q8QbJe-_5Y0</t>
  </si>
  <si>
    <t>Endeavour Retrospective</t>
  </si>
  <si>
    <t>A retrospective look at space shuttle Endeavour.</t>
  </si>
  <si>
    <t>Q8QbJe-_5Y0</t>
  </si>
  <si>
    <t>https://youtu.be/hTkIimQux74</t>
  </si>
  <si>
    <t>Atlantis Retrospective</t>
  </si>
  <si>
    <t>A retrospective look at space shuttle Atlantis.</t>
  </si>
  <si>
    <t>hTkIimQux74</t>
  </si>
  <si>
    <t>2011 03 31</t>
  </si>
  <si>
    <t>https://youtu.be/xqBmvR9XEBI</t>
  </si>
  <si>
    <t>Behind the Scenes  STS-134 Spacewalk Training</t>
  </si>
  <si>
    <t>Astronaut Mike Massimino visits the Neutral Buoyancy Laboratory near NASA's Johnson Space Center as the STS-134 crew of space shuttle Endeavour gets ready to conduct another spacewalk training session.</t>
  </si>
  <si>
    <t>xqBmvR9XEBI</t>
  </si>
  <si>
    <t>2011 03 17</t>
  </si>
  <si>
    <t>https://youtu.be/5sr6pXaJohA</t>
  </si>
  <si>
    <t>Station Crew Unpacks Robonaut 2</t>
  </si>
  <si>
    <t>Flight Engineers Cady Coleman and Paolo Nespoli unpack the newest member of the Expedition 27 crew, Robonaut 2, the first humanoid robot in space.</t>
  </si>
  <si>
    <t>5sr6pXaJohA</t>
  </si>
  <si>
    <t>https://youtu.be/vX-5n_YcxgQ</t>
  </si>
  <si>
    <t>St. Patrick's Day Greeting From Space</t>
  </si>
  <si>
    <t>Expedition 27 Flight Engineer Cady Coleman aboard the International Space Station sends her best wishes for a happy St. Patrick's Day.</t>
  </si>
  <si>
    <t>vX-5n_YcxgQ</t>
  </si>
  <si>
    <t>https://youtu.be/1wx6rQHnaTM</t>
  </si>
  <si>
    <t>Expedition 26 Landing</t>
  </si>
  <si>
    <t>Expedition 26 Commander Scott Kelly and Flight Engineers Alexander Kaleri and Oleg Skripochka return to Earth after 159 days in space, 157 aboard the International Space Station.</t>
  </si>
  <si>
    <t>1wx6rQHnaTM</t>
  </si>
  <si>
    <t>https://youtu.be/3UiMaVPpXKk</t>
  </si>
  <si>
    <t>Scott Kelly Post-Landing Interview</t>
  </si>
  <si>
    <t>NASA astronaut Scott Kelly, who recently returned to Earth after 159 days in space, 157 aboard the International Space Station, takes a moment to talk with Rob Navias of the NASA Public Affairs Office.</t>
  </si>
  <si>
    <t>3UiMaVPpXKk</t>
  </si>
  <si>
    <t>2011 03 14</t>
  </si>
  <si>
    <t>https://youtu.be/SHrue7jV4C4</t>
  </si>
  <si>
    <t>Expedition 26 Commander Scott Kelly ceremonially hands command of the International Space Station over to Flight Engineer Dmitry Kondratyev, who will serve as Expedition 27 commander.</t>
  </si>
  <si>
    <t>SHrue7jV4C4</t>
  </si>
  <si>
    <t>2011 03 08</t>
  </si>
  <si>
    <t>https://youtu.be/xLXDRWImihA</t>
  </si>
  <si>
    <t>Big Head Todd &amp; The Monsters Live Wakeup Call</t>
  </si>
  <si>
    <t>A live performance from Big Head Todd &amp; The Monsters was the first time a shuttle crew has been awakened live from Mission Control, Houston.</t>
  </si>
  <si>
    <t>xLXDRWImihA</t>
  </si>
  <si>
    <t>https://youtu.be/4SqRQYeArpg</t>
  </si>
  <si>
    <t>STS-133 Daily Mission Recap - Flight Day 12</t>
  </si>
  <si>
    <t>A video recap of flight day 12 of the STS-133 mission of space shuttle Discovery to the International Space Station.</t>
  </si>
  <si>
    <t>4SqRQYeArpg</t>
  </si>
  <si>
    <t>2011 03 07</t>
  </si>
  <si>
    <t>https://youtu.be/m2ZugwQVtAw</t>
  </si>
  <si>
    <t>STS-133 Mission Highlights</t>
  </si>
  <si>
    <t>Space shuttle Discovery and the STS-133 crew launched Feb. 24, 2011, on a mission to deliver the Permanent Multipurpose Module, Robonaut 2 and the Express Logistics Carrier 4 to the International Space Station.  During Discovery's stay at the station, the STS-133 crew conducted two spacewalks to perform maintenance and install new components.</t>
  </si>
  <si>
    <t>m2ZugwQVtAw</t>
  </si>
  <si>
    <t>https://youtu.be/kayCLca1YMc</t>
  </si>
  <si>
    <t>STS-133 Ascent Highlights</t>
  </si>
  <si>
    <t>Space shuttle Discovery and the STS-133 crew begin the journey to the International Space Station on Feb. 24, 2011.</t>
  </si>
  <si>
    <t>kayCLca1YMc</t>
  </si>
  <si>
    <t>https://youtu.be/IiFzINiVJ48</t>
  </si>
  <si>
    <t>STS-133 Flyaround</t>
  </si>
  <si>
    <t>Space shuttle Discovery performs a flyaround of the International Space Station after undocking at 7 a.m. EST on Monday, March 7, 2011.</t>
  </si>
  <si>
    <t>IiFzINiVJ48</t>
  </si>
  <si>
    <t>https://youtu.be/tH1s7jBWKSY</t>
  </si>
  <si>
    <t>STS-133  Star Trek  Wakeup Call</t>
  </si>
  <si>
    <t>William Shatner, who played Captain James T. Kirk on the original Star Trek television series, provided a special message to the crew of space shuttle Discovery during the Flight Day 12 wakeup call.
As Alexander Courage's theme song played underneath, Shatner replaced the original television introduction with, "Space, the final frontier. These have been the voyages of the Space Shuttle Discovery. Her 30 year mission: To seek out new science. To build new outposts. To bring nations together on the final frontier. To boldly go, and do, what no spacecraft has done before."
The "Theme from Star Trek" received the second most votes in a public contest from a Top 40 list for NASA's Song Contest. The top two songs with the most votes from that list earned a slot on the list to wake Discovery's crew during its final mission. The total number of votes cast during the four-month contest for STS-133 was 2,463,774. Of that, Star Trek received 671,134 votes (27.2 percent). Shatner recorded the new, special introduction for Discovery's final voyage -- its 39th flight and 13th to the International Space Station.</t>
  </si>
  <si>
    <t>tH1s7jBWKSY</t>
  </si>
  <si>
    <t>https://youtu.be/NZVyEA25kQ4</t>
  </si>
  <si>
    <t>Fair Winds and Following Seas</t>
  </si>
  <si>
    <t>STS-133 Commander Steve Lindsey and Expedition 26 Commander Scott Kelly bid farewell as the crew of Discovery prepares to depart the International Space Station.</t>
  </si>
  <si>
    <t>NZVyEA25kQ4</t>
  </si>
  <si>
    <t>https://youtu.be/1hszj1EAsL8</t>
  </si>
  <si>
    <t>STS-133 Daily Mission Recap - Flight Day 11</t>
  </si>
  <si>
    <t>A video recap of flight day 11 of the STS-133 mission of space shuttle Discovery to the International Space Station.</t>
  </si>
  <si>
    <t>1hszj1EAsL8</t>
  </si>
  <si>
    <t>2011 03 06</t>
  </si>
  <si>
    <t>https://youtu.be/zdAE6qwV1O4</t>
  </si>
  <si>
    <t>STS-133 Daily Mission Recap - Flight Day 10</t>
  </si>
  <si>
    <t>A video recap of flight day 10 of the STS-133 mission of space shuttle Discovery to the International Space Station.</t>
  </si>
  <si>
    <t>zdAE6qwV1O4</t>
  </si>
  <si>
    <t>2011 03 05</t>
  </si>
  <si>
    <t>https://youtu.be/RlFlXFTXaV4</t>
  </si>
  <si>
    <t>STS-133 Daily Mission Recap - Flight Day 9</t>
  </si>
  <si>
    <t>A video recap of flight day 9 of the STS-133 mission of space shuttle Discovery to the International Space Station.</t>
  </si>
  <si>
    <t>RlFlXFTXaV4</t>
  </si>
  <si>
    <t>2011 03 04</t>
  </si>
  <si>
    <t>https://youtu.be/2lzH_3RDOgI</t>
  </si>
  <si>
    <t xml:space="preserve"> Face in Space  Thanks</t>
  </si>
  <si>
    <t>Discovery Commander Steve Lindsey and the rest of the STS-133 and Expedition 26 crews thank everyone for participating in NASA's "Face in Space."
Read more about "Face in Space" here: https://faceinspace.nasa.gov/index.aspx</t>
  </si>
  <si>
    <t>2lzH_3RDOgI</t>
  </si>
  <si>
    <t>https://youtu.be/C9pqhyotN7s</t>
  </si>
  <si>
    <t>STS-133 Joint Crew News Conference</t>
  </si>
  <si>
    <t>Video highlights from the Joint Crew News Conference with the STS-133 and Expedition 26 crews on March 4, 2011.</t>
  </si>
  <si>
    <t>C9pqhyotN7s</t>
  </si>
  <si>
    <t>https://youtu.be/5GjTQXbhQ6o</t>
  </si>
  <si>
    <t>Crew Looking Forward to Top Wakeup Songs</t>
  </si>
  <si>
    <t>Discovery Commander Steve Lindsey thanks everyone for voting for their favorite space shuttle wakeup songs. The crew is looking forward to hearing your selections on the last two days of Discovery's flight.
Read more about the contest here: https://songcontest.nasa.gov/</t>
  </si>
  <si>
    <t>5GjTQXbhQ6o</t>
  </si>
  <si>
    <t>https://youtu.be/XMZg34FN_fU</t>
  </si>
  <si>
    <t>STS-133 Daily Mission Recap - Flight Day 8</t>
  </si>
  <si>
    <t>A video recap of flight day 8 of the STS-133 mission of space shuttle Discovery to the International Space Station.</t>
  </si>
  <si>
    <t>XMZg34FN_fU</t>
  </si>
  <si>
    <t>2011 03 03</t>
  </si>
  <si>
    <t>https://youtu.be/McF4zcZD-rg</t>
  </si>
  <si>
    <t>STS-133 Daily Mission Recap - Flight Day 7</t>
  </si>
  <si>
    <t>A video recap of flight day 7 of the STS-133 mission of space shuttle Discovery to the International Space Station.</t>
  </si>
  <si>
    <t>McF4zcZD-rg</t>
  </si>
  <si>
    <t>2011 03 02</t>
  </si>
  <si>
    <t>https://youtu.be/jkoiu_Xpm0Q</t>
  </si>
  <si>
    <t>STS-133 Daily Mission Recap - Flight Day 6</t>
  </si>
  <si>
    <t>A video recap of flight day 6 of the STS-133 mission of space shuttle Discovery to the International Space Station.</t>
  </si>
  <si>
    <t>jkoiu_Xpm0Q</t>
  </si>
  <si>
    <t>2011 03 01</t>
  </si>
  <si>
    <t>https://youtu.be/HxSOQUqvZAk</t>
  </si>
  <si>
    <t>STS-133 Daily Mission Recap - Flight Day 5</t>
  </si>
  <si>
    <t>A video recap of flight day 5 of the STS-133 mission of space shuttle Discovery to the International Space Station.</t>
  </si>
  <si>
    <t>HxSOQUqvZAk</t>
  </si>
  <si>
    <t>2011 02 28</t>
  </si>
  <si>
    <t>https://youtu.be/z9CEgeNnKnc</t>
  </si>
  <si>
    <t>STS-133 Daily Mission Recap - Flight Day 4</t>
  </si>
  <si>
    <t>A video recap of flight day 4 of the STS-133 mission of space shuttle Discovery to the International Space Station.</t>
  </si>
  <si>
    <t>z9CEgeNnKnc</t>
  </si>
  <si>
    <t>2011 02 27</t>
  </si>
  <si>
    <t>https://youtu.be/l5Qi9LWsuis</t>
  </si>
  <si>
    <t>STS-133  Rendezvous Pitch Maneuver</t>
  </si>
  <si>
    <t>At 1:15 p.m. EST Saturday, space shuttle Discovery began the nine-minute Rendezvous Pitch Maneuver, or "backflip." With Commander Steve Lindsey at the helm, Discovery rotated 360 degrees backward to enable space station astronauts to take high resolution pictures of the shuttle's heat shield. Lindsey then flew the shuttle through a quarter circle to a position about 310 feet directly in front of the station, allowing the station to catch up with it for docking at 2:16 p.m.</t>
  </si>
  <si>
    <t>l5Qi9LWsuis</t>
  </si>
  <si>
    <t>https://youtu.be/hfOKKezrYPU</t>
  </si>
  <si>
    <t>STS-133 Daily Mission Recap - Flight Day 3</t>
  </si>
  <si>
    <t>A video recap of flight day 3 of the STS-133 mission of space shuttle Discovery to the International Space Station.</t>
  </si>
  <si>
    <t>hfOKKezrYPU</t>
  </si>
  <si>
    <t>2011 02 26</t>
  </si>
  <si>
    <t>https://youtu.be/yRqUPjl3tTQ</t>
  </si>
  <si>
    <t>International Space Station Assembly</t>
  </si>
  <si>
    <t>This annotated animation details the assembly of the International Space Station, from the launch of the first segment in 1998 to today and beyond.
HD download link: https://archive.org/details/International-Space-Station-Assembly</t>
  </si>
  <si>
    <t>yRqUPjl3tTQ</t>
  </si>
  <si>
    <t>https://youtu.be/eyWbZja2yaY</t>
  </si>
  <si>
    <t>Discovery Performs Terminal Initiation Burn</t>
  </si>
  <si>
    <t>The terminal initiation burn, a left Orbital Maneuvering System engine firing that gave Discovery one last big push toward the space station, took place Feb. 26, 2011 at 10:33 a.m. The burn lasted 11 seconds.</t>
  </si>
  <si>
    <t>eyWbZja2yaY</t>
  </si>
  <si>
    <t>https://youtu.be/JCX6cF_quDQ</t>
  </si>
  <si>
    <t>STS-133 Daily Mission Recap - Flight Day 2</t>
  </si>
  <si>
    <t>A video recap of flight day 2 of the STS-133 mission of space shuttle Discovery to the International Space Station.</t>
  </si>
  <si>
    <t>JCX6cF_quDQ</t>
  </si>
  <si>
    <t>2011 02 25</t>
  </si>
  <si>
    <t>https://youtu.be/Ti0T6A2FZf4</t>
  </si>
  <si>
    <t>STS-133 Daily Mission Recap - Flight Day 1</t>
  </si>
  <si>
    <t>A video recap of flight day 1 of the STS-133 mission of space shuttle Discovery to the International Space Station.</t>
  </si>
  <si>
    <t>Ti0T6A2FZf4</t>
  </si>
  <si>
    <t>2011 02 15</t>
  </si>
  <si>
    <t>https://youtu.be/QuaIlMfB0TY</t>
  </si>
  <si>
    <t>Flight Engineer Cady Coleman Gives Station Tour</t>
  </si>
  <si>
    <t>Flight Engineer Cady Coleman takes us on a video tour of the International Space Station as she collects various items needed to perform a Kids In Micro-g experiment.</t>
  </si>
  <si>
    <t>QuaIlMfB0TY</t>
  </si>
  <si>
    <t>https://youtu.be/8SjOMacHxcM</t>
  </si>
  <si>
    <t>Kelly Brothers Interview Part 8</t>
  </si>
  <si>
    <t>Astronauts and brothers Scott and Mark Kelly are interviewed before their missions. Scott Kelly (left) will be Expedition 26 Commander and Mark will be the STS-134 Commander.</t>
  </si>
  <si>
    <t>8SjOMacHxcM</t>
  </si>
  <si>
    <t>https://youtu.be/UJRN5wWPlJc</t>
  </si>
  <si>
    <t>Kelly Brothers Interview Part 7</t>
  </si>
  <si>
    <t>UJRN5wWPlJc</t>
  </si>
  <si>
    <t>https://youtu.be/LNgJnakv8WU</t>
  </si>
  <si>
    <t>Kelly Brothers Interview Part 6</t>
  </si>
  <si>
    <t>LNgJnakv8WU</t>
  </si>
  <si>
    <t>https://youtu.be/p1bpO9zAekk</t>
  </si>
  <si>
    <t>Kelly Brothers Interview Part 5</t>
  </si>
  <si>
    <t>p1bpO9zAekk</t>
  </si>
  <si>
    <t>https://youtu.be/ILAw6cjDCxQ</t>
  </si>
  <si>
    <t>Kelly Brothers Interview Part 4</t>
  </si>
  <si>
    <t>ILAw6cjDCxQ</t>
  </si>
  <si>
    <t>2011 02 14</t>
  </si>
  <si>
    <t>https://youtu.be/sdUUoUqn484</t>
  </si>
  <si>
    <t>Kelly Brothers Interview Part 3</t>
  </si>
  <si>
    <t>sdUUoUqn484</t>
  </si>
  <si>
    <t>https://youtu.be/jL6aLbt7tpQ</t>
  </si>
  <si>
    <t>Kelly Brothers Interview Part 2</t>
  </si>
  <si>
    <t>jL6aLbt7tpQ</t>
  </si>
  <si>
    <t>https://youtu.be/0n5p-wwgQM4</t>
  </si>
  <si>
    <t>Kelly Brothers Interview Part 1</t>
  </si>
  <si>
    <t>0n5p-wwgQM4</t>
  </si>
  <si>
    <t>2011 02 11</t>
  </si>
  <si>
    <t>https://youtu.be/02DB0z6Eino</t>
  </si>
  <si>
    <t>We Choose Space</t>
  </si>
  <si>
    <t>Deanna Hausman, Beckendorff Jr. High</t>
  </si>
  <si>
    <t>02DB0z6Eino</t>
  </si>
  <si>
    <t>https://youtu.be/el3-gLxFXjI</t>
  </si>
  <si>
    <t xml:space="preserve">Why Should the United States Explore Space </t>
  </si>
  <si>
    <t>Nicole Lewis and Lauren Gray, Bauerschlag Elementary</t>
  </si>
  <si>
    <t>el3-gLxFXjI</t>
  </si>
  <si>
    <t>https://youtu.be/J5y4qF3MgzY</t>
  </si>
  <si>
    <t>Generation's Dreams</t>
  </si>
  <si>
    <t>Manjot Singh Jawa, Jersey Village High School</t>
  </si>
  <si>
    <t>J5y4qF3MgzY</t>
  </si>
  <si>
    <t>2011 02 10</t>
  </si>
  <si>
    <t>https://youtu.be/_e2TCdbbo-I</t>
  </si>
  <si>
    <t>ATV2 Interview with Michael Suffredini</t>
  </si>
  <si>
    <t>International Space Station Manager Michael Suffredini answers questions about the European Space Agency's second Automated Transfer Vehicle (ATV2), Johannes Kepler, set to launch from a launch pad near Kourou, French Guiana, on Feb. 15, 2011.</t>
  </si>
  <si>
    <t>_e2TCdbbo-I</t>
  </si>
  <si>
    <t>2011 02 09</t>
  </si>
  <si>
    <t>https://youtu.be/A9uBPwP7DQc</t>
  </si>
  <si>
    <t>A Flute on the Space Station</t>
  </si>
  <si>
    <t>Expedition 26 Flight Engineer Cady Coleman demonstrates playing the flute on the International Space Station during an interview with National Public Radio's "All Things Considered."</t>
  </si>
  <si>
    <t>A9uBPwP7DQc</t>
  </si>
  <si>
    <t>2011 02 05</t>
  </si>
  <si>
    <t>https://youtu.be/AnM1jSW7YEE</t>
  </si>
  <si>
    <t>Mark Kelly Resumes Training To Command STS-134</t>
  </si>
  <si>
    <t>Video highlights from the Feb. 4, 2011 news briefing discussing STS-134 Commander Mark Kelly's return to training for the mission.</t>
  </si>
  <si>
    <t>AnM1jSW7YEE</t>
  </si>
  <si>
    <t>2011 01 30</t>
  </si>
  <si>
    <t>https://youtu.be/QmIg4nWuJUY</t>
  </si>
  <si>
    <t>The ISS Progress 41 Docks</t>
  </si>
  <si>
    <t>The ISS Progress 41 cargo craft docked to the station's Pirs docking compartment Saturday, Jan. 29, 2011, at 9:39 p.m. EST.</t>
  </si>
  <si>
    <t>QmIg4nWuJUY</t>
  </si>
  <si>
    <t>2011 01 28</t>
  </si>
  <si>
    <t>https://youtu.be/ERoS9cIjo_Y</t>
  </si>
  <si>
    <t>Jan. 27, 2011 Day of Remembrance</t>
  </si>
  <si>
    <t>On Jan. 27, 2011, Johnson Space Center paused to remember all fallen astronauts, including the crews of Apollo 1, Challenger and Columbia, with a T-38 flyover and a moment of silence.</t>
  </si>
  <si>
    <t>ERoS9cIjo_Y</t>
  </si>
  <si>
    <t>2011 01 11</t>
  </si>
  <si>
    <t>https://youtu.be/RycINq8cgAw</t>
  </si>
  <si>
    <t>Russian Prime Minister Calls the Station Crew at Start of Historic Year</t>
  </si>
  <si>
    <t>Russian Prime Minister Vladimir Putin discussed life and work aboard the International Space Station with the Expedition 26 crew during a call to the six crew members from the Russian Mission Control Center in Korolev, Russia, on Jan. 11, 2011. Mr. Putin was in the control center outside Moscow chairing a commission involved in formulating commemorative events to honor the 50th anniversary of the launch on April 12, 1961, of Russian cosmonaut Yuri Gagarin as the first human in space.  Putin also offered his condolences to ISS Commander Scott Kelly for the tragedy in Tucson and assured Kelly "all Russians were touched by the news." Putin expressed his best wishes and prayers to Kelly's brother, Mark, and the recovery of Mark's wife, Congresswoman Gabrielle Giffords.</t>
  </si>
  <si>
    <t>RycINq8cgAw</t>
  </si>
  <si>
    <t>2011 01 07</t>
  </si>
  <si>
    <t>https://youtu.be/ioDZ4Eb5lAc</t>
  </si>
  <si>
    <t>International Space Station L.A.B.S. Video</t>
  </si>
  <si>
    <t>The 2010 JSC team of NASA's leadership development program, the Foundations of Influence, Relationships, Success and Teamwork (FIRST),  spent part of their year producing an ISS-themed educational outreach program for 5th to 8th grade students.   The International Space Station Learning, Achieving, Believing and Succeeding (L.A.B.S.) project highlights real-world application of Science, Technology, Engineering and Math (STEM) on the ISS and seeks to engage and encourage students to pursue technical fields of study.  The educational program includes an educator guide with eight STEM lessons, a STEM on Station themed digital learning network program, and an inspirational video.  This video outlines some of the reasons the FIRST team were inspired to join NASA and motivates students to set and achieve their own academic ambitions.</t>
  </si>
  <si>
    <t>ioDZ4Eb5lAc</t>
  </si>
  <si>
    <t>2010 12 30</t>
  </si>
  <si>
    <t>https://youtu.be/PLmc6CJQwLM</t>
  </si>
  <si>
    <t>Dining on the Space Station</t>
  </si>
  <si>
    <t>Expedition 26 Commander Scott Kelly provides a look at food and beverages aboard the International Space Station.</t>
  </si>
  <si>
    <t>PLmc6CJQwLM</t>
  </si>
  <si>
    <t>2010 12 21</t>
  </si>
  <si>
    <t>https://youtu.be/gsnVQQYAra4</t>
  </si>
  <si>
    <t>Expedition 26 Holiday Message</t>
  </si>
  <si>
    <t>The Expedition 26 crew sends holiday greetings to Earth from the International Space Station.</t>
  </si>
  <si>
    <t>gsnVQQYAra4</t>
  </si>
  <si>
    <t>2010 12 17</t>
  </si>
  <si>
    <t>https://youtu.be/oES5TmudhX8</t>
  </si>
  <si>
    <t>Expedition 26 Docks to the Station</t>
  </si>
  <si>
    <t>New Expedition 26 crew members Dmitry Kondratyev, Catherine Coleman and Paolo Nespoli docked to the Rassvet mini-research module Friday, Dec. 15, 2010, at 3:11 p.m. EST. They launched Wednesday on the Soyuz TMA-20 spacecraft from Baikonur Cosmodrome, Kazakhstan at 2:09 p.m. (1:09 a.m. Thursday, Baikonur time). After a two-day ride to the orbiting laboratory the new flight engineers will begin a five-month stay until May 2011.</t>
  </si>
  <si>
    <t>oES5TmudhX8</t>
  </si>
  <si>
    <t>https://youtu.be/YxImeOomkUk</t>
  </si>
  <si>
    <t>Working Out Aboard the Space Station</t>
  </si>
  <si>
    <t>Expedition 26 Commander Scott Kelly demonstrates the Advanced Resistive Exercise Device, or ARED, which is one of the machines available to the International Space Station crew members for their daily exercise regimen to counteract the loss of bone and muscle mass that occurs during long-term spaceflight.</t>
  </si>
  <si>
    <t>YxImeOomkUk</t>
  </si>
  <si>
    <t>2010 12 15</t>
  </si>
  <si>
    <t>https://youtu.be/saOezFOhmY4</t>
  </si>
  <si>
    <t>Expedition 26 Launch</t>
  </si>
  <si>
    <t>A new trio of Expedition 26 flight engineers blasted off Wednesday from the Baikonur Cosmodrome in Kazakhstan, Dec. 15, 2010, at 2:09 p.m. EST (1:09 a.m. Thursday, Baikonur time).</t>
  </si>
  <si>
    <t>saOezFOhmY4</t>
  </si>
  <si>
    <t>2010 12 06</t>
  </si>
  <si>
    <t>https://youtu.be/Q4dG9vSyUFQ</t>
  </si>
  <si>
    <t>At Home with Commander Scott Kelly</t>
  </si>
  <si>
    <t>Expedition 26 Commander Scott Kelly gives a tour of his personal living quarters aboard the International Space Station's facilities.</t>
  </si>
  <si>
    <t>Q4dG9vSyUFQ</t>
  </si>
  <si>
    <t>2010 11 30</t>
  </si>
  <si>
    <t>https://youtu.be/2bHzaDU93sc</t>
  </si>
  <si>
    <t>ISS Crew Talks With Texas School for the Deaf</t>
  </si>
  <si>
    <t>The Expedition 24 crew members talk with students from the Texas School for the Deaf.</t>
  </si>
  <si>
    <t>2bHzaDU93sc</t>
  </si>
  <si>
    <t>2010 11 15</t>
  </si>
  <si>
    <t>https://youtu.be/U54RMrBK9vU</t>
  </si>
  <si>
    <t>Window on the World</t>
  </si>
  <si>
    <t>Expedition 26 Commander Scott Kelly shows off the International Space Station's observation deck known as the cupola.</t>
  </si>
  <si>
    <t>U54RMrBK9vU</t>
  </si>
  <si>
    <t>2010 10 29</t>
  </si>
  <si>
    <t>https://youtu.be/T5eJYwktSmE</t>
  </si>
  <si>
    <t>Robonaut 2  Getting Packed for Space Flight</t>
  </si>
  <si>
    <t>Robonaut 2 gets packed for the trip to space in this time-lapse video.</t>
  </si>
  <si>
    <t>T5eJYwktSmE</t>
  </si>
  <si>
    <t>https://youtu.be/yMFlSAlBDRc</t>
  </si>
  <si>
    <t>NASA to Launch R2 to Join Space Station Crew</t>
  </si>
  <si>
    <t>NASA will launch the first human-like robot to space this year to become a permanent resident of the International Space Station. Robonaut 2, or R2, was developed jointly by NASA and General Motors under a cooperative agreement to develop a robotic assistant that can work alongside humans, whether they are astronauts in space or workers at GM manufacturing plants on Earth.</t>
  </si>
  <si>
    <t>yMFlSAlBDRc</t>
  </si>
  <si>
    <t>2010 10 10</t>
  </si>
  <si>
    <t>https://youtu.be/ZR55a8msWsw</t>
  </si>
  <si>
    <t>Soyuz TMA-01M Docks to Station</t>
  </si>
  <si>
    <t>After a two-day journey aboard the Soyuz TMA-01M spacecraft three new Expedition 25 crew members arrived at the International Space Station and docked to the Poisk module at 8:01 p.m. EDT on Oct. 9, 2010.</t>
  </si>
  <si>
    <t>ZR55a8msWsw</t>
  </si>
  <si>
    <t>2010 09 17</t>
  </si>
  <si>
    <t>https://youtu.be/71y8fsYTnpI</t>
  </si>
  <si>
    <t>Hurricane Karl</t>
  </si>
  <si>
    <t>The International Space Station flies over Hurricane Karl as it reaches the western coast of Mexico near Veracruz on Friday, Sept. 17.</t>
  </si>
  <si>
    <t>71y8fsYTnpI</t>
  </si>
  <si>
    <t>2010 09 10</t>
  </si>
  <si>
    <t>https://youtu.be/b8AEuJpuFwk</t>
  </si>
  <si>
    <t>Station Resupply Ship Launches</t>
  </si>
  <si>
    <t>The ISS Progress 39 cargo craft launched to the International Space Station from the Baikonur Cosmodrome in Kazakhstan at 6:22 a.m. EDT Friday, Sept. 9, 2010.</t>
  </si>
  <si>
    <t>b8AEuJpuFwk</t>
  </si>
  <si>
    <t>2010 09 08</t>
  </si>
  <si>
    <t>https://youtu.be/2tJe8pKX4aY</t>
  </si>
  <si>
    <t>Interview with Scott and Mark Kelly (PART 3)</t>
  </si>
  <si>
    <t>Astronauts and brothers Scott and Mark Kelly are interviewed before their missions. Scott Kelly (left) will be Expedition 26 Commander and Mark will be the STS-134 Commander. The two brothers may meet in space when space shuttle Endeavour docks to the International Space Station in early 2011.</t>
  </si>
  <si>
    <t>2tJe8pKX4aY</t>
  </si>
  <si>
    <t>https://youtu.be/8jl8qmQ1Fzw</t>
  </si>
  <si>
    <t>Interview with Scott and Mark Kelly (PART 5)</t>
  </si>
  <si>
    <t>8jl8qmQ1Fzw</t>
  </si>
  <si>
    <t>https://youtu.be/PNaW0kSRots</t>
  </si>
  <si>
    <t>Interview with Scott and Mark Kelly (PART 4)</t>
  </si>
  <si>
    <t>PNaW0kSRots</t>
  </si>
  <si>
    <t>https://youtu.be/4HVWIlHzqgI</t>
  </si>
  <si>
    <t>Interview with Scott and Mark Kelly (PART 6)</t>
  </si>
  <si>
    <t>4HVWIlHzqgI</t>
  </si>
  <si>
    <t>https://youtu.be/xElnWh4drB4</t>
  </si>
  <si>
    <t>Interview with Scott and Mark Kelly (PART 2)</t>
  </si>
  <si>
    <t>xElnWh4drB4</t>
  </si>
  <si>
    <t>https://youtu.be/gsn0rAMpFlI</t>
  </si>
  <si>
    <t>Interview with Scott and Mark Kelly (PART 1)</t>
  </si>
  <si>
    <t>gsn0rAMpFlI</t>
  </si>
  <si>
    <t>2010 07 15</t>
  </si>
  <si>
    <t>https://youtu.be/SKDsLItyoWI</t>
  </si>
  <si>
    <t>Orion Progress - Spring 2010</t>
  </si>
  <si>
    <t>NASA and contractor teams are designing, building and testing the next generation human spacecraft Orion. Progress on Orion is highlighted by employees working on the project, along with video of the successful flight test of the launch abort system, called Pad Abort 1, and the construction of a crew module that will be used in flight-like environment testing on the ground.</t>
  </si>
  <si>
    <t>SKDsLItyoWI</t>
  </si>
  <si>
    <t>2010 06 22</t>
  </si>
  <si>
    <t>https://youtu.be/ApHRaGTGgwI</t>
  </si>
  <si>
    <t>ESPN Interview with Tracy Caldwell Dyson</t>
  </si>
  <si>
    <t>ESPN interview with Tracy Caldwell Dyson discussing the World Cup on June 11, 2010.</t>
  </si>
  <si>
    <t>ApHRaGTGgwI</t>
  </si>
  <si>
    <t>2010 05 25</t>
  </si>
  <si>
    <t>https://youtu.be/Ji-jSN402Qs</t>
  </si>
  <si>
    <t>STS-132 Mission Video Highlights</t>
  </si>
  <si>
    <t>Highlights of Atlantis' STS-132 mission to the International Space Station are presented in images and video.</t>
  </si>
  <si>
    <t>Ji-jSN402Qs</t>
  </si>
  <si>
    <t>https://youtu.be/mitoR2I7P_o</t>
  </si>
  <si>
    <t>STS-132 Ascent Highlights</t>
  </si>
  <si>
    <t>Space shuttle Atlantis and the STS-132 crew begin the journey to the International Space Station on May 14, 2010.</t>
  </si>
  <si>
    <t>mitoR2I7P_o</t>
  </si>
  <si>
    <t>https://youtu.be/FN9yr-pBP4M</t>
  </si>
  <si>
    <t>The Window Observational Research Facility on the International Space Station (PART 2)</t>
  </si>
  <si>
    <t>This is part 2 of 2 of a video that describes the remote sensing capabilities of the International Space Station (ISS) utilizing the United States Laboratory "Destiny" module science window and the Window Observational Research Facility (WORF). The Lab Window is the highest optical quality window ever installed on a manned space vehicle and permits the use of high resolution cameras and multi and hyper-spectral Earth science remote sensing instruments from within the pressurized volume of the ISS which eliminates the expense and complexity of having to operate an instrument outside of the ISS in the vacuum of space at extreme temperatures. The WORF provides the stable platform on which to mount cameras and sensors at the Lab Window as well as the connectivity to operate these payloads. The video is hosted by Astronaut and Lab Window/WORF developer Mario Runco who flew three Space Shuttle missions, STS-44, 54, &amp; 77.</t>
  </si>
  <si>
    <t>FN9yr-pBP4M</t>
  </si>
  <si>
    <t>https://youtu.be/5AAGiMPMwqI</t>
  </si>
  <si>
    <t>The Window Observational Research Facility on the International Space Station (PART 1)</t>
  </si>
  <si>
    <t>This is part 1 of 2 of a video that describes the remote sensing capabilities of the International Space Station (ISS) utilizing the United States Laboratory "Destiny" module science window and the Window Observational Research Facility (WORF). The Lab Window is the highest optical quality window ever installed on a manned space vehicle and permits the use of high resolution cameras and multi and hyper-spectral Earth science remote sensing instruments from within the pressurized volume of the ISS which eliminates the expense and complexity of having to operate an instrument outside of the ISS in the vacuum of space at extreme temperatures. The WORF provides the stable platform on which to mount cameras and sensors at the Lab Window as well as the connectivity to operate these payloads. The video is hosted by Astronaut and Lab Window/WORF developer Mario Runco who flew three Space Shuttle missions, STS-44, 54, &amp; 77.</t>
  </si>
  <si>
    <t>5AAGiMPMwqI</t>
  </si>
  <si>
    <t>2010 05 23</t>
  </si>
  <si>
    <t>https://youtu.be/g5Cz7wpidPg</t>
  </si>
  <si>
    <t>STS-132 Flyaround</t>
  </si>
  <si>
    <t>Space shuttle Atlantis performs a flyaround of the International Space Station after undocking at 11:22 a.m. EDT on Sunday, May 23, 2010.</t>
  </si>
  <si>
    <t>g5Cz7wpidPg</t>
  </si>
  <si>
    <t>2010 05 04</t>
  </si>
  <si>
    <t>https://youtu.be/XNFDY-DcXDs</t>
  </si>
  <si>
    <t>The Road to Pad Abort 1</t>
  </si>
  <si>
    <t>At the White Sands Missile Range in Las Cruces, N.M., engineers and technicians are preparing for the Pad Abort 1 flight test. The Launch Abort System is a sophisticated new rocket tower designed to pull a spacecraft away from danger on the pad and initial ascent.  For the first time, all the components of the system will work together.  The test not only develops core technology needed for future spacecraft, but also directly improves the chances of crew survival in an emergency.</t>
  </si>
  <si>
    <t>XNFDY-DcXDs</t>
  </si>
  <si>
    <t>2010 05 03</t>
  </si>
  <si>
    <t>https://youtu.be/ofii_P7XS_E</t>
  </si>
  <si>
    <t>STS-132 Mission Overview</t>
  </si>
  <si>
    <t>Atlantis 12-day mission will deliver the Russian-built Mini Research Module-1 that will provide additional storage space and a new docking port for Russian Soyuz and Progress spacecraft. MRM-1, also known as Rassvet, which means dawn in Russian, will be permanently attached to the bottom port of the stations Zarya module. MRM-1 will carry important hardware on its exterior including a radiator, airlock and a European robotic arm. Atlantis also will deliver additional station hardware stored inside a cargo carrier. Three spacewalks are planned to stage spare components outside the station, including six spare batteries, a Ku-band antenna and spare parts for the Canadian Dextre robotic arm. Shuttle mission STS-132 is the final scheduled
flight for Atlantis.</t>
  </si>
  <si>
    <t>ofii_P7XS_E</t>
  </si>
  <si>
    <t>2010 04 19</t>
  </si>
  <si>
    <t>https://youtu.be/f9TLiR0LbGY</t>
  </si>
  <si>
    <t>STS-131 Mission Video Highlights</t>
  </si>
  <si>
    <t>Highlights of space shuttle Discovery's mission to the International Space Station are presented in images and video.</t>
  </si>
  <si>
    <t>f9TLiR0LbGY</t>
  </si>
  <si>
    <t>2010 04 16</t>
  </si>
  <si>
    <t>https://youtu.be/qFWZERMNC1k</t>
  </si>
  <si>
    <t>STS-131 Ascent Highlights</t>
  </si>
  <si>
    <t>Space shuttle Discovery and the STS-131 crew begin the journey to the International Space Station on April 5, 2010.</t>
  </si>
  <si>
    <t>qFWZERMNC1k</t>
  </si>
  <si>
    <t>2010 04 07</t>
  </si>
  <si>
    <t>https://youtu.be/Kl1X4lcl9c0</t>
  </si>
  <si>
    <t>Station Crew Welcomes STS-131</t>
  </si>
  <si>
    <t>The Expedition 23 crew welcomes the STS-131 crew aboard the International Space Station.</t>
  </si>
  <si>
    <t>Kl1X4lcl9c0</t>
  </si>
  <si>
    <t>https://youtu.be/5AlBhxYKRLw</t>
  </si>
  <si>
    <t>STS-131 Rendezvous Pitch Maneuver</t>
  </si>
  <si>
    <t>Discovery performs the Rendezvous Pitch Maneuver before docking to the International Space Station during the STS-131 mission.</t>
  </si>
  <si>
    <t>5AlBhxYKRLw</t>
  </si>
  <si>
    <t>2010 03 23</t>
  </si>
  <si>
    <t>https://youtu.be/9MYHb2u6yGc</t>
  </si>
  <si>
    <t>The NASA Intern Experience (with help from a space suit technician)</t>
  </si>
  <si>
    <t>These are the stories of REAL interns working at NASA's Johnson Space Center. But to tell everyone about their amazing experiences, we needed a little help....
Although they may work on trajectories, structures, hypersonic fluid flow, rocket engines, robots, or space suits during the day, the co-ops at NASA are more than just engineers. They are more than mere nerds. They are ambassadors to their generation for NASA. They can sing. They can dance. They can even rap (OK, not really). These videos were made by the co-ops at NASA on their own time, with their own resources. They care deeply about America's space program, and they want to help you get more involved with NASA's activities.</t>
  </si>
  <si>
    <t>9MYHb2u6yGc</t>
  </si>
  <si>
    <t>2010 03 15</t>
  </si>
  <si>
    <t>https://youtu.be/xa-VwQczPrE</t>
  </si>
  <si>
    <t>The NASA Intern Experience (with help from a Food Lab scientist)</t>
  </si>
  <si>
    <t>xa-VwQczPrE</t>
  </si>
  <si>
    <t>2010 03 08</t>
  </si>
  <si>
    <t>https://youtu.be/Kpvrr11rF3U</t>
  </si>
  <si>
    <t>The NASA Intern Experience (with help from a flight director)</t>
  </si>
  <si>
    <t>Kpvrr11rF3U</t>
  </si>
  <si>
    <t>2010 02 26</t>
  </si>
  <si>
    <t>https://youtu.be/2kVjsS0O22U</t>
  </si>
  <si>
    <t>The NASA Intern Experience (with help from an astronaut)</t>
  </si>
  <si>
    <t>2kVjsS0O22U</t>
  </si>
  <si>
    <t>2010 02 20</t>
  </si>
  <si>
    <t>https://youtu.be/BmWlftaQFP8</t>
  </si>
  <si>
    <t>STS-130 Flyaround  -- Views of the Space Shuttle</t>
  </si>
  <si>
    <t>Cameras from the International Space Station videotaped space shuttle Endeavour during a flyaround after undocking Friday, Feb.19, 2010 at 7:54 p.m. EST.</t>
  </si>
  <si>
    <t>BmWlftaQFP8</t>
  </si>
  <si>
    <t>https://youtu.be/NK-szgxCqx0</t>
  </si>
  <si>
    <t>STS-130 Flyaround  -- Views of the International Space Station</t>
  </si>
  <si>
    <t>Space shuttle Endeavour astronauts videotaped the International Space Station during a flyaround after undocking Friday, Feb.19, 2010 at 7:54 p.m. EST.</t>
  </si>
  <si>
    <t>NK-szgxCqx0</t>
  </si>
  <si>
    <t>2010 02 19</t>
  </si>
  <si>
    <t>https://youtu.be/EPzL4latdmk</t>
  </si>
  <si>
    <t>STS-130 Mission Video Highlights</t>
  </si>
  <si>
    <t>Highlights of space shuttle Endeavour's mission to the International Space Station are presented in images and video.</t>
  </si>
  <si>
    <t>EPzL4latdmk</t>
  </si>
  <si>
    <t>2010 02 18</t>
  </si>
  <si>
    <t>https://youtu.be/VEDLASr3QN0</t>
  </si>
  <si>
    <t>STS-130 Ascent Highlights</t>
  </si>
  <si>
    <t>Space shuttle Endeavour and the STS-130 crew begin the journey to the International Space Station on Feb. 8, 2010.</t>
  </si>
  <si>
    <t>VEDLASr3QN0</t>
  </si>
  <si>
    <t>2010 02 13</t>
  </si>
  <si>
    <t>https://youtu.be/ZPA4OEsUCPk</t>
  </si>
  <si>
    <t>STS-130 Twitter Event</t>
  </si>
  <si>
    <t>Mission Specialists Nicholas Patrick and Robert Behnken participate in a Twitter event with spacecraft communicator Michael Massimino.</t>
  </si>
  <si>
    <t>ZPA4OEsUCPk</t>
  </si>
  <si>
    <t>2010 02 10</t>
  </si>
  <si>
    <t>https://youtu.be/LIyANs-h__Q</t>
  </si>
  <si>
    <t>STS-130 RPM Maneuver</t>
  </si>
  <si>
    <t>Space shuttle Endeavour with the STS-130 crew performs the rendezvous pitch maneuver, or back flip, prior to docking to the International Space Station. The Expedition 22 crew members took photographs of the shuttle's heat shield during Endeavour's back flip. The photos were sent down to Earth for analysis.</t>
  </si>
  <si>
    <t>LIyANs-h__Q</t>
  </si>
  <si>
    <t>2010 02 03</t>
  </si>
  <si>
    <t>https://youtu.be/1nk3QB3g7dk</t>
  </si>
  <si>
    <t>STS-130 Mission Overview</t>
  </si>
  <si>
    <t>STS-130 mission overview animation depicting mission events from heat shield surveys, approach, rendezvous pitch maneuver, docking, tranquility installation, spacewalks, undocking and late inspection.</t>
  </si>
  <si>
    <t>1nk3QB3g7dk</t>
  </si>
  <si>
    <t>2010 01 29</t>
  </si>
  <si>
    <t>https://youtu.be/sI8ldDyr3G0</t>
  </si>
  <si>
    <t>Space Station Reboost</t>
  </si>
  <si>
    <t>Astronaut Jeff Williams demonstrates the acceleration experienced inside the cabin during a planned International Space Station reboost on January 24, 2010.  The ISS is reboosted periodically to maintain its orbit, and to prepare for visiting spacecraft, such as the space shuttle and Progress vehicles.</t>
  </si>
  <si>
    <t>sI8ldDyr3G0</t>
  </si>
  <si>
    <t>2010 01 27</t>
  </si>
  <si>
    <t>https://youtu.be/17Lt0qCxtvs</t>
  </si>
  <si>
    <t>Astronaut Jeff Williams Answers More of Your Questions</t>
  </si>
  <si>
    <t>Expedition 22 Commander Jeff Williams, aboard the International Space Station 220 miles above Earth, responds to your questions.  This time he explains the flashes of light that astronauts sometimes "see" when they close their eyes.  He also talks about what it's like spending six months aboard the space station.</t>
  </si>
  <si>
    <t>17Lt0qCxtvs</t>
  </si>
  <si>
    <t>https://youtu.be/rU2IrjRidvc</t>
  </si>
  <si>
    <t>Astronaut Jeff Williams Answers Your Questions</t>
  </si>
  <si>
    <t>Expedition 22 Commander Jeff Williams, aboard the International Space Station 220 miles above Earth, responds to your questions. Here he explains why the station re-orients itself when the shuttle is docked to it.  He also talks about the recent Monarch butterfly experiment.</t>
  </si>
  <si>
    <t>rU2IrjRidvc</t>
  </si>
  <si>
    <t>2010 01 26</t>
  </si>
  <si>
    <t>https://youtu.be/313FjEI1kvQ</t>
  </si>
  <si>
    <t>Astronauts Access Web From Space</t>
  </si>
  <si>
    <t>Aboard the International Space Station, Expedition 22 Commander Jeff Williams and Flight Engineers Soichi Noguchi and T.J. Creamer share their thoughts about Internet access from space and post a real-time "tweet" on Twitter.</t>
  </si>
  <si>
    <t>313FjEI1kvQ</t>
  </si>
  <si>
    <t>2009 12 21</t>
  </si>
  <si>
    <t>https://youtu.be/rELAhnWG98U</t>
  </si>
  <si>
    <t>Constellation Year in Review 2009</t>
  </si>
  <si>
    <t>A recap of the major events in the Constellation program for 2009</t>
  </si>
  <si>
    <t>rELAhnWG98U</t>
  </si>
  <si>
    <t>2009 12 16</t>
  </si>
  <si>
    <t>https://youtu.be/_hR7dcPWW2c</t>
  </si>
  <si>
    <t>In This Orbital Outpost...We Are the Experiment</t>
  </si>
  <si>
    <t>Astronaut Jeff Williams mounts two HD camcorders together and gives an interesting perspective flying through the International Space Station (ISS).  Williams is commander for Expedition 22 aboard the ISS.</t>
  </si>
  <si>
    <t>_hR7dcPWW2c</t>
  </si>
  <si>
    <t>2009 12 02</t>
  </si>
  <si>
    <t>https://youtu.be/ewLLBalvehg</t>
  </si>
  <si>
    <t>STS-129 Ascent Highlights</t>
  </si>
  <si>
    <t>Space shuttle Atlantis ascent highlights from the STS-129 mission to the International Space Station.</t>
  </si>
  <si>
    <t>ewLLBalvehg</t>
  </si>
  <si>
    <t>2009 12 01</t>
  </si>
  <si>
    <t>https://youtu.be/WN0dIloI2yA</t>
  </si>
  <si>
    <t>Expedition 21 Undocking</t>
  </si>
  <si>
    <t>The Soyuz TMA-15 spacecraft carrying Expedition 21 Flight Engineer and Soyuz Commander Roman Romanenko, European Space Agency Flight Engineer Frank De Winne and Canadian Space Agency Flight Engineer Robert Thirsk undocks from the International Space Station.</t>
  </si>
  <si>
    <t>WN0dIloI2yA</t>
  </si>
  <si>
    <t>2009 11 25</t>
  </si>
  <si>
    <t>https://youtu.be/C4vncl39wuw</t>
  </si>
  <si>
    <t>STS-129 Space Shuttle Atlantis ISS Fly Around</t>
  </si>
  <si>
    <t>Space shuttle Atlantis flies around the International Space Station after undocking.</t>
  </si>
  <si>
    <t>C4vncl39wuw</t>
  </si>
  <si>
    <t>2009 11 12</t>
  </si>
  <si>
    <t>https://youtu.be/o1__kyee0qM</t>
  </si>
  <si>
    <t>Ask Astronaut Jeff Williams  Post a Video Response</t>
  </si>
  <si>
    <t>Astronaut Jeff Williams, aboard the International Space Station 220 miles above Earth, is taking your questions. 
Post a video response with your question.  Williams' schedule will not allow him to answer many questions, but he will attempt to answer a few each week.</t>
  </si>
  <si>
    <t>o1__kyee0qM</t>
  </si>
  <si>
    <t>2009 11 09</t>
  </si>
  <si>
    <t>https://youtu.be/1IUK_LhyUu4</t>
  </si>
  <si>
    <t>129 Behind The Scenes</t>
  </si>
  <si>
    <t>1IUK_LhyUu4</t>
  </si>
  <si>
    <t>https://youtu.be/8X0axpmSMvg</t>
  </si>
  <si>
    <t>STS-129 Behind The Scenes</t>
  </si>
  <si>
    <t>8X0axpmSMvg</t>
  </si>
  <si>
    <t>https://youtu.be/Wa3qupfqu6M</t>
  </si>
  <si>
    <t>STS-129 The Bench Review</t>
  </si>
  <si>
    <t>Wa3qupfqu6M</t>
  </si>
  <si>
    <t>https://youtu.be/TuBWInVYoFs</t>
  </si>
  <si>
    <t>TuBWInVYoFs</t>
  </si>
  <si>
    <t>https://youtu.be/IxeaUK5yAgU</t>
  </si>
  <si>
    <t>IxeaUK5yAgU</t>
  </si>
  <si>
    <t>https://youtu.be/GdSbweadVi0</t>
  </si>
  <si>
    <t>STS 129 Determination</t>
  </si>
  <si>
    <t>GdSbweadVi0</t>
  </si>
  <si>
    <t>https://youtu.be/Tw029AAzjR4</t>
  </si>
  <si>
    <t>STS 129 Prep &amp; Post</t>
  </si>
  <si>
    <t>Tw029AAzjR4</t>
  </si>
  <si>
    <t>https://youtu.be/9C_ZO26hnW0</t>
  </si>
  <si>
    <t>STS-129 Suit Up and The Hall</t>
  </si>
  <si>
    <t>9C_ZO26hnW0</t>
  </si>
  <si>
    <t>2009 10 23</t>
  </si>
  <si>
    <t>https://youtu.be/cd--3KgoUzo</t>
  </si>
  <si>
    <t>Orion Pad Abort-1 Launch Abort System Flight Test</t>
  </si>
  <si>
    <t>cd--3KgoUzo</t>
  </si>
  <si>
    <t>2009 10 21</t>
  </si>
  <si>
    <t>https://youtu.be/zff7_8h-22w</t>
  </si>
  <si>
    <t>If the Suit Fits</t>
  </si>
  <si>
    <t>Astronaut Commander Scott Kelly, slated to launch aboard Soyuz for a six-month stay onboard the International Space Station next year, gets suited up into his Sokol launch and entry suit for a pressuized fit check at the Zvezda facility in Moscow.
Follow Astronaut Scott Kelly on twitter! http://www.twitter.com/stationcdrkelly</t>
  </si>
  <si>
    <t>zff7_8h-22w</t>
  </si>
  <si>
    <t>2009 10 08</t>
  </si>
  <si>
    <t>https://youtu.be/JgTdot1Fes4</t>
  </si>
  <si>
    <t>Constellation  Flight Tests</t>
  </si>
  <si>
    <t>Narrated production explaining the process of flight tests and how the Constellation program has now entered this phase of development. Combines the following three features into one: Test as you Go, Ares I-X, Pad Abort 1.</t>
  </si>
  <si>
    <t>JgTdot1Fes4</t>
  </si>
  <si>
    <t>https://youtu.be/W_OOiXZxdWs</t>
  </si>
  <si>
    <t>Constellation Flight Tests Mini Feature  Test as you Go</t>
  </si>
  <si>
    <t>The program focuses on Test as you Go, a design philosophy that NASA has used from the early days of Apollo.  Components of a spacecraft are tested individually first, then later brought together for an integrated flight test.</t>
  </si>
  <si>
    <t>W_OOiXZxdWs</t>
  </si>
  <si>
    <t>https://youtu.be/oO9k9JbHFPs</t>
  </si>
  <si>
    <t>Constellation Flight Tests Mini Feature  Pad Abort 1</t>
  </si>
  <si>
    <t>This video features Pad Abort 1, the test of the Orions Launch Abort System.  Historic HD footage of NASAs past rocket development is interspersed with new Constellation footage to illustrate how engineers continue to use tried and true methods to overcome the challenges of spaceflight.</t>
  </si>
  <si>
    <t>oO9k9JbHFPs</t>
  </si>
  <si>
    <t>https://youtu.be/KZVeH08uGGU</t>
  </si>
  <si>
    <t>Constellation Flight Tests Mini Feature  Ares I-X</t>
  </si>
  <si>
    <t>The spotlight moves to the Ares 1-X vehicle, the first full scale, unmanned flight test of the rocket that will one day launch the crew into space. Video from Kennedy Space Center of the vehicles construction is featured as well as animation explaining the flight.</t>
  </si>
  <si>
    <t>KZVeH08uGGU</t>
  </si>
  <si>
    <t>2009 10 02</t>
  </si>
  <si>
    <t>https://youtu.be/56Wrog2sJS4</t>
  </si>
  <si>
    <t>The Expedition 21 Crew Enters the International Space Station</t>
  </si>
  <si>
    <t>The newest station crew members entered the station after opening the hatches between the two spacecraft at 6:57 a.m. Friday, Oct. 2, 2009.</t>
  </si>
  <si>
    <t>56Wrog2sJS4</t>
  </si>
  <si>
    <t>https://youtu.be/hxiB7PByPHQ</t>
  </si>
  <si>
    <t>Expedition 21 Crew Docks at the International Space Station</t>
  </si>
  <si>
    <t>Flight Engineers Jeff Williams and Maxim Suraev along with spaceflight participant Guy Laliberté have arrived at the International Space Station. They docked their Soyuz TMA-16 to the aft end of the Zvezda service module at 4:35 a.m. EDT Friday Oct. 2, 2009.</t>
  </si>
  <si>
    <t>hxiB7PByPHQ</t>
  </si>
  <si>
    <t>2009 09 29</t>
  </si>
  <si>
    <t>https://youtu.be/iniGwVNRrnU</t>
  </si>
  <si>
    <t>Launch Preparations with Astronaut Jeff Williams</t>
  </si>
  <si>
    <t>Astronaut Jeff Williams talks about how the Expedition 21 crew prepares for its launch to the International Space Station.</t>
  </si>
  <si>
    <t>iniGwVNRrnU</t>
  </si>
  <si>
    <t>https://youtu.be/tcQ2xjLB2jA</t>
  </si>
  <si>
    <t>Expedition 21 Gets Ready to Launch</t>
  </si>
  <si>
    <t>The Expedition 21 crew gets ready to launch to the International Space Station aboard their Russian Soyuz spacecraft.</t>
  </si>
  <si>
    <t>tcQ2xjLB2jA</t>
  </si>
  <si>
    <t>2009 09 28</t>
  </si>
  <si>
    <t>https://youtu.be/wiQo4siQXyo</t>
  </si>
  <si>
    <t>Astronauts train to fix leaks in space</t>
  </si>
  <si>
    <t>Astronaut Jeff Williams and Cosmonaut  Maxim Suraev at NASA's Johnson Space Center perform emergency leak procedures to repair leaks in space.   Williams, and Suraev  arrive at the International Space Station on October 2, 2009 after launching from Baikonur Cosmodrome in Kazakhstan.</t>
  </si>
  <si>
    <t>wiQo4siQXyo</t>
  </si>
  <si>
    <t>2009 09 23</t>
  </si>
  <si>
    <t>https://youtu.be/v9rjBbZfLuY</t>
  </si>
  <si>
    <t>Fits like an EVA glove.</t>
  </si>
  <si>
    <t>Astronaut Jeff Williams does the final fit check for his custom EVA gloves at NASA's Johnson Space Center.   Williams will conduct EVAs during his mission aboard the International Space Station.  Jeff Williams arrives at the International Space Station on October 2, 2009 after launching from Baikonur Cosmodrome in Kazakhstan.</t>
  </si>
  <si>
    <t>v9rjBbZfLuY</t>
  </si>
  <si>
    <t>2009 09 21</t>
  </si>
  <si>
    <t>https://youtu.be/t1zacVNO8Ng</t>
  </si>
  <si>
    <t>Training to hook up the space station with Japan's HTV</t>
  </si>
  <si>
    <t>Astronauts Jeff Williams and Nicole Stott train on robotic operations in the virtual reality lab at NASA's Johnson Space Center to support grapple of Japan's cargo transfer vehicle HTV.  Nicole Stott  captured the HTV in space using Canada's Canadarm2 on the International Space Station on September 17, 2009.  Jeff Williams arrives at the International Space Station on October 2, 2009 after launching from Baikonur Cosmosdrome in Kazakhstan.</t>
  </si>
  <si>
    <t>t1zacVNO8Ng</t>
  </si>
  <si>
    <t>2009 09 08</t>
  </si>
  <si>
    <t>https://youtu.be/XdUPMk7H4R0</t>
  </si>
  <si>
    <t>Space Shuttle Discovery Flies Around the International Space Station</t>
  </si>
  <si>
    <t>Space shuttle Discovery flies around the International Space Station after undocking Tuesday, Sept. 8. The STS-128 and Expedition 20 crews conducted eight days of joint operations that included cargo transfers and three spacewalks.</t>
  </si>
  <si>
    <t>XdUPMk7H4R0</t>
  </si>
  <si>
    <t>https://youtu.be/gHkxdjVAmUU</t>
  </si>
  <si>
    <t>STS-128 and Expedition 20 Crew Farewell</t>
  </si>
  <si>
    <t>The STS-128 and Expedition 20 crews bid each other farewell before closing the hatches between the two spacecraft.</t>
  </si>
  <si>
    <t>gHkxdjVAmUU</t>
  </si>
  <si>
    <t>2009 09 06</t>
  </si>
  <si>
    <t>https://youtu.be/nphbNjIPpH8</t>
  </si>
  <si>
    <t>Final STS-128 Spacewalk Activities</t>
  </si>
  <si>
    <t>Spacewalkers Danny Olivas and Christer Fuglesang work outside the International Space Station during the third and final STS-128 spacewalk. Their tasks included installing a payload attachment system, removing a failed rate gyro assembly, installing two GPS antennas and routing avionics cables.</t>
  </si>
  <si>
    <t>nphbNjIPpH8</t>
  </si>
  <si>
    <t>2009 09 04</t>
  </si>
  <si>
    <t>https://youtu.be/J2fMesERgDc</t>
  </si>
  <si>
    <t>STS-128 Second Spacewalk Activities</t>
  </si>
  <si>
    <t>Spacewalkers Danny Olivas and Christer Fuglesang work outside the International Space Station during the second of three STS-128 spacewalks.</t>
  </si>
  <si>
    <t>J2fMesERgDc</t>
  </si>
  <si>
    <t>2009 09 03</t>
  </si>
  <si>
    <t>https://youtu.be/EyBBPy9To6c</t>
  </si>
  <si>
    <t>STS-128 Crew Answers Your Questions From Space %235</t>
  </si>
  <si>
    <t>STS-128 Mission Specialist Jose Hernandez answers the question, "Have you ever passed by a meteorite field or space garbage? What has happened?"</t>
  </si>
  <si>
    <t>EyBBPy9To6c</t>
  </si>
  <si>
    <t>https://youtu.be/fHZDjW6_ark</t>
  </si>
  <si>
    <t>STS-128 Crew Answers Your Questions From Space %234</t>
  </si>
  <si>
    <t>STS-128 Mission Specialist Danny Olivas answers the question, "How do you know if your spacesuit is broken?"</t>
  </si>
  <si>
    <t>fHZDjW6_ark</t>
  </si>
  <si>
    <t>https://youtu.be/LHQ7pm1xr3A</t>
  </si>
  <si>
    <t>STS-128 Crew Answers Your Questions From Space %233</t>
  </si>
  <si>
    <t>STS-128 Mission Specialist Danny Olivas answers the question, "How do you counteract being disoriented in space?"</t>
  </si>
  <si>
    <t>LHQ7pm1xr3A</t>
  </si>
  <si>
    <t>https://youtu.be/AkuWk57RRfI</t>
  </si>
  <si>
    <t>STS-128 Crew Answers Your Questions From Space %232</t>
  </si>
  <si>
    <t>STS-128 Mission Specialist Danny Olivas answers the question, "How different is it sleeping in space vs. sleeping on Earth?"</t>
  </si>
  <si>
    <t>AkuWk57RRfI</t>
  </si>
  <si>
    <t>https://youtu.be/Hj_8L_qcEPI</t>
  </si>
  <si>
    <t>STS-128 Crew Answers Your Questions From Space %231</t>
  </si>
  <si>
    <t>STS-128 Mission Specialist Jose Hernandez answers the question, "What is the objective of the International Space Station?"</t>
  </si>
  <si>
    <t>Hj_8L_qcEPI</t>
  </si>
  <si>
    <t>https://youtu.be/JhY_I4kwYv0</t>
  </si>
  <si>
    <t>STS-128 Crew Answers Your Questions From Space %236</t>
  </si>
  <si>
    <t>STS-128 Mission Specialist Jose Hernandez answers the question, "With your unique perspective on the world from orbit, what advice can you give to the next generation of scientific thinkers as they enter adulthood?"</t>
  </si>
  <si>
    <t>JhY_I4kwYv0</t>
  </si>
  <si>
    <t>2009 08 29</t>
  </si>
  <si>
    <t>https://youtu.be/zWZEHQ8WFdA</t>
  </si>
  <si>
    <t>Space Shuttle Discovery Launches Beginning the STS-128 Mission</t>
  </si>
  <si>
    <t>Space shuttle Discovery launches beginning the STS-128 mission. The launch video covers the space shuttle seconds before launch till moments after solid rocket booster separation. Discovery is delivering life support racks, science racks and a new crew member to the International Space Station .</t>
  </si>
  <si>
    <t>zWZEHQ8WFdA</t>
  </si>
  <si>
    <t>2009 08 17</t>
  </si>
  <si>
    <t>https://youtu.be/t1yEogtoKUU</t>
  </si>
  <si>
    <t>STS-128 Preflight Briefing Animation</t>
  </si>
  <si>
    <t>STS-128 preflight animation with overviews and mission events from heat shield surveys, approach, rendezvous pitch maneuver, docking, leonardo berth and unberth, spacewalks, undocking and late inspection.</t>
  </si>
  <si>
    <t>t1yEogtoKUU</t>
  </si>
  <si>
    <t>2009 08 14</t>
  </si>
  <si>
    <t>https://youtu.be/8scBWZ_0H50</t>
  </si>
  <si>
    <t>Pregúntale a un Astronauta  Pon un video de Respuesta</t>
  </si>
  <si>
    <t>El Astronauta y especialista en misiones espaciales de la NASA Jose Hernandez y sus compañeros de tripulación de la próxima misión de el transbordador espacial, pronto dejaran Tierra para ir a la Estación Espacial Internacional. El Astronauta Jose a estado tweeting sus últimos días de entrenamiento en Ingles y Español atraves de Twitter.
El junto con sus compañeros ahora también responderán a preguntas bilingüe en vivo desde el espacio.
Mándanos tus preguntas en Ingles o en Español poniendo un video de aproximadamente 30 segundos como respuesta a este video en YouTube.
Cada semana varias preguntas serán seleccionadas para ser contestadas en vivo desde órbita por la tripulación. Durante esta misión tus preguntas y las respuestas de los astronautas serán transmitidas desde el espacio a toda la nación por el canal de NASA. 
Los astronautas están listos para volar y anticipando poder compartir el entusiasmo con todos ustedes.</t>
  </si>
  <si>
    <t>8scBWZ_0H50</t>
  </si>
  <si>
    <t>https://youtu.be/jlgIHKenUBw</t>
  </si>
  <si>
    <t>Ask Astronaut Jose Hernandez and Crew  POST A VIDEO RESPONSE</t>
  </si>
  <si>
    <t>jlgIHKenUBw</t>
  </si>
  <si>
    <t>2009 07 31</t>
  </si>
  <si>
    <t>https://youtu.be/zpzAVDBNjko</t>
  </si>
  <si>
    <t>zpzAVDBNjko</t>
  </si>
  <si>
    <t>2009 07 23</t>
  </si>
  <si>
    <t>https://youtu.be/6mzcD_zupbc</t>
  </si>
  <si>
    <t>Constellation Quarterly Report (June 2009)</t>
  </si>
  <si>
    <t>6mzcD_zupbc</t>
  </si>
  <si>
    <t>2009 07 22</t>
  </si>
  <si>
    <t>https://youtu.be/T7wC2mHStro</t>
  </si>
  <si>
    <t>Desert RATS 2008</t>
  </si>
  <si>
    <t>The 2008 Desert Research and Technology Studies (Desert RATS) tests at Black Point Lava Flow in Arizona.</t>
  </si>
  <si>
    <t>T7wC2mHStro</t>
  </si>
  <si>
    <t>2009 07 21</t>
  </si>
  <si>
    <t>https://youtu.be/uGyNcwkZ6HU</t>
  </si>
  <si>
    <t>STS-127 Crew Answers Your Questions From Space %2311</t>
  </si>
  <si>
    <t>NASA Astronaut Mark Polansky and the STS-127 crew aboard space shuttle Endeavour respond to questions submitted on YouTube. 
Mission Specialist Julie Payette answers the question, "Would you like to go in space with your family if it could be safe enough?"</t>
  </si>
  <si>
    <t>uGyNcwkZ6HU</t>
  </si>
  <si>
    <t>https://youtu.be/Rnh7CehuaGM</t>
  </si>
  <si>
    <t>STS-127 Crew Answers Your Questions From Space %2310</t>
  </si>
  <si>
    <t>NASA Astronaut Mark Polansky and the STS-127 crew aboard space shuttle Endeavour respond to questions submitted on YouTube. 
Commander Polansky answers the question, "How do you feel being in a selective group?"</t>
  </si>
  <si>
    <t>Rnh7CehuaGM</t>
  </si>
  <si>
    <t>https://youtu.be/1HDVqxKqt_Q</t>
  </si>
  <si>
    <t>STS-127 Crew Answers Your Questions From Space %239</t>
  </si>
  <si>
    <t>NASA Astronaut Mark Polansky and the STS-127 crew aboard space shuttle Endeavour respond to questions submitted on YouTube. 
Mission Specialist Dave Wolf answers the question, "What type of experiments will you be doing when you get to the ISS?"</t>
  </si>
  <si>
    <t>1HDVqxKqt_Q</t>
  </si>
  <si>
    <t>https://youtu.be/-jWsAZwA9ME</t>
  </si>
  <si>
    <t>STS-127 Crew Answers Your Questions From Space %238</t>
  </si>
  <si>
    <t>NASA Astronaut Mark Polansky and the STS-127 crew aboard space shuttle Endeavour respond to questions submitted on YouTube. 
Mission Specialist Julie Payette answers the question, "What do you see when you look at Earth from space, and how do you feel?"</t>
  </si>
  <si>
    <t>-jWsAZwA9ME</t>
  </si>
  <si>
    <t>https://youtu.be/c6kHaly_nsE</t>
  </si>
  <si>
    <t>STS-127 Crew Answers Your Questions From Space %237</t>
  </si>
  <si>
    <t>NASA Astronaut Mark Polansky and the STS-127 crew aboard space shuttle Endeavour respond to questions submitted on YouTube. 
Pilot Doug Hurley answers the question, "What will you be doing while we are watching the launch?"</t>
  </si>
  <si>
    <t>c6kHaly_nsE</t>
  </si>
  <si>
    <t>https://youtu.be/95swrZs1HCM</t>
  </si>
  <si>
    <t>STS-127 Crew Answers Your Questions From Space %236</t>
  </si>
  <si>
    <t>NASA Astronaut Mark Polansky and the STS-127 crew aboard space shuttle Endeavour respond to questions submitted on YouTube. 
Commander Mark Polansky answers the question, "Can you describe what an astronaut might hear in space?"</t>
  </si>
  <si>
    <t>95swrZs1HCM</t>
  </si>
  <si>
    <t>https://youtu.be/0hiu7IaIWds</t>
  </si>
  <si>
    <t>STS-127 Crew Answers Your Questions From Space %235</t>
  </si>
  <si>
    <t>NASA Astronaut Mark Polansky and the STS-127 crew aboard space shuttle Endeavour respond to questions submitted on YouTube. 
Mission Specialist Dave Wolf answers the question, "If youre in a spacesuit, especially on an EVA, and you have to sneeze, how do you deal with that, especially if it splatters? Also, if your nose itches while youre in a spacesuit, how do you deal with that?"</t>
  </si>
  <si>
    <t>0hiu7IaIWds</t>
  </si>
  <si>
    <t>https://youtu.be/a3obOb8Vn8M</t>
  </si>
  <si>
    <t>STS-127 Crew Answers Your Questions From Space %234</t>
  </si>
  <si>
    <t>NASA Astronaut Mark Polansky and the STS-127 crew aboard space shuttle Endeavour respond to questions submitted on YouTube. 
Mission Specialist Julie Payette answers the question, "Do you like your job being an astronaut? And whats it like living in space?"</t>
  </si>
  <si>
    <t>a3obOb8Vn8M</t>
  </si>
  <si>
    <t>https://youtu.be/bM9zGz0EOlw</t>
  </si>
  <si>
    <t>STS-127 Crew Answers Your Questions From Space %233</t>
  </si>
  <si>
    <t>NASA Astronaut Mark Polansky and the STS-127 crew aboard space shuttle Endeavour respond to questions submitted on YouTube. 
STS-127 Pilot Doug Hurley answers the question, "While youre in space, what do you do in your spare time?"</t>
  </si>
  <si>
    <t>bM9zGz0EOlw</t>
  </si>
  <si>
    <t>https://youtu.be/1g_PjqpL9Z4</t>
  </si>
  <si>
    <t>STS-127 Crew Answers Your Questions From Space %232</t>
  </si>
  <si>
    <t>NASA Astronaut Mark Polansky and the STS-127 crew aboard space shuttle Endeavour respond to questions submitted on YouTube. 
Mission Specialist Dave Wolf answers the question, "What would happen if you were to fly into a black hole?"</t>
  </si>
  <si>
    <t>1g_PjqpL9Z4</t>
  </si>
  <si>
    <t>https://youtu.be/5Y2Axi9ETxM</t>
  </si>
  <si>
    <t>STS-127 Crew Answers Your Questions From Space %231</t>
  </si>
  <si>
    <t>NASA Astronaut Mark Polansky and the STS-127 crew aboard space shuttle Endeavour respond to questions submitted on YouTube.    
Commander Polansky answers the question, "What's the best thing about being in space?"</t>
  </si>
  <si>
    <t>5Y2Axi9ETxM</t>
  </si>
  <si>
    <t>2009 07 17</t>
  </si>
  <si>
    <t>https://youtu.be/8il6rx-9a3c</t>
  </si>
  <si>
    <t>Apollo 11 Introduction</t>
  </si>
  <si>
    <t>This montage video shows highlights from the Apollo 11 mission, from liftoff in Florida to departure from the moon.</t>
  </si>
  <si>
    <t>8il6rx-9a3c</t>
  </si>
  <si>
    <t>https://youtu.be/1J9H3niSXj8</t>
  </si>
  <si>
    <t>Raising The American Flag</t>
  </si>
  <si>
    <t>Neil Armstrong and Buzz Aldrin raise the American flag on the moon. The video compares existing footage with the partially restored video. The thumbnail image shows the new footage on the left and the old on the right.</t>
  </si>
  <si>
    <t>1J9H3niSXj8</t>
  </si>
  <si>
    <t>https://youtu.be/q84fSH9g5dk</t>
  </si>
  <si>
    <t>Apollo 11 Plaque</t>
  </si>
  <si>
    <t>Neil Armstrong reads a commemorative plaque affixed to the Apollo 11 lunar module. The video compares existing footage with the partially restored video. The thumbnail image shows the new footage on the left and the old on the right.</t>
  </si>
  <si>
    <t>q84fSH9g5dk</t>
  </si>
  <si>
    <t>https://youtu.be/na0scpoRBO0</t>
  </si>
  <si>
    <t>One Small Step</t>
  </si>
  <si>
    <t>This video shows Neil Armstrong climbing down the lunar module ladder to the lunar surface. The video compares existing footage with the partially restored video. The thumbnail image shows the new footage on the left and the old on the right.</t>
  </si>
  <si>
    <t>na0scpoRBO0</t>
  </si>
  <si>
    <t>https://youtu.be/FepUv3vmIM8</t>
  </si>
  <si>
    <t>Buzz Aldrin Sets Foot on the Moon</t>
  </si>
  <si>
    <t>This video shows Buzz Aldrin descending the lunar module ladder. The video compares existing footage with the partially restored video. The thumbnail image shows the new footage on the left and the old on the right.</t>
  </si>
  <si>
    <t>FepUv3vmIM8</t>
  </si>
  <si>
    <t>https://youtu.be/hxPbnFc7iU8</t>
  </si>
  <si>
    <t>Apollo 11 Moonwalk Montage</t>
  </si>
  <si>
    <t>This two-minute video montage shows highlights of the Apollo 11 moonwalk.</t>
  </si>
  <si>
    <t>hxPbnFc7iU8</t>
  </si>
  <si>
    <t>2009 07 16</t>
  </si>
  <si>
    <t>https://youtu.be/Y6cCePwe7y0</t>
  </si>
  <si>
    <t>Endeavour Soars into Space!</t>
  </si>
  <si>
    <t>Space shuttle Endeavour launches from Kennedy Space Center, Fla., on July 15, 2009, to begin the STS-127 mission to the International Space Station.  The shuttle crew will complete construction of the Japan Aerospace Exploration Agency's Kibo laboratory and deliver a new crew member to the orbital outpost.</t>
  </si>
  <si>
    <t>Y6cCePwe7y0</t>
  </si>
  <si>
    <t>2009 06 03</t>
  </si>
  <si>
    <t>https://youtu.be/VxcRkmi0kso</t>
  </si>
  <si>
    <t>sts125 flyover</t>
  </si>
  <si>
    <t>A modified Boeing 747 Shuttle Carrier Aircraft carrying the Space Shuttle Atlantis flew by NASAs White Sands Test Facility June 1, 2009. It was on its way to Biggs Army Air Field in El Paso, Texas from Edwards Air Force Base in California on the first leg of its journey back to NASAs Kennedy Space Center. Atlantis landed at Edwards May 24 following the STS-125 Hubble Space Telescope servicing mission.</t>
  </si>
  <si>
    <t>VxcRkmi0kso</t>
  </si>
  <si>
    <t>2009 05 20</t>
  </si>
  <si>
    <t>https://youtu.be/DwpObdVfSa8</t>
  </si>
  <si>
    <t>Astronaut Mike Fincke Welcomes You To ReelNASA on YouTube</t>
  </si>
  <si>
    <t>Astronaut Mike Fincke welcomes you to our YouTube channel Reel NASA, where you get the real story about space exploration.
At Reel NASA, you can learn about the people, science and technologies behind the space program; you get an inside look from the ground up at what it takes to live and work in space now and in the future, and you can even ask questions in a series we're running called, "Ask an Astronaut
We're on YouTube because we want to help you know what's happening at NASA and in space - and so that we can explore your ideas about reaching new worlds to make the world on which we live better.
Get off this planet, give me my space! Check us out on www.youtube.com/ReelNASA!</t>
  </si>
  <si>
    <t>DwpObdVfSa8</t>
  </si>
  <si>
    <t>2009 05 14</t>
  </si>
  <si>
    <t>https://youtu.be/QUJw22gHmYM</t>
  </si>
  <si>
    <t>Atlantis visits Hubble  Flight Day 2 Highlights</t>
  </si>
  <si>
    <t>QUJw22gHmYM</t>
  </si>
  <si>
    <t>https://youtu.be/Cziu4wMu880</t>
  </si>
  <si>
    <t>Got it! Atlantis Has a Hold on Hubble</t>
  </si>
  <si>
    <t>Cziu4wMu880</t>
  </si>
  <si>
    <t>2009 05 08</t>
  </si>
  <si>
    <t>https://youtu.be/e16eXXAoisg</t>
  </si>
  <si>
    <t>Shuttle Commander Takes Video Questions In Space - POST VIDEO RESPONSE!</t>
  </si>
  <si>
    <t>NASA astronaut Mark Polansky, commander of the next space shuttle mission to the International Space Station, is sharing the final weeks of his training on Twitter. Polansky invites YOU to submit questions that he will answer from orbit during his mission, STS-127, targeted to launch in June. Questions should be submitted in the form of a video not longer than 30 seconds, posted to YouTube, and a link to the video sent to Polansky's twitter account at: http://twitter.com/Astro_127
Questions will be selected each week to be among those Polansky will answer from space, live on NASA Television. The questions that have been selected will be announced on his Twitter feed each week.
Questions selected to answer from space will be posted to nasa.gov and broadcast during the live event on NASA TV.
Polansky has already selected the first question to answer from space. Get your question answered too!</t>
  </si>
  <si>
    <t>e16eXXAoisg</t>
  </si>
  <si>
    <t>2009 04 16</t>
  </si>
  <si>
    <t>https://youtu.be/wlyuwC8CMxI</t>
  </si>
  <si>
    <t>Behind the Scenes of Designing Lunar Living Spaces</t>
  </si>
  <si>
    <t>Robert Howard Jr., manager of the Habitability Design Center at Johnson Space Center, is aiming to help crews be comfortable and productive during NASAs missions back to the moon.</t>
  </si>
  <si>
    <t>wlyuwC8CMxI</t>
  </si>
  <si>
    <t>2009 04 10</t>
  </si>
  <si>
    <t>https://youtu.be/kmZFbxt5WBQ</t>
  </si>
  <si>
    <t>Our Place in Space  Propulsion at Purdue</t>
  </si>
  <si>
    <t>A talented group of students at Purdue University are hoping to walk in the footsteps of fellow alumni Neil Armstrong and Gene Cernan. NASA's Constellation University Institutes Project is putting them on the right track.</t>
  </si>
  <si>
    <t>kmZFbxt5WBQ</t>
  </si>
  <si>
    <t>2009 03 26</t>
  </si>
  <si>
    <t>https://youtu.be/xNYFlxLgH04</t>
  </si>
  <si>
    <t>STS-119 Flyaround</t>
  </si>
  <si>
    <t>Space shuttle Discovery flies around the orbiting orbiting International Space Station after undocking.</t>
  </si>
  <si>
    <t>xNYFlxLgH04</t>
  </si>
  <si>
    <t>2009 03 25</t>
  </si>
  <si>
    <t>https://youtu.be/5risLyeWcic</t>
  </si>
  <si>
    <t>STS-119  The Motion of Space</t>
  </si>
  <si>
    <t>Members of the STS-119 and Expedition 18 crews take advantage of the microgravity environment of space to get where they are going and get things done.</t>
  </si>
  <si>
    <t>5risLyeWcic</t>
  </si>
  <si>
    <t>https://youtu.be/GcJGof6sIgE</t>
  </si>
  <si>
    <t>STS-119 Crew Farewell</t>
  </si>
  <si>
    <t>The STS-119 and Expedition 18 crews bid one another farewell before closing hatches between the International Space Station and space shuttle Discovery.</t>
  </si>
  <si>
    <t>GcJGof6sIgE</t>
  </si>
  <si>
    <t>https://youtu.be/3AXwJ_umiFo</t>
  </si>
  <si>
    <t>President Barack Obama Speaks to the Shuttle and Station Crews, Part 4</t>
  </si>
  <si>
    <t>Please visit http://www.nasa.gov/station for the full-length captioned video. From the White House, President Barack Obama, members of Congress and students, speak to the STS-119 and Expedition 18 crew members aboard the International Space Station.</t>
  </si>
  <si>
    <t>3AXwJ_umiFo</t>
  </si>
  <si>
    <t>https://youtu.be/_tZX2HUG_qs</t>
  </si>
  <si>
    <t>President Barack Obama Speaks to the Shuttle and Station Crews, Part 1</t>
  </si>
  <si>
    <t>_tZX2HUG_qs</t>
  </si>
  <si>
    <t>https://youtu.be/rLZoTAY3MDc</t>
  </si>
  <si>
    <t>President Barack Obama Speaks to the Shuttle and Station Crews, Part 2</t>
  </si>
  <si>
    <t>rLZoTAY3MDc</t>
  </si>
  <si>
    <t>https://youtu.be/9X92RvFxt8c</t>
  </si>
  <si>
    <t>President Barack Obama Speaks to the Shuttle and Station Crews, Part 6</t>
  </si>
  <si>
    <t>9X92RvFxt8c</t>
  </si>
  <si>
    <t>https://youtu.be/rEPK4Yw5Ics</t>
  </si>
  <si>
    <t>President Barack Obama Speaks to the Shuttle and Station Crews, Part 5</t>
  </si>
  <si>
    <t>rEPK4Yw5Ics</t>
  </si>
  <si>
    <t>https://youtu.be/Wd1xr7XvYE8</t>
  </si>
  <si>
    <t>President Barack Obama Speaks to the Shuttle and Station Crews, Part 3</t>
  </si>
  <si>
    <t>Wd1xr7XvYE8</t>
  </si>
  <si>
    <t>2009 03 23</t>
  </si>
  <si>
    <t>https://youtu.be/DYkDzPAhC3Y</t>
  </si>
  <si>
    <t>STS-119 Flight Day 8 Highlights</t>
  </si>
  <si>
    <t>Shuttle and station astronauts discuss their activities during flight day 8 of STS-119.</t>
  </si>
  <si>
    <t>DYkDzPAhC3Y</t>
  </si>
  <si>
    <t>2009 03 22</t>
  </si>
  <si>
    <t>https://youtu.be/0ue85np82C8</t>
  </si>
  <si>
    <t>STS-119  Exercising in Space</t>
  </si>
  <si>
    <t>See what it's like to exercise in space with the STS-119 and Expedition 18 crews.</t>
  </si>
  <si>
    <t>0ue85np82C8</t>
  </si>
  <si>
    <t>2009 03 21</t>
  </si>
  <si>
    <t>https://youtu.be/861EPmdpmRU</t>
  </si>
  <si>
    <t>Radio Exercise</t>
  </si>
  <si>
    <t>STS-119 crew wake-up call, Flight Day 3 -- "Radio Exercise" performed by the Tokyo Broadcast Children's Choir was played for Koichi Wakata.</t>
  </si>
  <si>
    <t>861EPmdpmRU</t>
  </si>
  <si>
    <t>https://youtu.be/lg3sMZPO7FA</t>
  </si>
  <si>
    <t>Free Bird!</t>
  </si>
  <si>
    <t>STS-119 crew wake-up call, Flight Day 2 -- "Free Bird" by Lynyrd Skynyrd was played for Pilot Tony Antonelli.</t>
  </si>
  <si>
    <t>lg3sMZPO7FA</t>
  </si>
  <si>
    <t>2009 03 18</t>
  </si>
  <si>
    <t>https://youtu.be/7UnweHNYMR4</t>
  </si>
  <si>
    <t>119welcome</t>
  </si>
  <si>
    <t>STS-119 hatch opening and crew welcome ceremony</t>
  </si>
  <si>
    <t>7UnweHNYMR4</t>
  </si>
  <si>
    <t>2009 03 17</t>
  </si>
  <si>
    <t>https://youtu.be/_7cDEwIdOBA</t>
  </si>
  <si>
    <t>STS-119 Rendezvous Pitch Maneuver</t>
  </si>
  <si>
    <t>Space shuttle Discovery performs a back flip prior to docking to the space station.</t>
  </si>
  <si>
    <t>_7cDEwIdOBA</t>
  </si>
  <si>
    <t>2009 02 20</t>
  </si>
  <si>
    <t>https://youtu.be/yJx_8dGLhJA</t>
  </si>
  <si>
    <t>Everest Video Teaser</t>
  </si>
  <si>
    <t>Video Introduction to astronaut Scott Parazynski's trek to Mount Everest.</t>
  </si>
  <si>
    <t>yJx_8dGLhJA</t>
  </si>
  <si>
    <t>2009 02 10</t>
  </si>
  <si>
    <t>https://youtu.be/mHqmdWFWMQs</t>
  </si>
  <si>
    <t>Constellation University Institutes Project - University of Alabama Huntsville</t>
  </si>
  <si>
    <t>An aspiring group of students at UA Huntsville have the childhood dreams of becoming rocket scientists. NASA's Constellation University Institutes Project is giving them the opportunity to make their dreams a reality.</t>
  </si>
  <si>
    <t>mHqmdWFWMQs</t>
  </si>
  <si>
    <t>2009 02 06</t>
  </si>
  <si>
    <t>https://youtu.be/rpyfE_FB2hY</t>
  </si>
  <si>
    <t>Station Commander Waves Terrible Towel for Super Bowl</t>
  </si>
  <si>
    <t>While wishing both Super Bowl XLIII teams good luck, Expedition 18 Commander and Pittsburgh native Mike Fincke throws his support behind the Steelers.</t>
  </si>
  <si>
    <t>rpyfE_FB2hY</t>
  </si>
  <si>
    <t>2008 12 11</t>
  </si>
  <si>
    <t>https://youtu.be/lqt9_9np4-8</t>
  </si>
  <si>
    <t>NASA in Motion</t>
  </si>
  <si>
    <t>There is a fine line between dreams and reality, its up to you to draw it.  B. Quilliam
Although they may work on trajectories, structures, hypersonic fluid flow, rocket engines, robots, or space suits during the day, the co-ops at NASA are more than just engineers.  They are more than mere nerds.  They are ambassadors to their generation for NASA.  They can sing.  They can dance.  They are artists.  These videos were made by the co-ops at NASA on their own time, with their own resources.  They care deeply about America's space program, and they want to help you get more involved with NASA's activities.</t>
  </si>
  <si>
    <t>lqt9_9np4-8</t>
  </si>
  <si>
    <t>2008 11 25</t>
  </si>
  <si>
    <t>https://youtu.be/lwWNtd2moXs</t>
  </si>
  <si>
    <t>Third Space Trek for STS-126</t>
  </si>
  <si>
    <t>Astronauts Heidemarie Stefanyshyn-Piper and Steve Bowen completed the third spacewalk of Endeavours mission to the International Space Station. The spacewalk began at 12:01 p.m. CST and ended at 6:58 p.m. for a total time of six hours and 57 minutes. 
Piper and Bowen focused their efforts on the continued cleaning of the stations starboard solar alpha rotary joint (SARJ) and the removal and replacement of the remaining trundle bearing assemblies (TBA). Today, Piper replaced three TBAs and Bowen replaced two. Five have been replaced during the missions prior two spacewalks, and one was replaced on the STS-124 mission this past summer. The two astronauts also cleaned the area around the SARJs drive lock assemblies, which help the joint to rotate and lock into place.</t>
  </si>
  <si>
    <t>lwWNtd2moXs</t>
  </si>
  <si>
    <t>https://youtu.be/8sDc00IK7mA</t>
  </si>
  <si>
    <t>A Cup of Joe in Space</t>
  </si>
  <si>
    <t>Demonstration video of drinking coffee from a cup in the weightless environment of space.</t>
  </si>
  <si>
    <t>8sDc00IK7mA</t>
  </si>
  <si>
    <t>https://youtu.be/vfq5yy7BhsM</t>
  </si>
  <si>
    <t>Testing Orion's Abort Motor - Close Up</t>
  </si>
  <si>
    <t>NASA and its industry partners tested the Orion spacecraft abort motor on 11/20/08. The abort system will pull Orion and the astronauts off of the Ares rocket in the event of a mishap. The test took place in Promontory, Utah.</t>
  </si>
  <si>
    <t>vfq5yy7BhsM</t>
  </si>
  <si>
    <t>https://youtu.be/e0_wwWFTOE0</t>
  </si>
  <si>
    <t>Testing Orion's Abort Motor - Wide Angle</t>
  </si>
  <si>
    <t>e0_wwWFTOE0</t>
  </si>
  <si>
    <t>2008 11 21</t>
  </si>
  <si>
    <t>https://youtu.be/eWf0Kh9kYLE</t>
  </si>
  <si>
    <t>Skywalkers Continue Home Improvements in Space</t>
  </si>
  <si>
    <t>Building on the first spacewalk experience of STS-126, Heide Stefanyshyn-Piper and Shane Kimbrough headed out of the International Space Stations Quest Airlock at 11:58 a.m. CST to continue the process of removing debris around the starboard Solar Alpha Rotary Joint (SARJ) and applying lubrication in an effort to eventually restore it to full functionality. The EVA ended at 6:43 p.m. for a total time of six hours and 45 minutes. As the spacewalkers were finishing up their activities, ground controllers noticed that Kimbroughs carbon dioxide levels were increasing, so he made his way back to the airlock a few minutes ahead of Piper.</t>
  </si>
  <si>
    <t>eWf0Kh9kYLE</t>
  </si>
  <si>
    <t>https://youtu.be/Q0yYSnK1yIk</t>
  </si>
  <si>
    <t>Happy Birthday International Space Station!</t>
  </si>
  <si>
    <t>The station has traveled more than a billion miles since the first component, Zarya, launched on Nov. 20, 1998. 
Now the largest spacecraft ever built, the orbital assembly of the space station began with the launch from Kazakhstan of its first bus-sized component, Zarya, on Nov. 20, 1998. The launch began an international construction project of unprecedented complexity and sophistication.</t>
  </si>
  <si>
    <t>Q0yYSnK1yIk</t>
  </si>
  <si>
    <t>https://youtu.be/vXOaUiDvEZw</t>
  </si>
  <si>
    <t>Walking the Void</t>
  </si>
  <si>
    <t>Astronauts Heidemarie Stefanyshyn-Piper and Steve Bowen completed the first of four spacewalks scheduled for Endeavours mission to the International Space Station. The spacewalk was the 115th in support of ISS construction. 
Piper and Bowen began the spacewalk at 12:09 p.m. CST and ended it at 7:01 p.m. They spent six hours and 52 minutes outside the station working on several tasks, including removing a depleted nitrogen tank from a stowage platform on the outside of the complex and moving it into Endeavours cargo bay. They also moved a flex hose rotary coupler from the shuttle to the station stowage platform, as well as removing some insulation blankets from the common berthing mechanism on the Kibo laboratory.</t>
  </si>
  <si>
    <t>vXOaUiDvEZw</t>
  </si>
  <si>
    <t>https://youtu.be/_w4dVPzvlMA</t>
  </si>
  <si>
    <t>Come on in! Station Crew Greets STS-126 Astronauts</t>
  </si>
  <si>
    <t>Expedition 18 crew greets and welcomes STS-126 crew aboard their home away from home. 
Sandra Magnus custom seat liner was installed in the Soyuz spacecraft docked to the station. At that time Greg Chamitoff officially became a member of Endeavours crew. He will return to Earth on the shuttle after about six months in space, most of it as a station flight engineer. 
Endeavour crew members, Commander Chris Ferguson, Pilot Eric Boe and mission specialists Don Pettit, Steve Bowen, Heidemarie Stefanyshyn-Piper, Shane Kimbrough and Greg Chamitoff.</t>
  </si>
  <si>
    <t>_w4dVPzvlMA</t>
  </si>
  <si>
    <t>https://youtu.be/63vhQOnZ834</t>
  </si>
  <si>
    <t>Arrival Day</t>
  </si>
  <si>
    <t>Endeavours approach to the station includes a photo session. When the spacecraft is about 600 feet below the station, Ferguson will fly the spacecraft through the rendezvous pitch maneuver. That nine-minute backflip lets the station crew take high resolution photos of the shuttles thermal protection system. 
Station Expedition 18 Commander Mike Fincke will use a digital camera with an 800 mm lens and Flight Engineer Greg Chamitoff will have a camera with a 400 mm lens. From windows of the stations Zvezda service module they will take as many as 300 photos, which will be analyzed by engineers to make sure the thermal protection system is safe for re-entry.</t>
  </si>
  <si>
    <t>63vhQOnZ834</t>
  </si>
  <si>
    <t>https://youtu.be/KRnPy6aU29o</t>
  </si>
  <si>
    <t>Endeavour Lights the Night Sky</t>
  </si>
  <si>
    <t>Space shuttle Endeavour lit the Florida night sky with a 6:55 p.m. CST launch on a mission to outfit the International Space Station for a larger crew and improve the function of a solar array rotary joint. 
Aboard the shuttle are Commander Chris Ferguson, Pilot Eric Boe and mission specialists Don Pettit, Steve Bowen, Heidemarie Stefanyshyn-Piper, Shane Kimbrough and Sandra Magnus. The station crew, Commander Mike Fincke and flight engineers Yury Lonchakov and Greg Chamitoff, watched the Kennedy Space Center launch on a special television feed from Mission Control. 
Magnus will become a station crew member, beginning a three-month stay shortly after docking. She will replace Chamitoff, who will return to Earth aboard Endeavour to end his six-month stay in space.</t>
  </si>
  <si>
    <t>KRnPy6aU29o</t>
  </si>
  <si>
    <t>2008 10 09</t>
  </si>
  <si>
    <t>https://youtu.be/2p2Kt4L3M0Q</t>
  </si>
  <si>
    <t>Ask Astronaut Greg Chamitoff  That's news to me!</t>
  </si>
  <si>
    <t>Astronaut Greg Chamitoff, aboard the International Space Station 220 miles above Earth, is taking your questions. Post a video response to this video with your question or submit a question at http://www.nasa.gov/ask. Chamitoff's schedule will not allow him to answer many questions, but he will attempt to answer a few each week. 
With the Olympic Games in progress, Beijing has become the focus of the news. Do you get information about the Olympics or other news? And, how does it feel to read the news while 220 miles above Earth? -- Sicong Li Taiyuan, 16, China</t>
  </si>
  <si>
    <t>2p2Kt4L3M0Q</t>
  </si>
  <si>
    <t>2008 10 07</t>
  </si>
  <si>
    <t>https://youtu.be/Ij8b-RSlUyc</t>
  </si>
  <si>
    <t xml:space="preserve">Ask Astronaut Greg Chamitoff  Station's Junk Drawer </t>
  </si>
  <si>
    <t>Astronaut Greg Chamitoff, aboard the International Space Station 220 miles above Earth, is taking your questions. Post a video response to this video with your question or submit a question at http://www.nasa.gov/ask. Chamitoff's schedule will not allow him to answer many questions, but he will attempt to answer a few each week. 
Ed, 44, of Cary, North Carolina asks: 
"Most American households have a "junk drawer" space that collects miscellaneous "stuff" that we can't find a better place for. Is there a storage space like that on the ISS, or do you guys operate under "a place for everything, and everything in its place" rule?"</t>
  </si>
  <si>
    <t>Ij8b-RSlUyc</t>
  </si>
  <si>
    <t>2008 10 06</t>
  </si>
  <si>
    <t>https://youtu.be/5bNscJamkWk</t>
  </si>
  <si>
    <t xml:space="preserve">Ask Astronaut Greg Chamitoff  Need a Boost </t>
  </si>
  <si>
    <t>Station 220 miles above Earth, is taking your questions. Post a video response to this video or submit a question at http://www.nasa.gov/ask. Chamitoff's schedule will not allow him to answer many questions, but he will attempt to answer a few each week. 
Chamitoff's schedule will not allow him to answer many questions, but he will attempt to answer a few each week. 
Robert Brodeur, 53, of Chateauguay, Quebec, Canada 
asks:
Now that the ISS is almost complete, does it require more frequent "boosting" of its orbit as compared to when it had only a few segments?</t>
  </si>
  <si>
    <t>5bNscJamkWk</t>
  </si>
  <si>
    <t>2008 10 01</t>
  </si>
  <si>
    <t>https://youtu.be/Mj52CgKHzHQ</t>
  </si>
  <si>
    <t>Earth vs. Space Chess Match; Chamitoff Makes his Move</t>
  </si>
  <si>
    <t>It will be the Earth vs. space in a unique chess match, and you can help Earth win. 
NASA and the U.S. Chess Federation (USCF) are teaming up to host the first public chess match between astronaut Greg Chamitoff, in orbit aboard the International Space Station, and the public. Key players in the game, set to begin on Monday, Sept. 29, will be the kindergarten through third grade U.S. Chess Championship Team and its chess club teammates from Stevenson Elementary School in Bellevue, Wash. 
The K-3 champions will select up to four possible moves each time it is Earth's turn, and then the public will vote on which move will be made. NASA will transmit the winning move to Chamitoff, who will respond. The USCF will facilitate the match on its web site at: 
http://www.uschess.org/nasa2008</t>
  </si>
  <si>
    <t>Mj52CgKHzHQ</t>
  </si>
  <si>
    <t>2008 09 30</t>
  </si>
  <si>
    <t>https://youtu.be/sItKDSf0xl8</t>
  </si>
  <si>
    <t>Apollo Guys</t>
  </si>
  <si>
    <t>Apollo Guys pays tribute to the people in the Apollo Program who landed the first humans on the moon, as well as looks forward to the Constellation Program that will take us back to the moon, to Mars, and then beyond.
Although they may work on trajectories, structures, hypersonic fluid flow, rocket engines, robots, or space suits during the day, the co-ops at NASA are more than just engineers.  They are more than mere nerds.  They are ambassadors to their generation for NASA.  They can sing.  They can dance.  They can even rap (OK, not really).  These videos were made by the co-ops at NASA on their own time, with their own resources.  They care deeply about America's space program, and they want to help you get more involved with NASA's activities.
Apollo Guys (Apologize)
Watching on the screen
Saturn V lifts off the ground
After many sims,
Flight control has got it down
You say that its not easy, but
Astronauts are all moonbound and wait
Were watching them on TV
Walking on the lunar ground and say
We did it, Apollo guys
We did iiiiit
In 1969
We landed (on. the. moon)
Well take another chance, take a shot
Do it all for you 
Orion and Ares take us back
Back to the mooooon yeaaah yeaaah
Its time for us to move ahead
Having breakthroughs each daaay
The past we have to thank, 
Our progress is because of yoooou
And we all say
We did it, Apollo guys
We did iiiiit
In 1969
We landed (on. the. moon)
We did it, Apollo guys
We did iiiiit
In 1969
We landed (on. the. moon)
We did it, Apollo guys, yeaaaah
In 1969, yeaaaah
Watching on the screen
Saturn V lifts off the ground.</t>
  </si>
  <si>
    <t>sItKDSf0xl8</t>
  </si>
  <si>
    <t>https://youtu.be/AiQ9_dLPhfY</t>
  </si>
  <si>
    <t>The Future of NASA</t>
  </si>
  <si>
    <t>The Future of NASA is a picture slideshow of kids working in various roles that are needed to send humans to the moon and beyond. The kids voices, combined with music, tell the inspirational story of how they will contribute to this next giant leap for mankind.
Although they may work on trajectories, structures, hypersonic fluid flow, rocket engines, robots, or space suits during the day, the co-ops at NASA are more than just engineers.  They are more than mere nerds.  They are ambassadors to their generation for NASA.  They can sing.  They can dance.  They can even rap (OK, not really).  These videos were made by the co-ops at NASA on their own time, with their own resources.  They care deeply about America's space program, and they want to help you get more involved with NASA's activities.</t>
  </si>
  <si>
    <t>AiQ9_dLPhfY</t>
  </si>
  <si>
    <t>https://youtu.be/mgSCH6q9gY8</t>
  </si>
  <si>
    <t>I.S.S. Baby</t>
  </si>
  <si>
    <t>A group of NASAs students collaborated to create the greatest rap video ever released by NASA.  Well, its the only one, but under that definition, it is the greatest.  Its also technically the worst.  Take your pick, and let us know what you think!
To learn more about NASA and the ISS, follow the hyperlinks included in the lyrics below. Want to know when the International Space Station or another satellite will be flying over your city? Visit NASAs sightings opportunities page!
Although they may work on trajectories, structures, hypersonic fluid flow, rocket engines, robots, or space suits during the day, the co-ops at NASA are more than just engineers.  They are more than mere nerds.  They are ambassadors to their generation for NASA.  They can sing.  They can dance.  They can even rap (OK, not really).  These videos were made by the co-ops at NASA on their own time, with their own resources.  They care deeply about America's space program, and they want to help you get more involved with NASA's activities.
Lyrics:
Yo JSC lets kick it 
ISS baby (x2)
All right stop, collaborate the station
NASAs back with a brand new mission
Engines fire Im holding on tightly
Orbiting earth daily and nightly
How long will it go YO! I dont know
Constellations next Fo SHO
To the extreme, put up the solar panels
Power the station the commandas gonna handle
SPACE its the final frontier
Who gonna get us there, engineers
NASA  to the moon by twenty twenty
Anything less than the best is a felony
Love it or leave it, this is our fate
We goin do it, this kid dont play
If there was a problem yo Id solve it
Check out the sun while our earth revolves it.
ISS baby (x4)
Now that the shuttle is dumping
All the crew kicks in and the parties are bumpin 
Sick to the point and the joints be achin
It may look easy, dont be mistaken
Moving them not so quick with gimbles
Take out the parts and start to assemble
All the modules like Node 3 and Kibo
Astro or Cosmo, they all do it so pro
Flyin  up in L.E.O.
With the screen shade down so they can see below
Controllers on standby  everythings alright!
Do they stop?  No they just switch guys
Shuttle launching til we say stop
Progress, Soyuz keeping us at the top
We launch ahead, Hey
Reppin all ova 2-1-0-1 NASA Parkway
NASAs hot working things like Cassini
Projects here are anything but teeny
Jealous cause our jobs sublime
Rocket scientists showin off we can rhyme.
Working it all for the long haul
Everyone ready to drop it when the phone calls
Expeditions keeping it swell
Up in the lab slash space hotel
Streaking across the sky real fast
The space station making a pass
Vector to vector, they keep it intact
Greatest global endeavor, aint that the fact
Workers on the scene all up in machine
Screen it up, checking everything is routine
If there was a problem yo theyd solve it 
Check out the Earth while our station revolves it</t>
  </si>
  <si>
    <t>mgSCH6q9gY8</t>
  </si>
  <si>
    <t>https://youtu.be/fNcFyRkwQYA</t>
  </si>
  <si>
    <t>Ask Astronaut Greg Chamitoff  It's About Time!</t>
  </si>
  <si>
    <t>Astronaut Greg Chamitoff, aboard the International Space Station 220 miles above Earth, is taking your questions. Post a video response to this video or submit a question at http://www.nasa.gov/ask. Chamitoff's schedule will not allow him to answer many questions, but he will attempt to answer a few each week. 
Chamitoff's schedule will not allow him to answer many questions, but he will attempt to answer a few each week. 
Mauricio Londono of Colombia, South America asks:
Do you use a common wristwatch on board or do you have a special one?</t>
  </si>
  <si>
    <t>fNcFyRkwQYA</t>
  </si>
  <si>
    <t>2008 09 29</t>
  </si>
  <si>
    <t>https://youtu.be/KtUNUdO2_1k</t>
  </si>
  <si>
    <t>Ask Astronaut Greg Chamitoff  'The Smell of Space'</t>
  </si>
  <si>
    <t>Astronaut Greg Chamitoff, aboard the International Space Station 220 miles above Earth, is taking your questions. Here's your chance to hear direct from space. Chamitoff's schedule will not allow him to answer many questions, but he will attempt to answer a few each week. 
Owen of San Francisco asks: "They say that the sense of smell creates the strongest memories for a person. What does the ISS smell like and what scent do you miss on Earth?"</t>
  </si>
  <si>
    <t>KtUNUdO2_1k</t>
  </si>
  <si>
    <t>2008 09 25</t>
  </si>
  <si>
    <t>https://youtu.be/AutZQ-4KpEQ</t>
  </si>
  <si>
    <t>Ask Astronaut Greg Chamitoff  In Your Dreams</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</si>
  <si>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Nancy, 51, of Florida asks: 
Do you have dreams when you go to sleep in the space station? If yes, is it the same compared to the ones you have on Earth?</t>
  </si>
  <si>
    <t>AutZQ-4KpEQ</t>
  </si>
  <si>
    <t>2008 09 10</t>
  </si>
  <si>
    <t>https://youtu.be/veDmf1cKbmU</t>
  </si>
  <si>
    <t>Ask Astronaut Greg Chamitoff  Fitness and Stress in Space</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</si>
  <si>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Dick Kashdin, 65, of Clarence, New York asks:
What is the most stressful and the most pleasing part of your daily routine?</t>
  </si>
  <si>
    <t>veDmf1cKbmU</t>
  </si>
  <si>
    <t>2008 09 03</t>
  </si>
  <si>
    <t>https://youtu.be/12vZSwQtmgo</t>
  </si>
  <si>
    <t xml:space="preserve">Ask Astronaut Greg Chamitoff  Working Hard, Hardly Working </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</si>
  <si>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Chris, 13, of England asks: Is it easier to work in space than it is on the ground?</t>
  </si>
  <si>
    <t>12vZSwQtmgo</t>
  </si>
  <si>
    <t>https://youtu.be/d_ATYPb89eA</t>
  </si>
  <si>
    <t xml:space="preserve">Ask Astronaut Greg Chamitoff  Scuba for Space </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</si>
  <si>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Greg, 31, of Houston asks: 
I am an avid scuba diver and instructor. As a diver do you feel that your scuba training or experience has had a direct influence on your level of preparedness for space flight? Safe journey!</t>
  </si>
  <si>
    <t>d_ATYPb89eA</t>
  </si>
  <si>
    <t>2008 09 02</t>
  </si>
  <si>
    <t>https://youtu.be/x5P9mTiRQuY</t>
  </si>
  <si>
    <t>Ask Astronaut Greg Chamitoff  Tinkering on Orbit</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</si>
  <si>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Marc Mattiuzzo, 22, of Switzerland asks: Could you describe one of the experiments you performed on orbit and what were the results?</t>
  </si>
  <si>
    <t>x5P9mTiRQuY</t>
  </si>
  <si>
    <t>2008 08 29</t>
  </si>
  <si>
    <t>https://youtu.be/fuFftT6ZR4k</t>
  </si>
  <si>
    <t>Ask Astronaut Greg Chamitoff  Light a Match!</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</si>
  <si>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Donald Boyer, 66, of Ashland, Ohio asks: I have always wondered about fire in a zero gravity environment. If you could light a match in your space ship, would the match fire tip go upward as it does down here with gravity, or would it just become a round ball of fire since there is no gravity around the flame? Or, does gravity have any effect on fire?</t>
  </si>
  <si>
    <t>fuFftT6ZR4k</t>
  </si>
  <si>
    <t>2008 08 28</t>
  </si>
  <si>
    <t>https://youtu.be/uAPi0lDPI4o</t>
  </si>
  <si>
    <t>Ask Astronaut Greg Chamitoff  Speaking Neemo</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</si>
  <si>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Trevor, 34, of Alta Loma, Calif asks: Greg, Did your time on Aquarius help prepare you for the time you have spent on the ISS? Or is it totally different? Also, since your crewmates are Russian, do you have to speak Russian to them or do they speak English? Or is it a combination of both?</t>
  </si>
  <si>
    <t>uAPi0lDPI4o</t>
  </si>
  <si>
    <t>2008 08 27</t>
  </si>
  <si>
    <t>https://youtu.be/7NJXH5EWp3M</t>
  </si>
  <si>
    <t>Ask Astronaut Greg Chamitoff  A Hairy Situation</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</si>
  <si>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Ernie Childress, 39, of Pittsburgh asks: If you wanted a haircut in space, is it possible? And would you let a fellow crew member give you a trim?</t>
  </si>
  <si>
    <t>7NJXH5EWp3M</t>
  </si>
  <si>
    <t>2008 08 26</t>
  </si>
  <si>
    <t>https://youtu.be/_0VdV4-Pbh4</t>
  </si>
  <si>
    <t xml:space="preserve">Ask Astronaut Greg Chamitoff  Hallucinations </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</si>
  <si>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Stephan Hinz, 38, from Germany asks:
I would like to know if you experience any kind of sensory dysfunctions or hallucinations, maybe like little flashes "seen" with closed eyes caused by high energy cosmic radiation?</t>
  </si>
  <si>
    <t>_0VdV4-Pbh4</t>
  </si>
  <si>
    <t>2008 08 25</t>
  </si>
  <si>
    <t>https://youtu.be/-N5A0L83C_M</t>
  </si>
  <si>
    <t>Ask Astronaut Greg Chamitoff  Space Station Orientation</t>
  </si>
  <si>
    <t>Astronaut Greg Chamitoff, aboard the International Space Station 220 miles above Earth, is taking your questions. Here's your chance to hear direct from space. Chamitoff's schedule will not allow him to answer many questions, but he will attempt to answer a few each week. To submit your question, go to www.nasa.gov/ask! Come back to ReelNASA to hear your answers!
Brian Watt, 42, of Phoenix asks: Why does the space station have to be in a specific orientation in order to dock to shuttle or resupply spacecrafts?</t>
  </si>
  <si>
    <t>-N5A0L83C_M</t>
  </si>
  <si>
    <t>2008 08 22</t>
  </si>
  <si>
    <t>https://youtu.be/VaSKLKs4hk4</t>
  </si>
  <si>
    <t>Ask an Astronaut  Post a Video Response!</t>
  </si>
  <si>
    <t>Astronaut Greg Chamitoff, aboard the International Space Station 220 miles above Earth, is taking your questions.  
Post a video response to this video or visit http://www.nasa.gov/ask and submit a question there. Chamitoff's schedule will not allow him to answer many questions, but he will attempt to answer a few each week.</t>
  </si>
  <si>
    <t>VaSKLKs4hk4</t>
  </si>
  <si>
    <t>2008 08 21</t>
  </si>
  <si>
    <t>https://youtu.be/pOrzI21ZF8U</t>
  </si>
  <si>
    <t xml:space="preserve">Constellation  What does it take </t>
  </si>
  <si>
    <t>Take a look at NASA's latest public service announcement, which examines what it takes for the Constellation program to return humans to the moon.</t>
  </si>
  <si>
    <t>pOrzI21ZF8U</t>
  </si>
  <si>
    <t>2008 07 23</t>
  </si>
  <si>
    <t>https://youtu.be/UDC0EEh4YeA</t>
  </si>
  <si>
    <t>Test of the Orion Launch Abort System on the Pad</t>
  </si>
  <si>
    <t>The Pad Abort-1 Test will be the first of a series of flight tests of the full Orion Launch Abort System (LAS), which is being developed by NASA, Lockheed Martin and Orbital Sciences Corporation. These tests will be conducted at White Sands Missile Range in New Mexico. The LAS is a solid rocket motor system that provides a safe escape for the crew. The LAS is the first of its kind and is an extremely complex system that must, within milliseconds, be able to pull the crew module to safety away from the launch vehicle in the event of an emergency on the pad or during the initial phase of ascent.</t>
  </si>
  <si>
    <t>UDC0EEh4YeA</t>
  </si>
  <si>
    <t>2008 06 27</t>
  </si>
  <si>
    <t>https://youtu.be/wlzytubpMiE</t>
  </si>
  <si>
    <t>A Look Inside Orion</t>
  </si>
  <si>
    <t>America will send a new generation of explorers to the moon aboard NASA's Orion crew exploration vehicle. Making its first flights early in the next decade, Orion is part of the Constellation Program to send human explorers back to the moon, and then onward to Mars and other destinations in the solar system. This is a look inside the spacecraft as it continues through the development phase at NASA's Johnson Space Center.</t>
  </si>
  <si>
    <t>wlzytubpMiE</t>
  </si>
  <si>
    <t>2008 06 07</t>
  </si>
  <si>
    <t>https://youtu.be/k7jd30y6qr8</t>
  </si>
  <si>
    <t>Your Wildest Dreams</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</si>
  <si>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STS-124 crew wake-up call, Flight Day 2 -- "Your Wildest Dreams" by the Moody Blues was played for Pilot Ken Ham.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</si>
  <si>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k7jd30y6qr8</t>
  </si>
  <si>
    <t>2008 05 31</t>
  </si>
  <si>
    <t>https://youtu.be/tiGsH4xmelI</t>
  </si>
  <si>
    <t>Discovery Lifts Off!</t>
  </si>
  <si>
    <t>Space shuttle Discovery rocketed into space to begin a 14-day mission to attach a new scientific module to the International Space Station. Launch came at 5:02 p.m. EDT from NASA's Kennedy Space Center in Florida and set Discovery on a trajectory to intercept the space station in two days. 
Seven astronauts flew Discovery into space, led by Commander Mark Kelly. The pilot for the mission is Ken Ham. Karen Nyberg, Ron Garan, Mike Fossum, Gregory Chamitoff and Japan's Akihiko Hoshide are the mission specialists for the flight. Chamitoff will trade places on the station with astronaut Garrett Reisman. 
The group will spend most of its time in space installing the Japanese Pressurized Module to the International Space Station and then outfitting it for its work as a space science laboratory. The section is the largest habitable module for the station and is equipped with its own robotic arm. A smaller module was taken into space during a previous mission and will be moved during Discovery's mission to its permanent home atop the pressurized module. The Japanese complex is called Kibo, which is Japanese for hope.</t>
  </si>
  <si>
    <t>tiGsH4xmelI</t>
  </si>
  <si>
    <t>2008 05 06</t>
  </si>
  <si>
    <t>https://youtu.be/fArt6k6j70k</t>
  </si>
  <si>
    <t>Happy International Women's Day!</t>
  </si>
  <si>
    <t>While in space, Expedition 16 Peggy Whitson, the first female commander of the International Space Station, receives a special tribute from Earth on International Women's Day.</t>
  </si>
  <si>
    <t>fArt6k6j70k</t>
  </si>
  <si>
    <t>2008 04 04</t>
  </si>
  <si>
    <t>https://youtu.be/L5-vPCmdlSQ</t>
  </si>
  <si>
    <t>Everest Expedition 2008  The Journey Begins</t>
  </si>
  <si>
    <t>Astronaut Scott Parazynski has set off for a new expediton. This time, he won't be leaving Earth.</t>
  </si>
  <si>
    <t>L5-vPCmdlSQ</t>
  </si>
  <si>
    <t>2008 03 23</t>
  </si>
  <si>
    <t>https://youtu.be/aYkqQANPQxY</t>
  </si>
  <si>
    <t>Everest Expedition 2008 Trailer</t>
  </si>
  <si>
    <t>Astronaut Scott Parazynski soon sets off for a new expediton. This time, he won't be leaving Earth.</t>
  </si>
  <si>
    <t>aYkqQANPQxY</t>
  </si>
  <si>
    <t>2008 03 22</t>
  </si>
  <si>
    <t>https://youtu.be/S_bn0aDorjQ</t>
  </si>
  <si>
    <t>We're Going to be Friends</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</si>
  <si>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STS-123 crew wake-up call, Flight Day 6 -- "We're Going to be Friends" by the White Stripes was played for Mission Specialist Robert L. Behnken.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</si>
  <si>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S_bn0aDorjQ</t>
  </si>
  <si>
    <t>2008 03 21</t>
  </si>
  <si>
    <t>https://youtu.be/yrm0VRoUHRo</t>
  </si>
  <si>
    <t>Booster Shot  Endeavour's Night Launch from SRB Cams</t>
  </si>
  <si>
    <t>Watch the night launch of Endeavour's launch from the unique perspective of the shuttle's solid rocket boosters!</t>
  </si>
  <si>
    <t>yrm0VRoUHRo</t>
  </si>
  <si>
    <t>https://youtu.be/68y3xl5HVmo</t>
  </si>
  <si>
    <t>Hope Floats  Tour Japanese Experiment Module, Kibo</t>
  </si>
  <si>
    <t>STS-123 Mission Specialist Takao Doi gives a tour of the Japanese Experiment Module, Kibo, meaning "hope."</t>
  </si>
  <si>
    <t>68y3xl5HVmo</t>
  </si>
  <si>
    <t>2008 03 19</t>
  </si>
  <si>
    <t>https://youtu.be/su4QYQdWicQ</t>
  </si>
  <si>
    <t>Turn! Turn! Turn!</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</si>
  <si>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STS-123 crew wake-up call, Flight Day 5: -- "Turn! Turn! Turn! (To Everything There is a Season)" by The Bryds was played for Mission Specialist Rick Linnehan.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</si>
  <si>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su4QYQdWicQ</t>
  </si>
  <si>
    <t>2008 03 14</t>
  </si>
  <si>
    <t>https://youtu.be/6_jR-oG1eQk</t>
  </si>
  <si>
    <t>'Do it all, Have a Ball!' Mr. Saturday Night!</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</si>
  <si>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STS-123 crew wake-up call, Flight Day 4: -- played for Mission Specialist Garret Reisman.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</si>
  <si>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6_jR-oG1eQk</t>
  </si>
  <si>
    <t>https://youtu.be/IXTVju0bSdE</t>
  </si>
  <si>
    <t>Godzilla Wake up</t>
  </si>
  <si>
    <t>Wake-up calls are a long-standing tradition of the NASA program. Each day during the mission, flight controllers in the Mission Control Center will greet the crew with an appropriate musical interlude.
STS-123 crew wake-up call, Flight Day 3: -- played for Japan Aerospace Exploration Agency Astronaut Mission Specialist Takao Doi.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</si>
  <si>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IXTVju0bSdE</t>
  </si>
  <si>
    <t>2008 03 13</t>
  </si>
  <si>
    <t>https://youtu.be/5YsZ9__9KlA</t>
  </si>
  <si>
    <t>Linus &amp; Lucy</t>
  </si>
  <si>
    <t>Wake-up calls are a long-standing tradition of the NASA program. Each day during the mission, flight controllers in the Mission Control Center will greet the crew with an appropriate musical interlude.
STS-123 crew wake-up call, Flight Day 2: STS-122 crew wake-up call -- Peanuts theme song was played for Mission Specialist Mike Foreman.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STS-123 @ www.nasa.gov!</t>
  </si>
  <si>
    <t>5YsZ9__9KlA</t>
  </si>
  <si>
    <t>https://youtu.be/W0fArNhU5l8</t>
  </si>
  <si>
    <t>Welcome Aboard! My Home is Your Home</t>
  </si>
  <si>
    <t>The Expedition 16 crew welcomes the STS-123 crew aboard the International Space Station.</t>
  </si>
  <si>
    <t>W0fArNhU5l8</t>
  </si>
  <si>
    <t>https://youtu.be/7qiAF7gMZ2o</t>
  </si>
  <si>
    <t>Endeavour on the Flip Side</t>
  </si>
  <si>
    <t>Watch Space shuttle Endeavour perform a back flip in space as it approaches the International Space Station. 
About an hour before docking, STS-123 Commander Dominic Gorie and Pilot Gregory H. Johnson guided the shuttle through a back-flip maneuver, giving the Expedition 16 crew the opportunity to take pictures of the orbiter's protective heat-resistant tiles. These photos will be sent to engineers on Earth for analysis. 
As the shuttle bellies up to the station, the station crew has about 9 minutes to snap up as many photos as it can. The digital snapshots are downlinked to Earth to check for chips and dings on the surface of the tiles, which act as the vehicle's heat shield. 
Tiles range in thickness from a quarter-inch to four-and-a-half inches thick. The space shuttle leading edges and the nose cone are made of reinforced carbon-carbon material capable of withstanding temperatures up to 3,600 degrees, now that's a hottie! 
About an hour before docking, STS-123 Commander Dominic Gorie and Pilot Gregory H. Johnson guided the shuttle through a back-flip maneuver, giving the Expedition 16 crew the opportunity to take pictures of the orbiter's protective heat-resistant tiles. These photos will be sent to engineers on Earth for analysis.</t>
  </si>
  <si>
    <t>7qiAF7gMZ2o</t>
  </si>
  <si>
    <t>2008 03 11</t>
  </si>
  <si>
    <t>https://youtu.be/f2rbrNMSXBs</t>
  </si>
  <si>
    <t>Room with a View  Launch from Vehicle Assembly Building</t>
  </si>
  <si>
    <t>Brilliantly lighting up the dark sky, space shuttle Endeavour roared off the launch pad carrying the STS-123 crew, a module of Japan's Kibo laboratory and a Canadian robotic system to begin the 25th mission to the International Space Station. 
NASA astronaut Dominic Gorie commands a crew of six, including Pilot Gregory H. Johnson and Mission Specialists Rick Linnehan, Robert L. Behnken, Mike Foreman, Garrett Reisman and Japanese astronaut Takao Doi. Johnson, Behnken and Foreman will be making their first spaceflight.
Follow the STS-123 mission at www.nasa.gov! (more)</t>
  </si>
  <si>
    <t>f2rbrNMSXBs</t>
  </si>
  <si>
    <t>https://youtu.be/enssQtVVqm4</t>
  </si>
  <si>
    <t>'Early Sunrise' Endeavour Lifts off into the Night</t>
  </si>
  <si>
    <t>Brilliantly lighting up the dark sky, space shuttle Endeavour roared off the launch pad carrying the STS-123 crew, a module of Japan's Kibo laboratory and a Canadian robotic system to begin the 25th mission to the International Space Station. 
NASA astronaut Dominic Gorie commands a crew of six, including Pilot Gregory H. Johnson and Mission Specialists Rick Linnehan, Robert L. Behnken, Mike Foreman, Garrett Reisman and Japanese astronaut Takao Doi. Johnson, Behnken and Foreman will be making their first spaceflight.
Follow the STS-123 mission at www.nasa.gov!</t>
  </si>
  <si>
    <t>enssQtVVqm4</t>
  </si>
  <si>
    <t>2008 03 10</t>
  </si>
  <si>
    <t>https://youtu.be/-JGP1v9bxpQ</t>
  </si>
  <si>
    <t>All Aboard  Station Goes Global (animation)</t>
  </si>
  <si>
    <t>This animation video provides an overview of the STS-123 shuttle mission. 
To read more and follow this mission, visit nasa.gov.</t>
  </si>
  <si>
    <t>-JGP1v9bxpQ</t>
  </si>
  <si>
    <t>https://youtu.be/raUqLDqjJKg</t>
  </si>
  <si>
    <t>raUqLDqjJKg</t>
  </si>
  <si>
    <t>2008 02 28</t>
  </si>
  <si>
    <t>https://youtu.be/gOARToiteow</t>
  </si>
  <si>
    <t>From Launch to Land  The Voyage of Columbus</t>
  </si>
  <si>
    <t>Watch highlights from launch to land of mission STS-122.</t>
  </si>
  <si>
    <t>gOARToiteow</t>
  </si>
  <si>
    <t>https://youtu.be/b3rwLgUTjcw</t>
  </si>
  <si>
    <t>Welcome Home STS-122 Crew!</t>
  </si>
  <si>
    <t>Watch and hear from the crew of STS-122 as it receives a warm welcome home at Ellington Field, following a successful mission. 
To learn more on this mission, visit nasa.gov!</t>
  </si>
  <si>
    <t>b3rwLgUTjcw</t>
  </si>
  <si>
    <t>2008 02 22</t>
  </si>
  <si>
    <t>https://youtu.be/ONbK_AA7TsM</t>
  </si>
  <si>
    <t>Game On  NASA Advances Virtual Cockpit for Moon Landings</t>
  </si>
  <si>
    <t>View footage from the research aircraft during the recent flight demonstration of the Advanced Cockpit Evaluation System.
Read about this advancement here:
http://www.nasa.gov/mission_pages/constellation/main/virtual_cockpit.html
For more stories like this, visit www.nasa.gov!</t>
  </si>
  <si>
    <t>ONbK_AA7TsM</t>
  </si>
  <si>
    <t>2008 02 20</t>
  </si>
  <si>
    <t>https://youtu.be/X1K9QW51gYI</t>
  </si>
  <si>
    <t>Atlantis Rests at Wheel Stop</t>
  </si>
  <si>
    <t>Space shuttle Atlantis rolled to stop on Kennedy Space Center Shuttle Landing Facility runway 15, completing its 13-day journey of nearly 5.3 million miles in space. Commander Steve Frick thanked everyone for helping to bring them safely home.
Atlantis touched down at 9:07:10 a.m. EST. Nose gear touch down followed at 9:07:20 a.m.. Wheels stop occurred at 9:08:08 a.m..</t>
  </si>
  <si>
    <t>X1K9QW51gYI</t>
  </si>
  <si>
    <t>2008 02 17</t>
  </si>
  <si>
    <t>https://youtu.be/QBCNNel9EVU</t>
  </si>
  <si>
    <t>Oysters and Pearls</t>
  </si>
  <si>
    <t>Wake-up calls are a long-standing tradition of the NASA program. Each day during the mission, flight controllers in the Mission Control Center will greet the crew with an appropriate musical interlude.
STS-122 crew wake-up call, Flight Day 7: STS-122 crew wake-up call, Flight Day 7 -- "Oysters and Pearls" by Jimmy Buffet was played for Pilot Alan Poindexter.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</si>
  <si>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QBCNNel9EVU</t>
  </si>
  <si>
    <t>https://youtu.be/naVLj5RZndY</t>
  </si>
  <si>
    <t>Wheels on the Bus</t>
  </si>
  <si>
    <t>Management Astronaut Jerry Ross, Chief, Vehicle Integration Test Office busses with crewmembers of STS-122 before their flight. Jerry Ross is a veteran of seven space flights. Ross has over 1,393 hours in space, including 58 hours and 18 minutes on nine spacewalks. He was the first person to ever be launched into space seven times.</t>
  </si>
  <si>
    <t>naVLj5RZndY</t>
  </si>
  <si>
    <t>2008 02 16</t>
  </si>
  <si>
    <t>https://youtu.be/1sN7RXC9vIw</t>
  </si>
  <si>
    <t>Dream Come True</t>
  </si>
  <si>
    <t>Wake-up calls are a long-standing tradition of the NASA program. Each day during the mission, flight controllers in the Mission Control Center will greet the crew with an appropriate musical interlude.
STS-122 crew wake-up call, Flight Day 6: "Dream Come True" by Jim Brickman was played for Mission Specialist Rex Walheim.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</si>
  <si>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1sN7RXC9vIw</t>
  </si>
  <si>
    <t>https://youtu.be/dQNNjDQrslQ</t>
  </si>
  <si>
    <t>Two Crews and the News from Space</t>
  </si>
  <si>
    <t>View a news conference held with the crews of Exp. 16 and STS-122 on their work, experiences and  recent celebratory moments while in space.</t>
  </si>
  <si>
    <t>dQNNjDQrslQ</t>
  </si>
  <si>
    <t>2008 02 13</t>
  </si>
  <si>
    <t>https://youtu.be/ge_uzCSbPg0</t>
  </si>
  <si>
    <t>Flight to Florida for TCDT</t>
  </si>
  <si>
    <t>The STS-122 crew onboard a plane heading to Florida where they participate in the Terminal Countdown Demonstration Test at the Kennedy Space Center before their launch. TCDT includes several safety training activities, including emergency egress, and a simulated launch countdown.</t>
  </si>
  <si>
    <t>ge_uzCSbPg0</t>
  </si>
  <si>
    <t>2008 02 12</t>
  </si>
  <si>
    <t>https://youtu.be/54rYZAjI9eQ</t>
  </si>
  <si>
    <t>Fly Like an Eagle</t>
  </si>
  <si>
    <t>Wake-up calls are a long-standing tradition of the NASA program. Each day during the mission, flight controllers in the Mission Control Center will greet the crew with an appropriate musical interlude.
STS-122 crew wake-up call, Flight Day 5: "Fly Like an Eagle", written by Steve Miller and performed by another singer, was played for Mission Specialist Leland Melvin.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</si>
  <si>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54rYZAjI9eQ</t>
  </si>
  <si>
    <t>https://youtu.be/sWhx_uAII38</t>
  </si>
  <si>
    <t>Maenner</t>
  </si>
  <si>
    <t>Wake-up calls are a long-standing tradition of the NASA program. Each day during the mission, flight controllers in the Mission Control Center will greet the crew with an appropriate musical interlude.
STS-122 crew wake-up call, Flight Day 4: 'Maenner' by Herbert Groenemeyer was played for European Space Agency astronaut Hans Schlegel.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</si>
  <si>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sWhx_uAII38</t>
  </si>
  <si>
    <t>https://youtu.be/ARdX6Uf2K4s</t>
  </si>
  <si>
    <t>Wake up! Commander Steve Frick</t>
  </si>
  <si>
    <t>Wake-up calls are a long-standing tradition of the NASA program. Each day during the mission, flight controllers in the Mission Control Center will greet the crew with an appropriate musical interlude.
STS-122 crew wake-up call, Flight Day 3: The theme song to the Prairie The theme song to the Prairie Home Companion by Spencer Williams was played for STS-122 Commander Stephen Frick.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</si>
  <si>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ARdX6Uf2K4s</t>
  </si>
  <si>
    <t>2008 02 11</t>
  </si>
  <si>
    <t>https://youtu.be/iM7btO-1MLQ</t>
  </si>
  <si>
    <t>Book of Love</t>
  </si>
  <si>
    <t>Wake-up calls are a long-standing tradition of the NASA program. Each day during the mission, flight controllers in the Mission Control Center will greet the crew with an appropriate musical interlude.
STS-122 crew wake-up call, Flight Day 2: 'Book of Love' by Peter Gabriel was played for was played for European Space Agency astronaut Léopold Eyharts.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STS-122 @ www.nasa.gov!</t>
  </si>
  <si>
    <t>iM7btO-1MLQ</t>
  </si>
  <si>
    <t>https://youtu.be/t03P5WfWj34</t>
  </si>
  <si>
    <t>The Voyage of Columbus (animation)</t>
  </si>
  <si>
    <t>Animation video that gives an overview of the mission STS-122.</t>
  </si>
  <si>
    <t>t03P5WfWj34</t>
  </si>
  <si>
    <t>2008 02 10</t>
  </si>
  <si>
    <t>https://youtu.be/4RSnOiMVfHk</t>
  </si>
  <si>
    <t>Atlantis' Acrobats  One backflip and a dock to ISS</t>
  </si>
  <si>
    <t>Watch the shuttle perform a back flip in space as it approaches the International Space Station. At about 600 feet below the station, the shuttle flips bass ackwards, exposing its underside to the station. 
As the shuttle bellies up to the station, the station crew has about 9 minutes to snap up as many photos as it can. The digital snapshots are downlinked to Earth to check for chips and dings on the surface of the tiles, which act as the vehicle's heat shield. 
Tiles range in thickness from a quarter-inch to four-and-a-half inches thick. The space shuttle leading edges and the nose cone are made of reinforced carbon-carbon material capable of withstanding temperatures up to 3,600 degrees, now that's a hottie! 
The Shuttle Atlantis, which launched Feb. 7, 2007 and flipped upside down before docking to the station Feb. 9, has 24,000 thermal protection tiles.</t>
  </si>
  <si>
    <t>4RSnOiMVfHk</t>
  </si>
  <si>
    <t>2008 02 07</t>
  </si>
  <si>
    <t>https://youtu.be/8o72MzrgFiU</t>
  </si>
  <si>
    <t>Up, up and away! Atlantis rockets spaceward!</t>
  </si>
  <si>
    <t>Atlantis, carrying the STS-122 crew and Columbus Laboratory, roared off the launch pad into the mid-afternoon sky to begin the 24th mission to the International Space Station. 
NASA astronaut Steve Frick commands a crew of six, including Pilot Alan Poindexter and Mission Specialists Leland Melvin, Rex Walheim, Stanley Love and the European Space Agency's Hans Schlegel and Leopold Eyharts. This is the first spaceflight for Poindexter, Love and Melvin. 
During the 11-day mission, the crew's prime objective is to attach the European Space Agency's Columbus Laboratory to the International Space Station, adding to the station's size and capabilities. 
Expedition 16 Flight Engineer Daniel Tani, who arrived at the station aboard Discovery in October, will return to Earth with the Atlantis crew as Eyharts takes his place on the station.</t>
  </si>
  <si>
    <t>8o72MzrgFiU</t>
  </si>
  <si>
    <t>2008 02 06</t>
  </si>
  <si>
    <t>https://youtu.be/7a2PaTECVSk</t>
  </si>
  <si>
    <t>Constellation  It's for the new generation</t>
  </si>
  <si>
    <t>A comprehensive video explaining the Constellation program.  Hear about the next steps NASA will take through Constellation, and sneak a peek at NASA's newest vehicles: the Orion crew vehicle, the Ares launch vehicles (Ares 1 Crew Launch Vehicle and Ares V heavy launch vehicle) and the Altair Lunar Lander. Learn what progress has been made in the development of  this new generation of spacecraft.</t>
  </si>
  <si>
    <t>7a2PaTECVSk</t>
  </si>
  <si>
    <t>https://youtu.be/VP4YsVtJdfQ</t>
  </si>
  <si>
    <t xml:space="preserve">What can Orange do for You </t>
  </si>
  <si>
    <t>Astronauts of STS-122 suit up for emergency bailout practice before their launch, which is slated for liftoff Feb. 7, 2008.</t>
  </si>
  <si>
    <t>VP4YsVtJdfQ</t>
  </si>
  <si>
    <t>2007 12 15</t>
  </si>
  <si>
    <t>https://youtu.be/Zn_IcuVZPps</t>
  </si>
  <si>
    <t>Let's Take a Walk</t>
  </si>
  <si>
    <t>The crew of STS-122 commutes to a meeting on campus at the Johnson Space Center in Houston, TX. This video was captured a couple weeks before the first launch attempt of STS-122 in December. 
STS-122 is now slated to liftoff no earlier than Jan. 2. 
For complete mission coverage, visit www.nasa.gov!</t>
  </si>
  <si>
    <t>Zn_IcuVZPps</t>
  </si>
  <si>
    <t>2007 12 10</t>
  </si>
  <si>
    <t>https://youtu.be/2NbApv43bHM</t>
  </si>
  <si>
    <t>Office Space</t>
  </si>
  <si>
    <t>STS-122 Mission Specialists Rex Walheim and Hans Schlegal caught working in the office as they prepare for their upcoming launch. STS-122 Leland Melvin talks to his crew mates in this behind-the-scenes clip of astronauts in their office space. 
The launch of space shuttle Atlantis has been rescheduled for no earlier than Jan. 2, 2008. 
For complete coverage of the STS-122 mission, visit www.nasa.gov!</t>
  </si>
  <si>
    <t>2NbApv43bHM</t>
  </si>
  <si>
    <t>2007 12 07</t>
  </si>
  <si>
    <t>https://youtu.be/Tmd2poItPmA</t>
  </si>
  <si>
    <t>Teamwork  A Universal Language</t>
  </si>
  <si>
    <t>The international partnership aimed at building and operating the International Space Station is the hallmark of modern space exploration.
STS-122 Mission Specialists Leland Melvin and Hans Schlegal, European Space Agency astronaut, 'come together' here in this video as partners and friends. 
STS-122 is slated to liftoff Dec. 8, and will carry with them aboard Atlantis the European-built research laboratory, Columbus to the space station.</t>
  </si>
  <si>
    <t>Tmd2poItPmA</t>
  </si>
  <si>
    <t>2007 12 05</t>
  </si>
  <si>
    <t>https://youtu.be/2ewHl3FefBE</t>
  </si>
  <si>
    <t>Two Strapping Guys</t>
  </si>
  <si>
    <t>STS-122 Mission Specialist Leland Melvin talks to the men who help suit up and strap in the astronauts for flight training modules and the real deal.
Follow the STS-122 mission @ www.nasa.gov!</t>
  </si>
  <si>
    <t>2ewHl3FefBE</t>
  </si>
  <si>
    <t>2007 12 04</t>
  </si>
  <si>
    <t>https://youtu.be/MJnj6I0OBIc</t>
  </si>
  <si>
    <t xml:space="preserve">What are YOU doing today </t>
  </si>
  <si>
    <t>STS-122 Commander Steve Frick suits up for a day of flight training before commanding Atlantis into space.
Follow the STS-122 mission @ www.nasa.gov!</t>
  </si>
  <si>
    <t>MJnj6I0OBIc</t>
  </si>
  <si>
    <t>2007 11 30</t>
  </si>
  <si>
    <t>https://youtu.be/JRbYCVia7WM</t>
  </si>
  <si>
    <t>What Not to Wear</t>
  </si>
  <si>
    <t>Behind the scenes with the astronauts of STS-122 suiting up for a training exercise weeks before their launch.
Follow the STS-122 mission @ www.nasa.gov!</t>
  </si>
  <si>
    <t>JRbYCVia7WM</t>
  </si>
  <si>
    <t>2007 10 26</t>
  </si>
  <si>
    <t>https://youtu.be/_6KArYnSz4o</t>
  </si>
  <si>
    <t>STS-120 Discovery Backflip</t>
  </si>
  <si>
    <t>Watch the shuttle Discovery perform a back flip in space as it approaches the International Space Station. At about 600 feet below the station, the shuttle flips bass ackwards, exposing its underside to the station. 
As the shuttle bellies up to the station, the station crew has about 9 minutes to snap up as many photos as it can. The digital snapshots are downlinked to Earth to check for chips and dings on the surface of the tiles, which act as the vehicle's heat shield. 
Tiles range in thickness from a quarter-inch to four-and-a-half inches thick. The space shuttle leading edges and the nose cone are made of reinforced carbon-carbon material capable of withstanding temperatures up to 3,600 degrees, now that's a hottie!</t>
  </si>
  <si>
    <t>_6KArYnSz4o</t>
  </si>
  <si>
    <t>2007 10 25</t>
  </si>
  <si>
    <t>https://youtu.be/fcPRGB_dXdw</t>
  </si>
  <si>
    <t>Eye Above the Sky  So Cal's Ferocious Fires Seen from Space</t>
  </si>
  <si>
    <t>Astronauts in space captured video of the wind-whipped wildfires that have tormented Southern California from San Diego to suburban Los Angeles.</t>
  </si>
  <si>
    <t>fcPRGB_dXdw</t>
  </si>
  <si>
    <t>https://youtu.be/DMEMJPwLNbQ</t>
  </si>
  <si>
    <t>What's Up  STS-120 Mission Overview (animation)</t>
  </si>
  <si>
    <t>STS-120 is the 23rd shuttle mission to the International Space Station, launching an Italian-built U.S. multi-port module for the station. 
Retired Air Force Col. Pamela A. Melroy will command the STS-120 mission to take the Node 2 connecting module to the station. Melroy, a veteran shuttle pilot, is the second woman to command a shuttle. Marine Corps Col. George D. Zamka will serve as pilot. The flight's mission specialists will be Scott E. Parazynski, Army Col. Douglas H. Wheelock, Stephanie D. Wilson and Paolo A. Nespoli, a European Space Agency astronaut from Italy. Zamka, Wheelock and Nespoli will be making their first spaceflight. 
Expedition 15/16 Flight Engineer Clayton Anderson will return to Earth from the space station aboard shuttle mission STS-120. That flight will carry his replacement, Daniel Tani, to the station. Tani will return on shuttle mission STS-122.</t>
  </si>
  <si>
    <t>DMEMJPwLNbQ</t>
  </si>
  <si>
    <t>2007 10 24</t>
  </si>
  <si>
    <t>https://youtu.be/Mp-awukkc7I</t>
  </si>
  <si>
    <t>Discovery Goes up With Harmony</t>
  </si>
  <si>
    <t>Space shuttle Discovery blazes a trail toward orbit on the STS-120 mission.</t>
  </si>
  <si>
    <t>Mp-awukkc7I</t>
  </si>
  <si>
    <t>2007 08 21</t>
  </si>
  <si>
    <t>https://youtu.be/brTk1_NCHKs</t>
  </si>
  <si>
    <t>Shuttle Endeavour Scores Sweet Touchdown!</t>
  </si>
  <si>
    <t>Two weeks after it launched from the Florida space port, Endeavour returns with a sweet touchdown. 
While at the station, the STS-118 astronauts performed four spacewalks to continue the world's biggest build in orbit.
Endeavour undocked from the station Sunday to end its almost-nine-day stay and began the trip home. This mission was cut short by one day due to Hurricane Dean. Landing early would permit mission control operations to continue in Houston without threat of the hurricane should it turn north. 
Landing also brought to an end the first flight for Mission Specialist Barbara R. Morgan, an educator who was selected to become a mission specialist astronaut. She was first selected by NASA in 1985 as the backup to Teacher in Space Christa McAuliffe. 
Following the Challenger accident in 1986, Morgan continued to work with NASA on educational activities and returned to teaching elementary school in Idaho. She returned to NASA as an astronaut in 1998. 
A 21-year dream realized at last!</t>
  </si>
  <si>
    <t>brTk1_NCHKs</t>
  </si>
  <si>
    <t>2007 08 18</t>
  </si>
  <si>
    <t>https://youtu.be/FxFOm8BC4GE</t>
  </si>
  <si>
    <t>'Holy Smokes' Hurricane Dean from Space</t>
  </si>
  <si>
    <t>The crewmembers aboard the space station took a short break Saturday to get a look at the storm from their vantage point. Even from space, the storm expected to reach the Gulf of Mexico Aug. 21 and gain strength as a potential Cat 5 storm, impresses the crew with its size.</t>
  </si>
  <si>
    <t>FxFOm8BC4GE</t>
  </si>
  <si>
    <t>2007 08 17</t>
  </si>
  <si>
    <t>https://youtu.be/eAjk7XaaUvM</t>
  </si>
  <si>
    <t>Black Horse and the Cherry Tree</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</si>
  <si>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STS-118 crew wake-up call, Flight Day 10: 'Black Horse and the Cherry Tree' by KT Turnstall played for Mission Specialist Tracy Caldwell.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</si>
  <si>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eAjk7XaaUvM</t>
  </si>
  <si>
    <t>https://youtu.be/Fnb5VX3qyaA</t>
  </si>
  <si>
    <t>Times Like These</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</si>
  <si>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STS-118 crew wake-up call, Flight Day 9: 'Times Like These' performed by the Foo Fighters and played for Mission Specialist Rick Mastracchio.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</si>
  <si>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Fnb5VX3qyaA</t>
  </si>
  <si>
    <t>2007 08 16</t>
  </si>
  <si>
    <t>https://youtu.be/uJ503EdUWtk</t>
  </si>
  <si>
    <t>Class in Session  Barbara Morgan Talks 2 Students (part II)</t>
  </si>
  <si>
    <t>Barbara Morgan and her STS-118 crewmates take questions from students in Boise, Idaho.
Morgan, a teacher and fully qualified astronaut brings expertise in K-12 education from space. With her education background, she helps lead NASA in the development of new ways to connect space exploration with the classroom.</t>
  </si>
  <si>
    <t>uJ503EdUWtk</t>
  </si>
  <si>
    <t>https://youtu.be/eC-HLrlcimA</t>
  </si>
  <si>
    <t>Spacewalker's Glove Demo</t>
  </si>
  <si>
    <t>Video demonstrates a small abrasion of STS-118 Mission Specialist Rick Mastracchio's glove. The abrasion was discovered during STS-118's third spacewalk. Mission Control decided to end the spacewalk early as a precaution. Mastracchio and Clay Anderson ventured back into their home away from home safely.</t>
  </si>
  <si>
    <t>eC-HLrlcimA</t>
  </si>
  <si>
    <t>https://youtu.be/n-U-j-YqFyY</t>
  </si>
  <si>
    <t>Class in Session  Barbara Morgan Talks 2 Students (part I)</t>
  </si>
  <si>
    <t>n-U-j-YqFyY</t>
  </si>
  <si>
    <t>2007 08 15</t>
  </si>
  <si>
    <t>https://youtu.be/xb2amlfDZ0o</t>
  </si>
  <si>
    <t>Good Morning World</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</si>
  <si>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STS-118 crew wake-up call, Flight Day 8: 'Good Morning World' performed by Mission Specialist Barbara Morgan's son Adam and played for Morgan.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</si>
  <si>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xb2amlfDZ0o</t>
  </si>
  <si>
    <t>2007 08 14</t>
  </si>
  <si>
    <t>https://youtu.be/UBCBn_Aympw</t>
  </si>
  <si>
    <t>Happy Birthday in space!</t>
  </si>
  <si>
    <t>Wake-up calls are a long-standing tradition of the NASA program. Each day during the mission, flight controllers in the Mission Co Wake-up calls are a long-standing tradition of the NASA program. Each day during the mission, flight controllers in the Mission Control Center will greet the crew with an appropriate musical interlude.
STS-118 crew wake-up call, Flight Day 7: 'Happy Birthday!' performed by Mission Specialist Tracy Caldwell's nieces and nephews and played for Caldwell.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 (more)</t>
  </si>
  <si>
    <t>UBCBn_Aympw</t>
  </si>
  <si>
    <t>2007 08 13</t>
  </si>
  <si>
    <t>https://youtu.be/kDPvBJtTOHQ</t>
  </si>
  <si>
    <t>Up!</t>
  </si>
  <si>
    <t>Wake-up calls are a long-standing tradition of the NASA program. Each day during the mission, flight controllers in the Mission Control Center will greet the crew with an appropriate musical interlude.
STS-118 crew wake-up call, Flight Day 5: 'Up!' by Shania Twain played for Mission Specialist Dave Williams.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</si>
  <si>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kDPvBJtTOHQ</t>
  </si>
  <si>
    <t>https://youtu.be/KTKiEODtYxg</t>
  </si>
  <si>
    <t>Outta Space</t>
  </si>
  <si>
    <t>Wake-up calls are a long-standing tradition of the NASA program. Each day during the mission, flight controllers in the Mission Control Center will greet the crew with an appropriate musical interlude.
STS-118 crew wake-up call, Flight Day 6: 'Outta Space' by Billy Preston played for Mission Specialist Alvin Drew.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</si>
  <si>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KTKiEODtYxg</t>
  </si>
  <si>
    <t>2007 08 11</t>
  </si>
  <si>
    <t>https://youtu.be/a_oCCnlV9p4</t>
  </si>
  <si>
    <t>STS-118  Space Mission Through a Child's Eyes (part IV)</t>
  </si>
  <si>
    <t>Get a glimpse of the Space Shuttle Mission STS-118, set to rocket skyward August 2007. Through art expressions and their own words, learn from the mouths of babes what space exploration is really all about. 
Follow this mission @ www.nasa.gov!</t>
  </si>
  <si>
    <t>a_oCCnlV9p4</t>
  </si>
  <si>
    <t>https://youtu.be/zategEDSi_E</t>
  </si>
  <si>
    <t>Gravity</t>
  </si>
  <si>
    <t>Wake-up calls are a long-standing tradition of the NASA program. Each day during the mission, flight controllers in the Mission Control Center will greet the crew with an appropriate musical interlude.
STS-118 crew wake-up call, Flight Day 4: 'Gravity' by John Mayer played for Pilot Charlie Hobaugh.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 (more) (less)</t>
  </si>
  <si>
    <t>zategEDSi_E</t>
  </si>
  <si>
    <t>https://youtu.be/rb5Uhh5t2ok</t>
  </si>
  <si>
    <t>Mr. Blue Sky</t>
  </si>
  <si>
    <t>Wake-up calls are a long-standing tradition of the NASA program. Each day during the mission, flight controllers in the Mission Control Center will greet the crew with an appropriate musical interlude.
STS-118 crew wake-up call, Flight Day 3: 'Mr. Blue Sky' by Electric Light Orchestra played for Commander Scott Kelly.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</si>
  <si>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rb5Uhh5t2ok</t>
  </si>
  <si>
    <t>2007 08 10</t>
  </si>
  <si>
    <t>https://youtu.be/YA5-vTyWSws</t>
  </si>
  <si>
    <t>A Video Message From Space</t>
  </si>
  <si>
    <t>On Flight Day 2 of shuttle mission STS-118 Commander Scott Kelly and Mission Specialist Barbara Morgan wrapped up a long day of work Thursday with a quick message from orbit. 
Follow this mission @ www.nasa.gov!</t>
  </si>
  <si>
    <t>YA5-vTyWSws</t>
  </si>
  <si>
    <t>https://youtu.be/PjfDnm3TAFc</t>
  </si>
  <si>
    <t>STS-118  Space Mission Through a Child's Eyes (part III)</t>
  </si>
  <si>
    <t>Get a glimpse of the Space Shuttle Mission STS-118, set to rocket skyward August 2007. Through art expressions and their own words, learn from the mouths of babes what space exploration is really all about.</t>
  </si>
  <si>
    <t>PjfDnm3TAFc</t>
  </si>
  <si>
    <t>2007 08 09</t>
  </si>
  <si>
    <t>https://youtu.be/V2dbdtfe_qA</t>
  </si>
  <si>
    <t>Where My Heart Will Take Me</t>
  </si>
  <si>
    <t>Wake-up calls are a long-standing tradition of the NASA program. Each day during the mission, flight controllers in the Mission Control Center will greet the crew with an appropriate musical interlude.
STS-118 crew wake-up call, Flight Day 2: 'Where My Heart Will Take Me' by Russell Watson played for Mission Specialist Richard Mastracchio. 
"Music is a great help because it sort of grounds you, and it gives you memories. I can only imagine what it's like to be up there looking back on Earth. I can imagine for the space crew when you're out there for such a long time and missing home that it would be very good to get a reminder that will take you back." ~ Paul McCartney
Follow shuttle mission STS-118 @ www.nasa.gov!</t>
  </si>
  <si>
    <t>V2dbdtfe_qA</t>
  </si>
  <si>
    <t>https://youtu.be/eakhdNgdorw</t>
  </si>
  <si>
    <t>STS-118  Space Mission Through a Child's Eyes (part II)</t>
  </si>
  <si>
    <t>Get a glimpse of the Space Shuttle Mission STS-118, set to rocket skyward August 2007. Through art expressions and their own words, learn from the mouths of babes what space exploration is really all about. 
Follow shuttle mission STS-118 @ www.nasa.gov!</t>
  </si>
  <si>
    <t>eakhdNgdorw</t>
  </si>
  <si>
    <t>2007 08 08</t>
  </si>
  <si>
    <t>https://youtu.be/RNV_3SWwy_4</t>
  </si>
  <si>
    <t>Shuttle Liftoff  Endeavour Forever</t>
  </si>
  <si>
    <t>Endeavour, carrying the STS-118 crew, roared off the launch pad into the late afternoon sky August 8 to begin the 22nd mission to the International Space Station. 
Follow this mission @ www.nasa.gov!</t>
  </si>
  <si>
    <t>RNV_3SWwy_4</t>
  </si>
  <si>
    <t>https://youtu.be/JCKBBQE-94M</t>
  </si>
  <si>
    <t>STS-118  Space Mission Through a Child's Eyes (Part I)</t>
  </si>
  <si>
    <t>JCKBBQE-94M</t>
  </si>
  <si>
    <t>2007 08 01</t>
  </si>
  <si>
    <t>https://youtu.be/8reKmhWhyH4</t>
  </si>
  <si>
    <t>Build the Station. Build the Future. (animation)</t>
  </si>
  <si>
    <t>Like all shuttle missions, STS-118 is about the future: putting the International Space Station a step closer to completion and gathering experience that will help people return to the moon and go on to Mars. 
But this mission also will see a two decade-old dream realized and a vision of inspiration completed. Twenty-two years after first being selected as Christa McAuliffe's backup in the Teacher in Space Project, Barbara Morgan will strap into space shuttle Endeavour as a fully-trained astronaut. She is one of five mission specialists in the seven-member crew. 
Check out this cool animation to see how it will be done! Follow this mission at www.nasa.gov.</t>
  </si>
  <si>
    <t>8reKmhWhyH4</t>
  </si>
  <si>
    <t>2007 06 20</t>
  </si>
  <si>
    <t>https://youtu.be/ookWLBoWkhI</t>
  </si>
  <si>
    <t>A Day in the Life</t>
  </si>
  <si>
    <t>Come aboard the International Space Station, and see first-hand astronauts at work. STS-117 Commander Rick Sturckow narrates this video, giving outsiders a sneak peak of the crew's busy day in space. Here the crew of STS-117 prepare for a spacewalk geared toward station construction.</t>
  </si>
  <si>
    <t>ookWLBoWkhI</t>
  </si>
  <si>
    <t>2007 06 19</t>
  </si>
  <si>
    <t>https://youtu.be/xVnrO51-rjE</t>
  </si>
  <si>
    <t>Atlantis Coming Home (ISS fly-around animation)</t>
  </si>
  <si>
    <t>See how Space Shuttle Atlantis performs a fly-around of the station before heading back home to Earth.</t>
  </si>
  <si>
    <t>xVnrO51-rjE</t>
  </si>
  <si>
    <t>https://youtu.be/7gkFqVxHq2o</t>
  </si>
  <si>
    <t>Atlantis Coming Home (ISS fly-around video)</t>
  </si>
  <si>
    <t>Cameras aboard the International Space Station and Space Shuttle Atlantis capture spectacular views as the shuttle performs a fly-around of the station.</t>
  </si>
  <si>
    <t>7gkFqVxHq2o</t>
  </si>
  <si>
    <t>https://youtu.be/h61xEWJ-bWo</t>
  </si>
  <si>
    <t>Redeemer</t>
  </si>
  <si>
    <t>Wake-up calls are a long-standing tradition of the NASA program. Each day during the mission, flight controllers in the Mission Control Center will greet the crew with an appropriate musical interlude.
STS-117 crew wake-up call, Flight Day 11: 'Redeemer' by Nicole C. Mullen played for Mission Specialist Pat Forrester.</t>
  </si>
  <si>
    <t>h61xEWJ-bWo</t>
  </si>
  <si>
    <t>https://youtu.be/gICMr9MNa5Q</t>
  </si>
  <si>
    <t>Band of Brothers</t>
  </si>
  <si>
    <t>Wake-up calls are a long-standing tradition of the NASA program. Each day during the mission, flight controllers in the Mission Control Center will greet the crew with an appropriate musical interlude.
STS-117 crew wake-up call, Flight Day 10: Theme song from 'Band of Brothers' played for Mission Specialist Jim Reilly.</t>
  </si>
  <si>
    <t>gICMr9MNa5Q</t>
  </si>
  <si>
    <t>2007 06 18</t>
  </si>
  <si>
    <t>https://youtu.be/7aDy8sBN3FA</t>
  </si>
  <si>
    <t>UTEP Fight Song</t>
  </si>
  <si>
    <t>Wake-up calls are a long-standing tradition of the NASA program. Each day during the mission, flight controllers in the Mission Control Center will greet the crew with an appropriate musical interlude.
STS-117 crew wake-up call, Flight Day 9: 'University of Texas El Paso' by UTEP Pep Band played for Mission Specialist John 'Danny' Olivas.</t>
  </si>
  <si>
    <t>7aDy8sBN3FA</t>
  </si>
  <si>
    <t>2007 06 15</t>
  </si>
  <si>
    <t>https://youtu.be/95d7R58T9UM</t>
  </si>
  <si>
    <t>Tuck It In</t>
  </si>
  <si>
    <t>STS-117 spacewalker Danny Olivas repaired a thermal blanket that was out of position on space shuttle Atlantis. Olivas, while attached to the shuttle robot arm, tucked the blanket back into place and then used a medical stapler to secure it to adjacent blankets on Atlantis' left orbital maneuvering system pod.
To learn more about the thermal blanket, cut and paste the following url to your browser: http://www.nasa.gov/mission_pages/shuttle/behindscenes/omspodblanket-gallery.html
Follow complete coverage of mission STS-117 at www.nasa.gov!</t>
  </si>
  <si>
    <t>95d7R58T9UM</t>
  </si>
  <si>
    <t>2007 06 14</t>
  </si>
  <si>
    <t>https://youtu.be/R5wEtMV5sSY</t>
  </si>
  <si>
    <t>Indescribable</t>
  </si>
  <si>
    <t>Wake-up calls are a long-standing tradition of the NASA program. Each day during the mission, flight controllers in the Mission Control Center will greet the crew with an appropriate musical interlude.
STS-117 crew wake-up call, Flight Day 7: 'Indescribable' by Chris Tomlin played for Mission Specialist Patrick Forrester.</t>
  </si>
  <si>
    <t>R5wEtMV5sSY</t>
  </si>
  <si>
    <t>https://youtu.be/c9rc96feWlg</t>
  </si>
  <si>
    <t>Spread Your Wings (video)</t>
  </si>
  <si>
    <t>The International Space Station spread its new set of wings on flight day 5 of STS-117. See video when station's new wings were deployed. 
The solar arrays on the newly installed Starboard 3 and 4 (S3/S4) truss segment deployed to their full length with the assistance of the STS-117 crew. 
Station's new wings will generate enough power to supply about eight homes.</t>
  </si>
  <si>
    <t>c9rc96feWlg</t>
  </si>
  <si>
    <t>https://youtu.be/LefzkR0CI7o</t>
  </si>
  <si>
    <t>Questions 67 and 68</t>
  </si>
  <si>
    <t>Wake-up calls are a long-standing tradition of the NASA program. Each day during the mission, flight controllers in the Mission Control Center will greet the crew with an appropriate musical interlude.
STS-117 crew wake-up call, Flight Day 6: 'Questions 67 and 68' by Chicago played for Pilot Lee Archambault.</t>
  </si>
  <si>
    <t>LefzkR0CI7o</t>
  </si>
  <si>
    <t>2007 06 13</t>
  </si>
  <si>
    <t>https://youtu.be/kOyIV_YWU18</t>
  </si>
  <si>
    <t>A Little Truss Goes A Long Way</t>
  </si>
  <si>
    <t>The International Space Station grew in size and capability when the S3/S4 Truss became a permanent addition as crewmembers worked inside and outside the complex to complete the final hookups.
The work ended in a 6 hour, 15 minute spacewalk by shuttle astronauts Jim Reilly and Danny Olivas, who focused on final attachment of bolts, cables, and connectors to begin the activation of the truss and ready it for deployment of the new solar arrays.
Check out this cool animation to see how the new truss was installed!</t>
  </si>
  <si>
    <t>kOyIV_YWU18</t>
  </si>
  <si>
    <t>https://youtu.be/1Q1FXGH9wFU</t>
  </si>
  <si>
    <t>Spread Your Wings (animation)</t>
  </si>
  <si>
    <t>The International Space Station spread its new set of wings on flight day 5 of STS-117. This animation shows how it was done. 
The solar arrays on the newly installed Starboard 3 and 4 (S3/S4) truss segment deployed to their full length with the assistance of the STS-117 crew. 
Station's new wings will generate enough power to supply about eight homes.</t>
  </si>
  <si>
    <t>1Q1FXGH9wFU</t>
  </si>
  <si>
    <t>2007 06 12</t>
  </si>
  <si>
    <t>https://youtu.be/Ye-4M-FrPnE</t>
  </si>
  <si>
    <t>What a Wonderful World</t>
  </si>
  <si>
    <t>Wake-up calls are a long-standing tradition of the NASA program. Each day during the mission, flight controllers in the Mission Control Center will greet the crew with an appropriate musical interlude.
STS-117 crew wake-up call, Flight Day 5: 'What a Wonderful World' by Louis Armstrong played for Mission Specialist John "Danny" Olivas.</t>
  </si>
  <si>
    <t>Ye-4M-FrPnE</t>
  </si>
  <si>
    <t>https://youtu.be/AZjMbEXdwnA</t>
  </si>
  <si>
    <t>It Probably Always Will</t>
  </si>
  <si>
    <t>Wake-up calls are a long-standing tradition of the NASA program. Each day during the mission, flight controllers in the Mission Control Center will greet the crew with an appropriate musical interlude.
STS-117 crew wake-up call, Flight Day 4: 'It Probably Always Will' by Ozark Mountain Daredevils played for Mission Specialist Steven Swanson.</t>
  </si>
  <si>
    <t>AZjMbEXdwnA</t>
  </si>
  <si>
    <t>2007 06 11</t>
  </si>
  <si>
    <t>https://youtu.be/TYUW9maagQ0</t>
  </si>
  <si>
    <t>Riding the Sky</t>
  </si>
  <si>
    <t>Wake-up calls are a long-standing tradition of the NASA program. Each day during the mission, flight controllers in the Mission Control Center will greet the crew with an appropriate musical interlude.
STS-117 crew wake-up call, Flight Day 3: 'Riding the sky' by David Kelldorf and Brad Loveall played for Mission Specialist Clay Anderson.</t>
  </si>
  <si>
    <t>TYUW9maagQ0</t>
  </si>
  <si>
    <t>https://youtu.be/UT3I4PGD1Mc</t>
  </si>
  <si>
    <t>Belly up to the Space Station (sped-up version)</t>
  </si>
  <si>
    <t>Watch the shuttle perform a back flip in space as it approaches the International Space Station. At about 600 feet below the station, the shuttle flips bass ackwards, exposing its underside to the station. 
As the shuttle bellies up to the station, the station crew has about 9 minutes to snap up as many photos as it can. The digital snapshots are downlinked to Earth to check for chips and dings on the surface of the tiles, which act as the vehicle's heat shield. 
Tiles range in thickness from a quarter-inch to four-and-a-half inches thick. The space shuttle leading edges and the nose cone are made of reinforced carbon-carbon material capable of withstanding temperatures up to 3,600 degrees, now that's a hottie! 
The Shuttle Atlantis, which launched June 8, 2007 and flipped upside down before docking to the station June 10, has 24,000 thermal protection tiles.</t>
  </si>
  <si>
    <t>UT3I4PGD1Mc</t>
  </si>
  <si>
    <t>2007 06 10</t>
  </si>
  <si>
    <t>https://youtu.be/DjtdOZECr1U</t>
  </si>
  <si>
    <t>Big Boy Toys</t>
  </si>
  <si>
    <t>Wake-up calls are a long-standing tradition of the NASA program. Each day during the mission, flight controllers in the Mission Control Center will greet the crew with an appropriate musical interlude.
STS-117 crew wake-up call, Flight Day 2: 'Big Boy Toys' by Aaron Tippin played for Commander Rick Sturckow.</t>
  </si>
  <si>
    <t>DjtdOZECr1U</t>
  </si>
  <si>
    <t>2007 06 09</t>
  </si>
  <si>
    <t>https://youtu.be/QPsAoCu_yyM</t>
  </si>
  <si>
    <t>Atlantis Rocks It</t>
  </si>
  <si>
    <t>The Space Shuttle Atlantis and its seven crew members of STS-117 rocketed spaceward June 8 at 7:38:04 p.m. EDT, marking the first shuttle flight of 2007. 
Fast and furious, this bird with a wingspan of 78 feet can reach a maximum speed of 17,300 mph into orbit. The shuttle launches like a rocket, maneuvers in Earth orbit like a spacecraft and lands like an airplane. 
Atlantis and her crew heads now to continue the biggest build in space. The International Space Station will get new support beams, a new set of wings and a new crewmember. 
Follow this mission @ www.nasa.gov!</t>
  </si>
  <si>
    <t>QPsAoCu_yyM</t>
  </si>
  <si>
    <t>2007 05 25</t>
  </si>
  <si>
    <t>https://youtu.be/Qr_EZNdF_v4</t>
  </si>
  <si>
    <t>Just Add H2O</t>
  </si>
  <si>
    <t>Follow the Space Shuttle's solid rocket boosters from launch to splashdown. With an eye on a booster, get as close as anyone can to watch as they tumble back to Earth's seas. 
These two rocket boosters pack a powerful punch. Together, they provide the main thrust to lift the space shuttle off the pad and up to an altitude of about 150,000 feet. 
They are the largest solid-propellant motors ever flown and the first designed for reuse. Each is 149 feet long and 12 feet in diameter.
Retrieval ships are on station at the time of splashdown, at about 9.2-11.5 statute miles from the impact area. As soon as the boosters enter the water, the ships accelerate to a speed of 15 knots and quickly close on the boosters.</t>
  </si>
  <si>
    <t>Qr_EZNdF_v4</t>
  </si>
  <si>
    <t>2007 05 11</t>
  </si>
  <si>
    <t>https://youtu.be/TNiE_MkQqS0</t>
  </si>
  <si>
    <t>From Winter to Wonderland</t>
  </si>
  <si>
    <t>Saturn rings, are you listening, 
Here in space, stars aren't glistening
Still, it's a beautiful sight
We're happy tonight.
Walking in a cosmic wonderland.
Winter, Wis. was home to Astronaut Jeff Williams as a boy. Now, he's taken up living in space. Williams first visited the International Space Station on Shuttle Atlantis in 2000. Six years later, he revisited the orbital home-away-from-home on a six-month stay during Expedition 13. Williams walked the void during two spacewalks on his return to the station. Learn how education helped launch his career at NASA.</t>
  </si>
  <si>
    <t>TNiE_MkQqS0</t>
  </si>
  <si>
    <t>2007 05 09</t>
  </si>
  <si>
    <t>https://youtu.be/qnKEi5Lt_x8</t>
  </si>
  <si>
    <t>Cowboy Up</t>
  </si>
  <si>
    <t>The scene opens with a hint of Old West flare, but this showdown takes off from the East Coast. From NASA's Kennedy Space Center, this ride packs more action and adventure than any ride given to an outlaw or prairie skirt. Saddle up aboard the space shuttle and experience the wildest ride on Earth. "Are you gonna pull those pistols or whistle Dixie?" Click, click, giddyup!</t>
  </si>
  <si>
    <t>qnKEi5Lt_x8</t>
  </si>
  <si>
    <t>2007 05 04</t>
  </si>
  <si>
    <t>https://youtu.be/s1aBChbPR30</t>
  </si>
  <si>
    <t>Husker Flies to Space</t>
  </si>
  <si>
    <t>Nebraska native Clay Anderson first went to school, then, became an astronaut. Anderson's hard work got him to space. Learn how education and perseverance brought Anderson to new heights in his career.</t>
  </si>
  <si>
    <t>s1aBChbPR30</t>
  </si>
  <si>
    <t>2007 05 02</t>
  </si>
  <si>
    <t>https://youtu.be/xqh2FMaKkaY</t>
  </si>
  <si>
    <t>Around the World</t>
  </si>
  <si>
    <t>NASA goes techno in this rockumentary. From sea to shining sea, partners from around the world have come together to build the world's largest orbiting laboratory: The International Space Station.</t>
  </si>
  <si>
    <t>xqh2FMaKkaY</t>
  </si>
  <si>
    <t>2007 04 24</t>
  </si>
  <si>
    <t>https://youtu.be/_KdLkKNNq-k</t>
  </si>
  <si>
    <t>I Know What You Did This Summer  2007</t>
  </si>
  <si>
    <t>While most people head to the beaches for their summer vacation, seven folks will head a little closer to the sun on a trip that's out of this world. 
They will wear suits but not to catch waves. Instead, the suited vacationers will fly into space. 
Space Shuttle Endeavour's STS-118 mission is the 22nd shuttle flight to the International Space Station. It will continue to build the station by delivering a third starboard truss segment, part of its support structure. 
School's not out for some educators; this flight will also be the first of an educator astronaut.
Check out this sneak preview of the crew's summertime adventures in space.
NOTE: Due to a crew change where Clay Anderson was reassigned to the 117 mission, NASA is updating this video.  More to come!</t>
  </si>
  <si>
    <t>_KdLkKNNq-k</t>
  </si>
</sst>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3" formatCode="_-* #,##0.00_-;\-* #,##0.0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1"/>
      <color rgb="FF3F3F3F"/>
      <name val="Calibri"/>
      <charset val="0"/>
      <scheme val="minor"/>
    </font>
    <font>
      <sz val="11"/>
      <color theme="1"/>
      <name val="Calibri"/>
      <charset val="0"/>
      <scheme val="minor"/>
    </font>
    <font>
      <sz val="11"/>
      <color theme="0"/>
      <name val="Calibri"/>
      <charset val="0"/>
      <scheme val="minor"/>
    </font>
    <font>
      <u/>
      <sz val="11"/>
      <color rgb="FF800080"/>
      <name val="Calibri"/>
      <charset val="0"/>
      <scheme val="minor"/>
    </font>
    <font>
      <b/>
      <sz val="11"/>
      <color rgb="FFFA7D00"/>
      <name val="Calibri"/>
      <charset val="0"/>
      <scheme val="minor"/>
    </font>
    <font>
      <b/>
      <sz val="11"/>
      <color rgb="FFFFFFFF"/>
      <name val="Calibri"/>
      <charset val="0"/>
      <scheme val="minor"/>
    </font>
    <font>
      <sz val="11"/>
      <color rgb="FF9C0006"/>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b/>
      <sz val="11"/>
      <color theme="1"/>
      <name val="Calibri"/>
      <charset val="0"/>
      <scheme val="minor"/>
    </font>
    <font>
      <sz val="11"/>
      <color rgb="FF3F3F76"/>
      <name val="Calibri"/>
      <charset val="0"/>
      <scheme val="minor"/>
    </font>
    <font>
      <sz val="11"/>
      <color rgb="FF006100"/>
      <name val="Calibri"/>
      <charset val="0"/>
      <scheme val="minor"/>
    </font>
    <font>
      <sz val="11"/>
      <color rgb="FF9C6500"/>
      <name val="Calibri"/>
      <charset val="0"/>
      <scheme val="minor"/>
    </font>
    <font>
      <sz val="11"/>
      <color rgb="FFFA7D00"/>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6" fillId="3"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0" fontId="10" fillId="9" borderId="4" applyNumberFormat="0" applyAlignment="0" applyProtection="0">
      <alignment vertical="center"/>
    </xf>
    <xf numFmtId="0" fontId="12" fillId="0" borderId="5" applyNumberFormat="0" applyFill="0" applyAlignment="0" applyProtection="0">
      <alignment vertical="center"/>
    </xf>
    <xf numFmtId="0" fontId="4" fillId="12" borderId="6" applyNumberFormat="0" applyFont="0" applyAlignment="0" applyProtection="0">
      <alignment vertical="center"/>
    </xf>
    <xf numFmtId="0" fontId="6" fillId="15" borderId="0" applyNumberFormat="0" applyBorder="0" applyAlignment="0" applyProtection="0">
      <alignment vertical="center"/>
    </xf>
    <xf numFmtId="0" fontId="13" fillId="0" borderId="0" applyNumberFormat="0" applyFill="0" applyBorder="0" applyAlignment="0" applyProtection="0">
      <alignment vertical="center"/>
    </xf>
    <xf numFmtId="0" fontId="6" fillId="1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9" fillId="19" borderId="3" applyNumberFormat="0" applyAlignment="0" applyProtection="0">
      <alignment vertical="center"/>
    </xf>
    <xf numFmtId="0" fontId="7" fillId="23" borderId="0" applyNumberFormat="0" applyBorder="0" applyAlignment="0" applyProtection="0">
      <alignment vertical="center"/>
    </xf>
    <xf numFmtId="0" fontId="20" fillId="24" borderId="0" applyNumberFormat="0" applyBorder="0" applyAlignment="0" applyProtection="0">
      <alignment vertical="center"/>
    </xf>
    <xf numFmtId="0" fontId="5" fillId="2" borderId="2" applyNumberFormat="0" applyAlignment="0" applyProtection="0">
      <alignment vertical="center"/>
    </xf>
    <xf numFmtId="0" fontId="6" fillId="26" borderId="0" applyNumberFormat="0" applyBorder="0" applyAlignment="0" applyProtection="0">
      <alignment vertical="center"/>
    </xf>
    <xf numFmtId="0" fontId="9" fillId="2" borderId="3" applyNumberFormat="0" applyAlignment="0" applyProtection="0">
      <alignment vertical="center"/>
    </xf>
    <xf numFmtId="0" fontId="22" fillId="0" borderId="9" applyNumberFormat="0" applyFill="0" applyAlignment="0" applyProtection="0">
      <alignment vertical="center"/>
    </xf>
    <xf numFmtId="0" fontId="18" fillId="0" borderId="8" applyNumberFormat="0" applyFill="0" applyAlignment="0" applyProtection="0">
      <alignment vertical="center"/>
    </xf>
    <xf numFmtId="0" fontId="11" fillId="11" borderId="0" applyNumberFormat="0" applyBorder="0" applyAlignment="0" applyProtection="0">
      <alignment vertical="center"/>
    </xf>
    <xf numFmtId="0" fontId="21" fillId="25" borderId="0" applyNumberFormat="0" applyBorder="0" applyAlignment="0" applyProtection="0">
      <alignment vertical="center"/>
    </xf>
    <xf numFmtId="0" fontId="7" fillId="10" borderId="0" applyNumberFormat="0" applyBorder="0" applyAlignment="0" applyProtection="0">
      <alignment vertical="center"/>
    </xf>
    <xf numFmtId="0" fontId="6" fillId="28" borderId="0" applyNumberFormat="0" applyBorder="0" applyAlignment="0" applyProtection="0">
      <alignment vertical="center"/>
    </xf>
    <xf numFmtId="0" fontId="7" fillId="5" borderId="0" applyNumberFormat="0" applyBorder="0" applyAlignment="0" applyProtection="0">
      <alignment vertical="center"/>
    </xf>
    <xf numFmtId="0" fontId="7" fillId="14" borderId="0" applyNumberFormat="0" applyBorder="0" applyAlignment="0" applyProtection="0">
      <alignment vertical="center"/>
    </xf>
    <xf numFmtId="0" fontId="6" fillId="30" borderId="0" applyNumberFormat="0" applyBorder="0" applyAlignment="0" applyProtection="0">
      <alignment vertical="center"/>
    </xf>
    <xf numFmtId="0" fontId="6" fillId="29" borderId="0" applyNumberFormat="0" applyBorder="0" applyAlignment="0" applyProtection="0">
      <alignment vertical="center"/>
    </xf>
    <xf numFmtId="0" fontId="7" fillId="4" borderId="0" applyNumberFormat="0" applyBorder="0" applyAlignment="0" applyProtection="0">
      <alignment vertical="center"/>
    </xf>
    <xf numFmtId="0" fontId="7" fillId="22"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21" borderId="0" applyNumberFormat="0" applyBorder="0" applyAlignment="0" applyProtection="0">
      <alignment vertical="center"/>
    </xf>
    <xf numFmtId="0" fontId="6" fillId="17" borderId="0" applyNumberFormat="0" applyBorder="0" applyAlignment="0" applyProtection="0">
      <alignment vertical="center"/>
    </xf>
    <xf numFmtId="0" fontId="7" fillId="16" borderId="0" applyNumberFormat="0" applyBorder="0" applyAlignment="0" applyProtection="0">
      <alignment vertical="center"/>
    </xf>
    <xf numFmtId="0" fontId="6" fillId="32"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6" fillId="13" borderId="0" applyNumberFormat="0" applyBorder="0" applyAlignment="0" applyProtection="0">
      <alignment vertical="center"/>
    </xf>
    <xf numFmtId="0" fontId="7" fillId="20"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9" Type="http://schemas.openxmlformats.org/officeDocument/2006/relationships/hyperlink" Target="https://youtu.be/pYT2H9DdE0g" TargetMode="External"/><Relationship Id="rId998" Type="http://schemas.openxmlformats.org/officeDocument/2006/relationships/hyperlink" Target="https://youtu.be/XL1K3odUvQk" TargetMode="External"/><Relationship Id="rId997" Type="http://schemas.openxmlformats.org/officeDocument/2006/relationships/hyperlink" Target="https://youtu.be/f9zB7g01QFQ" TargetMode="External"/><Relationship Id="rId996" Type="http://schemas.openxmlformats.org/officeDocument/2006/relationships/hyperlink" Target="https://youtu.be/FlJaF2XkR6k" TargetMode="External"/><Relationship Id="rId995" Type="http://schemas.openxmlformats.org/officeDocument/2006/relationships/hyperlink" Target="https://youtu.be/cFxxsb-pinA" TargetMode="External"/><Relationship Id="rId994" Type="http://schemas.openxmlformats.org/officeDocument/2006/relationships/hyperlink" Target="https://youtu.be/kaBPXOylItw" TargetMode="External"/><Relationship Id="rId993" Type="http://schemas.openxmlformats.org/officeDocument/2006/relationships/hyperlink" Target="https://youtu.be/gURSwQQJcX4" TargetMode="External"/><Relationship Id="rId992" Type="http://schemas.openxmlformats.org/officeDocument/2006/relationships/hyperlink" Target="https://youtu.be/QL5fcsQT0_M" TargetMode="External"/><Relationship Id="rId991" Type="http://schemas.openxmlformats.org/officeDocument/2006/relationships/hyperlink" Target="https://youtu.be/eAlTbpIcbXE" TargetMode="External"/><Relationship Id="rId990" Type="http://schemas.openxmlformats.org/officeDocument/2006/relationships/hyperlink" Target="https://youtu.be/bqO3ET4Zxu0" TargetMode="External"/><Relationship Id="rId99" Type="http://schemas.openxmlformats.org/officeDocument/2006/relationships/hyperlink" Target="https://youtu.be/rae5VG_ivao" TargetMode="External"/><Relationship Id="rId989" Type="http://schemas.openxmlformats.org/officeDocument/2006/relationships/hyperlink" Target="https://youtu.be/KKb75sZRsgw" TargetMode="External"/><Relationship Id="rId988" Type="http://schemas.openxmlformats.org/officeDocument/2006/relationships/hyperlink" Target="https://youtu.be/QOS7ddCiKMQ" TargetMode="External"/><Relationship Id="rId987" Type="http://schemas.openxmlformats.org/officeDocument/2006/relationships/hyperlink" Target="https://youtu.be/oOYz-Ru-vjM" TargetMode="External"/><Relationship Id="rId986" Type="http://schemas.openxmlformats.org/officeDocument/2006/relationships/hyperlink" Target="https://youtu.be/kcBnW8BW9uQ" TargetMode="External"/><Relationship Id="rId985" Type="http://schemas.openxmlformats.org/officeDocument/2006/relationships/hyperlink" Target="https://youtu.be/-f4dfaaG8BE" TargetMode="External"/><Relationship Id="rId984" Type="http://schemas.openxmlformats.org/officeDocument/2006/relationships/hyperlink" Target="https://youtu.be/w4bEWb_zU90" TargetMode="External"/><Relationship Id="rId983" Type="http://schemas.openxmlformats.org/officeDocument/2006/relationships/hyperlink" Target="https://youtu.be/T_vpsqVn2A8" TargetMode="External"/><Relationship Id="rId982" Type="http://schemas.openxmlformats.org/officeDocument/2006/relationships/hyperlink" Target="https://youtu.be/Fdn8c7Bm5hw" TargetMode="External"/><Relationship Id="rId981" Type="http://schemas.openxmlformats.org/officeDocument/2006/relationships/hyperlink" Target="https://youtu.be/HbWFaw6uDUU" TargetMode="External"/><Relationship Id="rId980" Type="http://schemas.openxmlformats.org/officeDocument/2006/relationships/hyperlink" Target="https://youtu.be/JW0jGcNO7V8" TargetMode="External"/><Relationship Id="rId98" Type="http://schemas.openxmlformats.org/officeDocument/2006/relationships/hyperlink" Target="https://youtu.be/y81sbuvUTaQ" TargetMode="External"/><Relationship Id="rId979" Type="http://schemas.openxmlformats.org/officeDocument/2006/relationships/hyperlink" Target="https://youtu.be/6VPaf525lF0" TargetMode="External"/><Relationship Id="rId978" Type="http://schemas.openxmlformats.org/officeDocument/2006/relationships/hyperlink" Target="https://youtu.be/q6A8nparbuk" TargetMode="External"/><Relationship Id="rId977" Type="http://schemas.openxmlformats.org/officeDocument/2006/relationships/hyperlink" Target="https://youtu.be/vsdklArMnCU" TargetMode="External"/><Relationship Id="rId976" Type="http://schemas.openxmlformats.org/officeDocument/2006/relationships/hyperlink" Target="https://youtu.be/QE0LbWntBv4" TargetMode="External"/><Relationship Id="rId975" Type="http://schemas.openxmlformats.org/officeDocument/2006/relationships/hyperlink" Target="https://youtu.be/3y6jNsuSrz4" TargetMode="External"/><Relationship Id="rId974" Type="http://schemas.openxmlformats.org/officeDocument/2006/relationships/hyperlink" Target="https://youtu.be/2B0azyRf4QU" TargetMode="External"/><Relationship Id="rId973" Type="http://schemas.openxmlformats.org/officeDocument/2006/relationships/hyperlink" Target="https://youtu.be/5xGcAJtkBUg" TargetMode="External"/><Relationship Id="rId972" Type="http://schemas.openxmlformats.org/officeDocument/2006/relationships/hyperlink" Target="https://youtu.be/dTJoDVBOxPE" TargetMode="External"/><Relationship Id="rId971" Type="http://schemas.openxmlformats.org/officeDocument/2006/relationships/hyperlink" Target="https://youtu.be/yAQJsHaQ41E" TargetMode="External"/><Relationship Id="rId970" Type="http://schemas.openxmlformats.org/officeDocument/2006/relationships/hyperlink" Target="https://youtu.be/99tglc1o04U" TargetMode="External"/><Relationship Id="rId97" Type="http://schemas.openxmlformats.org/officeDocument/2006/relationships/hyperlink" Target="https://youtu.be/Qk27MINlDhw" TargetMode="External"/><Relationship Id="rId969" Type="http://schemas.openxmlformats.org/officeDocument/2006/relationships/hyperlink" Target="https://youtu.be/uyEqztKclx8" TargetMode="External"/><Relationship Id="rId968" Type="http://schemas.openxmlformats.org/officeDocument/2006/relationships/hyperlink" Target="https://youtu.be/37j7NNV-_A0" TargetMode="External"/><Relationship Id="rId967" Type="http://schemas.openxmlformats.org/officeDocument/2006/relationships/hyperlink" Target="https://youtu.be/x0K7yi6yi4Y" TargetMode="External"/><Relationship Id="rId966" Type="http://schemas.openxmlformats.org/officeDocument/2006/relationships/hyperlink" Target="https://youtu.be/OCbPTwrIuWg" TargetMode="External"/><Relationship Id="rId965" Type="http://schemas.openxmlformats.org/officeDocument/2006/relationships/hyperlink" Target="https://youtu.be/-yHH6Uf5Fps" TargetMode="External"/><Relationship Id="rId964" Type="http://schemas.openxmlformats.org/officeDocument/2006/relationships/hyperlink" Target="https://youtu.be/1-awgz5DfeU" TargetMode="External"/><Relationship Id="rId963" Type="http://schemas.openxmlformats.org/officeDocument/2006/relationships/hyperlink" Target="https://youtu.be/iHomPzdPcH4" TargetMode="External"/><Relationship Id="rId962" Type="http://schemas.openxmlformats.org/officeDocument/2006/relationships/hyperlink" Target="https://youtu.be/GiUvFpUK0ME" TargetMode="External"/><Relationship Id="rId961" Type="http://schemas.openxmlformats.org/officeDocument/2006/relationships/hyperlink" Target="https://youtu.be/hJl5J8M2H-Q" TargetMode="External"/><Relationship Id="rId960" Type="http://schemas.openxmlformats.org/officeDocument/2006/relationships/hyperlink" Target="https://youtu.be/X-I0katihQo" TargetMode="External"/><Relationship Id="rId96" Type="http://schemas.openxmlformats.org/officeDocument/2006/relationships/hyperlink" Target="https://youtu.be/7lnGeGucACo" TargetMode="External"/><Relationship Id="rId959" Type="http://schemas.openxmlformats.org/officeDocument/2006/relationships/hyperlink" Target="https://youtu.be/JhkyhhyQo_I" TargetMode="External"/><Relationship Id="rId958" Type="http://schemas.openxmlformats.org/officeDocument/2006/relationships/hyperlink" Target="https://youtu.be/Hi7YK7g_LZA" TargetMode="External"/><Relationship Id="rId957" Type="http://schemas.openxmlformats.org/officeDocument/2006/relationships/hyperlink" Target="https://youtu.be/C_hs7Gw_6g8" TargetMode="External"/><Relationship Id="rId956" Type="http://schemas.openxmlformats.org/officeDocument/2006/relationships/hyperlink" Target="https://youtu.be/UbvgIG5AyUs" TargetMode="External"/><Relationship Id="rId955" Type="http://schemas.openxmlformats.org/officeDocument/2006/relationships/hyperlink" Target="https://youtu.be/SEst1lHWgwk" TargetMode="External"/><Relationship Id="rId954" Type="http://schemas.openxmlformats.org/officeDocument/2006/relationships/hyperlink" Target="https://youtu.be/cSVpRPLu3EA" TargetMode="External"/><Relationship Id="rId953" Type="http://schemas.openxmlformats.org/officeDocument/2006/relationships/hyperlink" Target="https://youtu.be/Ka3jRmDRAKk" TargetMode="External"/><Relationship Id="rId952" Type="http://schemas.openxmlformats.org/officeDocument/2006/relationships/hyperlink" Target="https://youtu.be/Tijap2ocSs4" TargetMode="External"/><Relationship Id="rId951" Type="http://schemas.openxmlformats.org/officeDocument/2006/relationships/hyperlink" Target="https://youtu.be/Gtaoc_5y8VE" TargetMode="External"/><Relationship Id="rId950" Type="http://schemas.openxmlformats.org/officeDocument/2006/relationships/hyperlink" Target="https://youtu.be/-kg6Zw3Hufo" TargetMode="External"/><Relationship Id="rId95" Type="http://schemas.openxmlformats.org/officeDocument/2006/relationships/hyperlink" Target="https://youtu.be/00jNOM1YbIg" TargetMode="External"/><Relationship Id="rId949" Type="http://schemas.openxmlformats.org/officeDocument/2006/relationships/hyperlink" Target="https://youtu.be/UCjlfPS_6ZM" TargetMode="External"/><Relationship Id="rId948" Type="http://schemas.openxmlformats.org/officeDocument/2006/relationships/hyperlink" Target="https://youtu.be/SUJUlt5BNFg" TargetMode="External"/><Relationship Id="rId947" Type="http://schemas.openxmlformats.org/officeDocument/2006/relationships/hyperlink" Target="https://youtu.be/nbdrZ2JUOw0" TargetMode="External"/><Relationship Id="rId946" Type="http://schemas.openxmlformats.org/officeDocument/2006/relationships/hyperlink" Target="https://youtu.be/Z59pq5JHpnc" TargetMode="External"/><Relationship Id="rId945" Type="http://schemas.openxmlformats.org/officeDocument/2006/relationships/hyperlink" Target="https://youtu.be/rXVILG8gLVo" TargetMode="External"/><Relationship Id="rId944" Type="http://schemas.openxmlformats.org/officeDocument/2006/relationships/hyperlink" Target="https://youtu.be/_403HWLU6Uk" TargetMode="External"/><Relationship Id="rId943" Type="http://schemas.openxmlformats.org/officeDocument/2006/relationships/hyperlink" Target="https://youtu.be/ZFd8gmUTGmw" TargetMode="External"/><Relationship Id="rId942" Type="http://schemas.openxmlformats.org/officeDocument/2006/relationships/hyperlink" Target="https://youtu.be/gZCtRccs1xo" TargetMode="External"/><Relationship Id="rId941" Type="http://schemas.openxmlformats.org/officeDocument/2006/relationships/hyperlink" Target="https://youtu.be/TplYDB_csf8" TargetMode="External"/><Relationship Id="rId940" Type="http://schemas.openxmlformats.org/officeDocument/2006/relationships/hyperlink" Target="https://youtu.be/02TYu73B3jc" TargetMode="External"/><Relationship Id="rId94" Type="http://schemas.openxmlformats.org/officeDocument/2006/relationships/hyperlink" Target="https://youtu.be/qLYIAWlsG7U" TargetMode="External"/><Relationship Id="rId939" Type="http://schemas.openxmlformats.org/officeDocument/2006/relationships/hyperlink" Target="https://youtu.be/gdouU1IN8TQ" TargetMode="External"/><Relationship Id="rId938" Type="http://schemas.openxmlformats.org/officeDocument/2006/relationships/hyperlink" Target="https://youtu.be/5d-lCAlfr5s" TargetMode="External"/><Relationship Id="rId937" Type="http://schemas.openxmlformats.org/officeDocument/2006/relationships/hyperlink" Target="https://youtu.be/_406gfSToBs" TargetMode="External"/><Relationship Id="rId936" Type="http://schemas.openxmlformats.org/officeDocument/2006/relationships/hyperlink" Target="https://youtu.be/PNt6L9dWbZ0" TargetMode="External"/><Relationship Id="rId935" Type="http://schemas.openxmlformats.org/officeDocument/2006/relationships/hyperlink" Target="https://youtu.be/ssnUAN82T9g" TargetMode="External"/><Relationship Id="rId934" Type="http://schemas.openxmlformats.org/officeDocument/2006/relationships/hyperlink" Target="https://youtu.be/E-B9uR74YQ4" TargetMode="External"/><Relationship Id="rId933" Type="http://schemas.openxmlformats.org/officeDocument/2006/relationships/hyperlink" Target="https://youtu.be/lUHx9rFnKjM" TargetMode="External"/><Relationship Id="rId932" Type="http://schemas.openxmlformats.org/officeDocument/2006/relationships/hyperlink" Target="https://youtu.be/3DX0pkZ1Qu4" TargetMode="External"/><Relationship Id="rId931" Type="http://schemas.openxmlformats.org/officeDocument/2006/relationships/hyperlink" Target="https://youtu.be/0HoLtbcIsDQ" TargetMode="External"/><Relationship Id="rId930" Type="http://schemas.openxmlformats.org/officeDocument/2006/relationships/hyperlink" Target="https://youtu.be/rgFeAcnF9tY" TargetMode="External"/><Relationship Id="rId93" Type="http://schemas.openxmlformats.org/officeDocument/2006/relationships/hyperlink" Target="https://youtu.be/mHzK41IHwr4" TargetMode="External"/><Relationship Id="rId929" Type="http://schemas.openxmlformats.org/officeDocument/2006/relationships/hyperlink" Target="https://youtu.be/5zSKAoEFD5c" TargetMode="External"/><Relationship Id="rId928" Type="http://schemas.openxmlformats.org/officeDocument/2006/relationships/hyperlink" Target="https://youtu.be/lwt6_ntY7lI" TargetMode="External"/><Relationship Id="rId927" Type="http://schemas.openxmlformats.org/officeDocument/2006/relationships/hyperlink" Target="https://youtu.be/qPSiGT1JYWk" TargetMode="External"/><Relationship Id="rId926" Type="http://schemas.openxmlformats.org/officeDocument/2006/relationships/hyperlink" Target="https://youtu.be/VwmmNwFnPvk" TargetMode="External"/><Relationship Id="rId925" Type="http://schemas.openxmlformats.org/officeDocument/2006/relationships/hyperlink" Target="https://youtu.be/70GrihLXmSs" TargetMode="External"/><Relationship Id="rId924" Type="http://schemas.openxmlformats.org/officeDocument/2006/relationships/hyperlink" Target="https://youtu.be/MTebNwoHhDY" TargetMode="External"/><Relationship Id="rId923" Type="http://schemas.openxmlformats.org/officeDocument/2006/relationships/hyperlink" Target="https://youtu.be/z69uruiFH_I" TargetMode="External"/><Relationship Id="rId922" Type="http://schemas.openxmlformats.org/officeDocument/2006/relationships/hyperlink" Target="https://youtu.be/ndP1GpMgORA" TargetMode="External"/><Relationship Id="rId921" Type="http://schemas.openxmlformats.org/officeDocument/2006/relationships/hyperlink" Target="https://youtu.be/oz9RGRMy7LI" TargetMode="External"/><Relationship Id="rId920" Type="http://schemas.openxmlformats.org/officeDocument/2006/relationships/hyperlink" Target="https://youtu.be/BCWNcYsKRNA" TargetMode="External"/><Relationship Id="rId92" Type="http://schemas.openxmlformats.org/officeDocument/2006/relationships/hyperlink" Target="https://youtu.be/Etq7LodNJnM" TargetMode="External"/><Relationship Id="rId919" Type="http://schemas.openxmlformats.org/officeDocument/2006/relationships/hyperlink" Target="https://youtu.be/Z8huapsaouU" TargetMode="External"/><Relationship Id="rId918" Type="http://schemas.openxmlformats.org/officeDocument/2006/relationships/hyperlink" Target="https://youtu.be/86aWDx5SQas" TargetMode="External"/><Relationship Id="rId917" Type="http://schemas.openxmlformats.org/officeDocument/2006/relationships/hyperlink" Target="https://youtu.be/1hErxDJC-Yw" TargetMode="External"/><Relationship Id="rId916" Type="http://schemas.openxmlformats.org/officeDocument/2006/relationships/hyperlink" Target="https://youtu.be/cA5OJr3X0vg" TargetMode="External"/><Relationship Id="rId915" Type="http://schemas.openxmlformats.org/officeDocument/2006/relationships/hyperlink" Target="https://youtu.be/rfVNn_Y4Onc" TargetMode="External"/><Relationship Id="rId914" Type="http://schemas.openxmlformats.org/officeDocument/2006/relationships/hyperlink" Target="https://youtu.be/72ca0opq92Y" TargetMode="External"/><Relationship Id="rId913" Type="http://schemas.openxmlformats.org/officeDocument/2006/relationships/hyperlink" Target="https://youtu.be/lylmTYVwEro" TargetMode="External"/><Relationship Id="rId912" Type="http://schemas.openxmlformats.org/officeDocument/2006/relationships/hyperlink" Target="https://youtu.be/QR0orgqkLi0" TargetMode="External"/><Relationship Id="rId911" Type="http://schemas.openxmlformats.org/officeDocument/2006/relationships/hyperlink" Target="https://youtu.be/TJbk9c594t8" TargetMode="External"/><Relationship Id="rId910" Type="http://schemas.openxmlformats.org/officeDocument/2006/relationships/hyperlink" Target="https://youtu.be/7FLi1uby_u4" TargetMode="External"/><Relationship Id="rId91" Type="http://schemas.openxmlformats.org/officeDocument/2006/relationships/hyperlink" Target="https://youtu.be/M4g8Cq01XbE" TargetMode="External"/><Relationship Id="rId909" Type="http://schemas.openxmlformats.org/officeDocument/2006/relationships/hyperlink" Target="https://youtu.be/oKZvYztlpp4" TargetMode="External"/><Relationship Id="rId908" Type="http://schemas.openxmlformats.org/officeDocument/2006/relationships/hyperlink" Target="https://youtu.be/ouDKD9G9jOE" TargetMode="External"/><Relationship Id="rId907" Type="http://schemas.openxmlformats.org/officeDocument/2006/relationships/hyperlink" Target="https://youtu.be/Sic9M7qGV9g" TargetMode="External"/><Relationship Id="rId906" Type="http://schemas.openxmlformats.org/officeDocument/2006/relationships/hyperlink" Target="https://youtu.be/FRhIcs3cvJc" TargetMode="External"/><Relationship Id="rId905" Type="http://schemas.openxmlformats.org/officeDocument/2006/relationships/hyperlink" Target="https://youtu.be/H0QbMJqqQwk" TargetMode="External"/><Relationship Id="rId904" Type="http://schemas.openxmlformats.org/officeDocument/2006/relationships/hyperlink" Target="https://youtu.be/FW-3A78OeNw" TargetMode="External"/><Relationship Id="rId903" Type="http://schemas.openxmlformats.org/officeDocument/2006/relationships/hyperlink" Target="https://youtu.be/8MpiIFUo8QM" TargetMode="External"/><Relationship Id="rId902" Type="http://schemas.openxmlformats.org/officeDocument/2006/relationships/hyperlink" Target="https://youtu.be/QfPbemSzFRw" TargetMode="External"/><Relationship Id="rId901" Type="http://schemas.openxmlformats.org/officeDocument/2006/relationships/hyperlink" Target="https://youtu.be/g0day1xpTzU" TargetMode="External"/><Relationship Id="rId900" Type="http://schemas.openxmlformats.org/officeDocument/2006/relationships/hyperlink" Target="https://youtu.be/SYHR3UgOhhs" TargetMode="External"/><Relationship Id="rId90" Type="http://schemas.openxmlformats.org/officeDocument/2006/relationships/hyperlink" Target="https://youtu.be/0vU9x0QK-7s" TargetMode="External"/><Relationship Id="rId9" Type="http://schemas.openxmlformats.org/officeDocument/2006/relationships/hyperlink" Target="https://youtu.be/L1m-QF0elDs" TargetMode="External"/><Relationship Id="rId899" Type="http://schemas.openxmlformats.org/officeDocument/2006/relationships/hyperlink" Target="https://youtu.be/BtlJaI3yu2E" TargetMode="External"/><Relationship Id="rId898" Type="http://schemas.openxmlformats.org/officeDocument/2006/relationships/hyperlink" Target="https://youtu.be/qam7K5H6Rqo" TargetMode="External"/><Relationship Id="rId897" Type="http://schemas.openxmlformats.org/officeDocument/2006/relationships/hyperlink" Target="https://youtu.be/HxwHl35LhGQ" TargetMode="External"/><Relationship Id="rId896" Type="http://schemas.openxmlformats.org/officeDocument/2006/relationships/hyperlink" Target="https://youtu.be/dMNCth_vgr0" TargetMode="External"/><Relationship Id="rId895" Type="http://schemas.openxmlformats.org/officeDocument/2006/relationships/hyperlink" Target="https://youtu.be/bhPNNIiuEzI" TargetMode="External"/><Relationship Id="rId894" Type="http://schemas.openxmlformats.org/officeDocument/2006/relationships/hyperlink" Target="https://youtu.be/VLnPaP2fGYE" TargetMode="External"/><Relationship Id="rId893" Type="http://schemas.openxmlformats.org/officeDocument/2006/relationships/hyperlink" Target="https://youtu.be/Y-qZMOTT-OM" TargetMode="External"/><Relationship Id="rId892" Type="http://schemas.openxmlformats.org/officeDocument/2006/relationships/hyperlink" Target="https://youtu.be/iGE81m_c1gA" TargetMode="External"/><Relationship Id="rId891" Type="http://schemas.openxmlformats.org/officeDocument/2006/relationships/hyperlink" Target="https://youtu.be/sSfeJ8qaG7Q" TargetMode="External"/><Relationship Id="rId890" Type="http://schemas.openxmlformats.org/officeDocument/2006/relationships/hyperlink" Target="https://youtu.be/fkuuA7Z2x2Y" TargetMode="External"/><Relationship Id="rId89" Type="http://schemas.openxmlformats.org/officeDocument/2006/relationships/hyperlink" Target="https://youtu.be/X7G0BKKB12E" TargetMode="External"/><Relationship Id="rId889" Type="http://schemas.openxmlformats.org/officeDocument/2006/relationships/hyperlink" Target="https://youtu.be/bnWR-Gtrh8A" TargetMode="External"/><Relationship Id="rId888" Type="http://schemas.openxmlformats.org/officeDocument/2006/relationships/hyperlink" Target="https://youtu.be/FrkDAk3H96k" TargetMode="External"/><Relationship Id="rId887" Type="http://schemas.openxmlformats.org/officeDocument/2006/relationships/hyperlink" Target="https://youtu.be/4Gq8_TcNQbg" TargetMode="External"/><Relationship Id="rId886" Type="http://schemas.openxmlformats.org/officeDocument/2006/relationships/hyperlink" Target="https://youtu.be/j0wdRieUQ7g" TargetMode="External"/><Relationship Id="rId885" Type="http://schemas.openxmlformats.org/officeDocument/2006/relationships/hyperlink" Target="https://youtu.be/6A3ZHxWwOXI" TargetMode="External"/><Relationship Id="rId884" Type="http://schemas.openxmlformats.org/officeDocument/2006/relationships/hyperlink" Target="https://youtu.be/2BB_zxZvaVs" TargetMode="External"/><Relationship Id="rId883" Type="http://schemas.openxmlformats.org/officeDocument/2006/relationships/hyperlink" Target="https://youtu.be/jqHuQ0o4vyo" TargetMode="External"/><Relationship Id="rId882" Type="http://schemas.openxmlformats.org/officeDocument/2006/relationships/hyperlink" Target="https://youtu.be/q8cT2b6rrkY" TargetMode="External"/><Relationship Id="rId881" Type="http://schemas.openxmlformats.org/officeDocument/2006/relationships/hyperlink" Target="https://youtu.be/e-GbTqpCLLM" TargetMode="External"/><Relationship Id="rId880" Type="http://schemas.openxmlformats.org/officeDocument/2006/relationships/hyperlink" Target="https://youtu.be/ixvk5al_0bc" TargetMode="External"/><Relationship Id="rId88" Type="http://schemas.openxmlformats.org/officeDocument/2006/relationships/hyperlink" Target="https://youtu.be/OPQOGS8XRnU" TargetMode="External"/><Relationship Id="rId879" Type="http://schemas.openxmlformats.org/officeDocument/2006/relationships/hyperlink" Target="https://youtu.be/lYqi-tYxEAI" TargetMode="External"/><Relationship Id="rId878" Type="http://schemas.openxmlformats.org/officeDocument/2006/relationships/hyperlink" Target="https://youtu.be/5DZ6RA1__Ts" TargetMode="External"/><Relationship Id="rId877" Type="http://schemas.openxmlformats.org/officeDocument/2006/relationships/hyperlink" Target="https://youtu.be/ZvE8jIf5Efw" TargetMode="External"/><Relationship Id="rId876" Type="http://schemas.openxmlformats.org/officeDocument/2006/relationships/hyperlink" Target="https://youtu.be/CPvcjRARi68" TargetMode="External"/><Relationship Id="rId875" Type="http://schemas.openxmlformats.org/officeDocument/2006/relationships/hyperlink" Target="https://youtu.be/LL43GAKoH4Q" TargetMode="External"/><Relationship Id="rId874" Type="http://schemas.openxmlformats.org/officeDocument/2006/relationships/hyperlink" Target="https://youtu.be/stPAHJQ8iL4" TargetMode="External"/><Relationship Id="rId873" Type="http://schemas.openxmlformats.org/officeDocument/2006/relationships/hyperlink" Target="https://youtu.be/xiWO6n_3s70" TargetMode="External"/><Relationship Id="rId872" Type="http://schemas.openxmlformats.org/officeDocument/2006/relationships/hyperlink" Target="https://youtu.be/IeWOlJf2BJM" TargetMode="External"/><Relationship Id="rId871" Type="http://schemas.openxmlformats.org/officeDocument/2006/relationships/hyperlink" Target="https://youtu.be/HamFcDiqi_M" TargetMode="External"/><Relationship Id="rId870" Type="http://schemas.openxmlformats.org/officeDocument/2006/relationships/hyperlink" Target="https://youtu.be/HZrg9nvrKkY" TargetMode="External"/><Relationship Id="rId87" Type="http://schemas.openxmlformats.org/officeDocument/2006/relationships/hyperlink" Target="https://youtu.be/2alomhpjEew" TargetMode="External"/><Relationship Id="rId869" Type="http://schemas.openxmlformats.org/officeDocument/2006/relationships/hyperlink" Target="https://youtu.be/pNQ9CTJ7Mxc" TargetMode="External"/><Relationship Id="rId868" Type="http://schemas.openxmlformats.org/officeDocument/2006/relationships/hyperlink" Target="https://youtu.be/YqP5wMswxzw" TargetMode="External"/><Relationship Id="rId867" Type="http://schemas.openxmlformats.org/officeDocument/2006/relationships/hyperlink" Target="https://youtu.be/FZrqmg_bm7o" TargetMode="External"/><Relationship Id="rId866" Type="http://schemas.openxmlformats.org/officeDocument/2006/relationships/hyperlink" Target="https://youtu.be/ZPIz9_Zv2FA" TargetMode="External"/><Relationship Id="rId865" Type="http://schemas.openxmlformats.org/officeDocument/2006/relationships/hyperlink" Target="https://youtu.be/3gCvSPTJyHQ" TargetMode="External"/><Relationship Id="rId864" Type="http://schemas.openxmlformats.org/officeDocument/2006/relationships/hyperlink" Target="https://youtu.be/AsdngbXX9R0" TargetMode="External"/><Relationship Id="rId863" Type="http://schemas.openxmlformats.org/officeDocument/2006/relationships/hyperlink" Target="https://youtu.be/HUNfwWGc6Iw" TargetMode="External"/><Relationship Id="rId862" Type="http://schemas.openxmlformats.org/officeDocument/2006/relationships/hyperlink" Target="https://youtu.be/CCW7PGGg7DI" TargetMode="External"/><Relationship Id="rId861" Type="http://schemas.openxmlformats.org/officeDocument/2006/relationships/hyperlink" Target="https://youtu.be/jiL27ptrWDE" TargetMode="External"/><Relationship Id="rId860" Type="http://schemas.openxmlformats.org/officeDocument/2006/relationships/hyperlink" Target="https://youtu.be/-nmNhKRzy4w" TargetMode="External"/><Relationship Id="rId86" Type="http://schemas.openxmlformats.org/officeDocument/2006/relationships/hyperlink" Target="https://youtu.be/56yo70bavDE" TargetMode="External"/><Relationship Id="rId859" Type="http://schemas.openxmlformats.org/officeDocument/2006/relationships/hyperlink" Target="https://youtu.be/sC217wotZy8" TargetMode="External"/><Relationship Id="rId858" Type="http://schemas.openxmlformats.org/officeDocument/2006/relationships/hyperlink" Target="https://youtu.be/BDYbaphIjxI" TargetMode="External"/><Relationship Id="rId857" Type="http://schemas.openxmlformats.org/officeDocument/2006/relationships/hyperlink" Target="https://youtu.be/Yzh065x917w" TargetMode="External"/><Relationship Id="rId856" Type="http://schemas.openxmlformats.org/officeDocument/2006/relationships/hyperlink" Target="https://youtu.be/Ne57B7QI4gk" TargetMode="External"/><Relationship Id="rId855" Type="http://schemas.openxmlformats.org/officeDocument/2006/relationships/hyperlink" Target="https://youtu.be/DHrLhm2z3xk" TargetMode="External"/><Relationship Id="rId854" Type="http://schemas.openxmlformats.org/officeDocument/2006/relationships/hyperlink" Target="https://youtu.be/smtsc5mlex8" TargetMode="External"/><Relationship Id="rId853" Type="http://schemas.openxmlformats.org/officeDocument/2006/relationships/hyperlink" Target="https://youtu.be/geHritEjBnY" TargetMode="External"/><Relationship Id="rId852" Type="http://schemas.openxmlformats.org/officeDocument/2006/relationships/hyperlink" Target="https://youtu.be/lBechwsmk1Y" TargetMode="External"/><Relationship Id="rId851" Type="http://schemas.openxmlformats.org/officeDocument/2006/relationships/hyperlink" Target="https://youtu.be/YQv93BOIJQE" TargetMode="External"/><Relationship Id="rId850" Type="http://schemas.openxmlformats.org/officeDocument/2006/relationships/hyperlink" Target="https://youtu.be/Sq4KHpbTdTo" TargetMode="External"/><Relationship Id="rId85" Type="http://schemas.openxmlformats.org/officeDocument/2006/relationships/hyperlink" Target="https://youtu.be/I9FLyL68It0" TargetMode="External"/><Relationship Id="rId849" Type="http://schemas.openxmlformats.org/officeDocument/2006/relationships/hyperlink" Target="https://youtu.be/XXT2jkm2eTw" TargetMode="External"/><Relationship Id="rId848" Type="http://schemas.openxmlformats.org/officeDocument/2006/relationships/hyperlink" Target="https://youtu.be/DWkowyIB1To" TargetMode="External"/><Relationship Id="rId847" Type="http://schemas.openxmlformats.org/officeDocument/2006/relationships/hyperlink" Target="https://youtu.be/SliwCMZd4R4" TargetMode="External"/><Relationship Id="rId846" Type="http://schemas.openxmlformats.org/officeDocument/2006/relationships/hyperlink" Target="https://youtu.be/hBnVSIvDoqQ" TargetMode="External"/><Relationship Id="rId845" Type="http://schemas.openxmlformats.org/officeDocument/2006/relationships/hyperlink" Target="https://youtu.be/kK2dLogihpg" TargetMode="External"/><Relationship Id="rId844" Type="http://schemas.openxmlformats.org/officeDocument/2006/relationships/hyperlink" Target="https://youtu.be/ggh96kR8cu0" TargetMode="External"/><Relationship Id="rId843" Type="http://schemas.openxmlformats.org/officeDocument/2006/relationships/hyperlink" Target="https://youtu.be/vSjDB9F-9Pk" TargetMode="External"/><Relationship Id="rId842" Type="http://schemas.openxmlformats.org/officeDocument/2006/relationships/hyperlink" Target="https://youtu.be/Hbr7l-iVoBE" TargetMode="External"/><Relationship Id="rId841" Type="http://schemas.openxmlformats.org/officeDocument/2006/relationships/hyperlink" Target="https://youtu.be/7fYKMCCPh28" TargetMode="External"/><Relationship Id="rId840" Type="http://schemas.openxmlformats.org/officeDocument/2006/relationships/hyperlink" Target="https://youtu.be/HQdMZ5OAU3U" TargetMode="External"/><Relationship Id="rId84" Type="http://schemas.openxmlformats.org/officeDocument/2006/relationships/hyperlink" Target="https://youtu.be/vnCkV-vZk3I" TargetMode="External"/><Relationship Id="rId839" Type="http://schemas.openxmlformats.org/officeDocument/2006/relationships/hyperlink" Target="https://youtu.be/HoE3L56BVZw" TargetMode="External"/><Relationship Id="rId838" Type="http://schemas.openxmlformats.org/officeDocument/2006/relationships/hyperlink" Target="https://youtu.be/_wc9l4vGm5Y" TargetMode="External"/><Relationship Id="rId837" Type="http://schemas.openxmlformats.org/officeDocument/2006/relationships/hyperlink" Target="https://youtu.be/28r2SFZwkB0" TargetMode="External"/><Relationship Id="rId836" Type="http://schemas.openxmlformats.org/officeDocument/2006/relationships/hyperlink" Target="https://youtu.be/arEf05Yf5IY" TargetMode="External"/><Relationship Id="rId835" Type="http://schemas.openxmlformats.org/officeDocument/2006/relationships/hyperlink" Target="https://youtu.be/8N--3_JsHQk" TargetMode="External"/><Relationship Id="rId834" Type="http://schemas.openxmlformats.org/officeDocument/2006/relationships/hyperlink" Target="https://youtu.be/8CCPwZHz3uw" TargetMode="External"/><Relationship Id="rId833" Type="http://schemas.openxmlformats.org/officeDocument/2006/relationships/hyperlink" Target="https://youtu.be/qp_0l043mKQ" TargetMode="External"/><Relationship Id="rId832" Type="http://schemas.openxmlformats.org/officeDocument/2006/relationships/hyperlink" Target="https://youtu.be/cp-lTLz_tRM" TargetMode="External"/><Relationship Id="rId831" Type="http://schemas.openxmlformats.org/officeDocument/2006/relationships/hyperlink" Target="https://youtu.be/ZtrT0HfTV5Q" TargetMode="External"/><Relationship Id="rId830" Type="http://schemas.openxmlformats.org/officeDocument/2006/relationships/hyperlink" Target="https://youtu.be/AV_x2KbJjIc" TargetMode="External"/><Relationship Id="rId83" Type="http://schemas.openxmlformats.org/officeDocument/2006/relationships/hyperlink" Target="https://youtu.be/AeHvv4kCSk8" TargetMode="External"/><Relationship Id="rId829" Type="http://schemas.openxmlformats.org/officeDocument/2006/relationships/hyperlink" Target="https://youtu.be/gLX87TYjXbM" TargetMode="External"/><Relationship Id="rId828" Type="http://schemas.openxmlformats.org/officeDocument/2006/relationships/hyperlink" Target="https://youtu.be/WL1XY4jT5ks" TargetMode="External"/><Relationship Id="rId827" Type="http://schemas.openxmlformats.org/officeDocument/2006/relationships/hyperlink" Target="https://youtu.be/0ValuWqyRG8" TargetMode="External"/><Relationship Id="rId826" Type="http://schemas.openxmlformats.org/officeDocument/2006/relationships/hyperlink" Target="https://youtu.be/WcFarXvECb8" TargetMode="External"/><Relationship Id="rId825" Type="http://schemas.openxmlformats.org/officeDocument/2006/relationships/hyperlink" Target="https://youtu.be/bDstIrIn3mw" TargetMode="External"/><Relationship Id="rId824" Type="http://schemas.openxmlformats.org/officeDocument/2006/relationships/hyperlink" Target="https://youtu.be/aMw72D58W3Y" TargetMode="External"/><Relationship Id="rId823" Type="http://schemas.openxmlformats.org/officeDocument/2006/relationships/hyperlink" Target="https://youtu.be/H_g_iA3Kszg" TargetMode="External"/><Relationship Id="rId822" Type="http://schemas.openxmlformats.org/officeDocument/2006/relationships/hyperlink" Target="https://youtu.be/iyNfUPjSFDs" TargetMode="External"/><Relationship Id="rId821" Type="http://schemas.openxmlformats.org/officeDocument/2006/relationships/hyperlink" Target="https://youtu.be/NQKlygiPnoU" TargetMode="External"/><Relationship Id="rId820" Type="http://schemas.openxmlformats.org/officeDocument/2006/relationships/hyperlink" Target="https://youtu.be/MBCHIj1Li1A" TargetMode="External"/><Relationship Id="rId82" Type="http://schemas.openxmlformats.org/officeDocument/2006/relationships/hyperlink" Target="https://youtu.be/LqmS_mYDnpM" TargetMode="External"/><Relationship Id="rId819" Type="http://schemas.openxmlformats.org/officeDocument/2006/relationships/hyperlink" Target="https://youtu.be/2Rd1sCC0G9E" TargetMode="External"/><Relationship Id="rId818" Type="http://schemas.openxmlformats.org/officeDocument/2006/relationships/hyperlink" Target="https://youtu.be/8TlNip1VJ38" TargetMode="External"/><Relationship Id="rId817" Type="http://schemas.openxmlformats.org/officeDocument/2006/relationships/hyperlink" Target="https://youtu.be/ntp6y-qe-sY" TargetMode="External"/><Relationship Id="rId816" Type="http://schemas.openxmlformats.org/officeDocument/2006/relationships/hyperlink" Target="https://youtu.be/9D75x679hcs" TargetMode="External"/><Relationship Id="rId815" Type="http://schemas.openxmlformats.org/officeDocument/2006/relationships/hyperlink" Target="https://youtu.be/wExehfrQtqo" TargetMode="External"/><Relationship Id="rId814" Type="http://schemas.openxmlformats.org/officeDocument/2006/relationships/hyperlink" Target="https://youtu.be/pXww3F86K3M" TargetMode="External"/><Relationship Id="rId813" Type="http://schemas.openxmlformats.org/officeDocument/2006/relationships/hyperlink" Target="https://youtu.be/_IdhNfqm0tE" TargetMode="External"/><Relationship Id="rId812" Type="http://schemas.openxmlformats.org/officeDocument/2006/relationships/hyperlink" Target="https://youtu.be/CNcuKoeM1N0" TargetMode="External"/><Relationship Id="rId811" Type="http://schemas.openxmlformats.org/officeDocument/2006/relationships/hyperlink" Target="https://youtu.be/5mPvvkwDHXc" TargetMode="External"/><Relationship Id="rId810" Type="http://schemas.openxmlformats.org/officeDocument/2006/relationships/hyperlink" Target="https://youtu.be/fIPwR63W3tI" TargetMode="External"/><Relationship Id="rId81" Type="http://schemas.openxmlformats.org/officeDocument/2006/relationships/hyperlink" Target="https://youtu.be/iBgs_XLv1ng" TargetMode="External"/><Relationship Id="rId809" Type="http://schemas.openxmlformats.org/officeDocument/2006/relationships/hyperlink" Target="https://youtu.be/Z4XvtP45m50" TargetMode="External"/><Relationship Id="rId808" Type="http://schemas.openxmlformats.org/officeDocument/2006/relationships/hyperlink" Target="https://youtu.be/Z2szk-NuKWg" TargetMode="External"/><Relationship Id="rId807" Type="http://schemas.openxmlformats.org/officeDocument/2006/relationships/hyperlink" Target="https://youtu.be/rUAr6ngVlGM" TargetMode="External"/><Relationship Id="rId806" Type="http://schemas.openxmlformats.org/officeDocument/2006/relationships/hyperlink" Target="https://youtu.be/4S06mRc5jwY" TargetMode="External"/><Relationship Id="rId805" Type="http://schemas.openxmlformats.org/officeDocument/2006/relationships/hyperlink" Target="https://youtu.be/O0J3MmEZz5g" TargetMode="External"/><Relationship Id="rId804" Type="http://schemas.openxmlformats.org/officeDocument/2006/relationships/hyperlink" Target="https://youtu.be/BA0e9Z3lbZI" TargetMode="External"/><Relationship Id="rId803" Type="http://schemas.openxmlformats.org/officeDocument/2006/relationships/hyperlink" Target="https://youtu.be/b2zl0RRyywk" TargetMode="External"/><Relationship Id="rId802" Type="http://schemas.openxmlformats.org/officeDocument/2006/relationships/hyperlink" Target="https://youtu.be/aTPM7hlBetw" TargetMode="External"/><Relationship Id="rId801" Type="http://schemas.openxmlformats.org/officeDocument/2006/relationships/hyperlink" Target="https://youtu.be/KfIofcFiLfA" TargetMode="External"/><Relationship Id="rId800" Type="http://schemas.openxmlformats.org/officeDocument/2006/relationships/hyperlink" Target="https://youtu.be/-6mwmZqA5AU" TargetMode="External"/><Relationship Id="rId80" Type="http://schemas.openxmlformats.org/officeDocument/2006/relationships/hyperlink" Target="https://youtu.be/YMQUJMuh6sU" TargetMode="External"/><Relationship Id="rId8" Type="http://schemas.openxmlformats.org/officeDocument/2006/relationships/hyperlink" Target="https://youtu.be/4UOFD7i4Gx4" TargetMode="External"/><Relationship Id="rId799" Type="http://schemas.openxmlformats.org/officeDocument/2006/relationships/hyperlink" Target="https://youtu.be/jBpTZI8ofHU" TargetMode="External"/><Relationship Id="rId798" Type="http://schemas.openxmlformats.org/officeDocument/2006/relationships/hyperlink" Target="https://youtu.be/5NE96oJsQRA" TargetMode="External"/><Relationship Id="rId797" Type="http://schemas.openxmlformats.org/officeDocument/2006/relationships/hyperlink" Target="https://youtu.be/9JRMiB0WwLU" TargetMode="External"/><Relationship Id="rId796" Type="http://schemas.openxmlformats.org/officeDocument/2006/relationships/hyperlink" Target="https://youtu.be/u53JU_Pm7FU" TargetMode="External"/><Relationship Id="rId795" Type="http://schemas.openxmlformats.org/officeDocument/2006/relationships/hyperlink" Target="https://youtu.be/qGT19qUhjTY" TargetMode="External"/><Relationship Id="rId794" Type="http://schemas.openxmlformats.org/officeDocument/2006/relationships/hyperlink" Target="https://youtu.be/ht9zTT4qPeI" TargetMode="External"/><Relationship Id="rId793" Type="http://schemas.openxmlformats.org/officeDocument/2006/relationships/hyperlink" Target="https://youtu.be/A86RtW62WQ4" TargetMode="External"/><Relationship Id="rId792" Type="http://schemas.openxmlformats.org/officeDocument/2006/relationships/hyperlink" Target="https://youtu.be/iApjVuYHrws" TargetMode="External"/><Relationship Id="rId791" Type="http://schemas.openxmlformats.org/officeDocument/2006/relationships/hyperlink" Target="https://youtu.be/KZbO3c-AdlM" TargetMode="External"/><Relationship Id="rId790" Type="http://schemas.openxmlformats.org/officeDocument/2006/relationships/hyperlink" Target="https://youtu.be/IOEPDf2DYNM" TargetMode="External"/><Relationship Id="rId79" Type="http://schemas.openxmlformats.org/officeDocument/2006/relationships/hyperlink" Target="https://youtu.be/IC9Ejde89rQ" TargetMode="External"/><Relationship Id="rId789" Type="http://schemas.openxmlformats.org/officeDocument/2006/relationships/hyperlink" Target="https://youtu.be/eYV4gl558xc" TargetMode="External"/><Relationship Id="rId788" Type="http://schemas.openxmlformats.org/officeDocument/2006/relationships/hyperlink" Target="https://youtu.be/UvRaPpJJrpY" TargetMode="External"/><Relationship Id="rId787" Type="http://schemas.openxmlformats.org/officeDocument/2006/relationships/hyperlink" Target="https://youtu.be/Cgb1gyOsSQ0" TargetMode="External"/><Relationship Id="rId786" Type="http://schemas.openxmlformats.org/officeDocument/2006/relationships/hyperlink" Target="https://youtu.be/TKP1chg-xpU" TargetMode="External"/><Relationship Id="rId785" Type="http://schemas.openxmlformats.org/officeDocument/2006/relationships/hyperlink" Target="https://youtu.be/5Yu1uOB2-_E" TargetMode="External"/><Relationship Id="rId784" Type="http://schemas.openxmlformats.org/officeDocument/2006/relationships/hyperlink" Target="https://youtu.be/XxY__js5yTU" TargetMode="External"/><Relationship Id="rId783" Type="http://schemas.openxmlformats.org/officeDocument/2006/relationships/hyperlink" Target="https://youtu.be/5ZYQMRucmS0" TargetMode="External"/><Relationship Id="rId782" Type="http://schemas.openxmlformats.org/officeDocument/2006/relationships/hyperlink" Target="https://youtu.be/BCe1sAMUC7k" TargetMode="External"/><Relationship Id="rId781" Type="http://schemas.openxmlformats.org/officeDocument/2006/relationships/hyperlink" Target="https://youtu.be/LADi7Zb-qww" TargetMode="External"/><Relationship Id="rId780" Type="http://schemas.openxmlformats.org/officeDocument/2006/relationships/hyperlink" Target="https://youtu.be/IbS1zGnM9p4" TargetMode="External"/><Relationship Id="rId78" Type="http://schemas.openxmlformats.org/officeDocument/2006/relationships/hyperlink" Target="https://youtu.be/Dnp-yqdUGNM" TargetMode="External"/><Relationship Id="rId779" Type="http://schemas.openxmlformats.org/officeDocument/2006/relationships/hyperlink" Target="https://youtu.be/1Pm4MbIwRDw" TargetMode="External"/><Relationship Id="rId778" Type="http://schemas.openxmlformats.org/officeDocument/2006/relationships/hyperlink" Target="https://youtu.be/Kf7JIZ4sfgQ" TargetMode="External"/><Relationship Id="rId777" Type="http://schemas.openxmlformats.org/officeDocument/2006/relationships/hyperlink" Target="https://youtu.be/jATBbjU4IyA" TargetMode="External"/><Relationship Id="rId776" Type="http://schemas.openxmlformats.org/officeDocument/2006/relationships/hyperlink" Target="https://youtu.be/HTe_obKNCx4" TargetMode="External"/><Relationship Id="rId775" Type="http://schemas.openxmlformats.org/officeDocument/2006/relationships/hyperlink" Target="https://youtu.be/hO3Fym3gYMs" TargetMode="External"/><Relationship Id="rId774" Type="http://schemas.openxmlformats.org/officeDocument/2006/relationships/hyperlink" Target="https://youtu.be/ArHwh3xkEa8" TargetMode="External"/><Relationship Id="rId773" Type="http://schemas.openxmlformats.org/officeDocument/2006/relationships/hyperlink" Target="https://youtu.be/HZ-CISmPshU" TargetMode="External"/><Relationship Id="rId772" Type="http://schemas.openxmlformats.org/officeDocument/2006/relationships/hyperlink" Target="https://youtu.be/TjZVvZq_7wc" TargetMode="External"/><Relationship Id="rId771" Type="http://schemas.openxmlformats.org/officeDocument/2006/relationships/hyperlink" Target="https://youtu.be/O0qVTOnIhzM" TargetMode="External"/><Relationship Id="rId770" Type="http://schemas.openxmlformats.org/officeDocument/2006/relationships/hyperlink" Target="https://youtu.be/nPrfOaKJ3L0" TargetMode="External"/><Relationship Id="rId77" Type="http://schemas.openxmlformats.org/officeDocument/2006/relationships/hyperlink" Target="https://youtu.be/PhvGz9KOq8I" TargetMode="External"/><Relationship Id="rId769" Type="http://schemas.openxmlformats.org/officeDocument/2006/relationships/hyperlink" Target="https://youtu.be/DCw3eoBvRtI" TargetMode="External"/><Relationship Id="rId768" Type="http://schemas.openxmlformats.org/officeDocument/2006/relationships/hyperlink" Target="https://youtu.be/u0aOkOx3u2Q" TargetMode="External"/><Relationship Id="rId767" Type="http://schemas.openxmlformats.org/officeDocument/2006/relationships/hyperlink" Target="https://youtu.be/bNxZhrIrV78" TargetMode="External"/><Relationship Id="rId766" Type="http://schemas.openxmlformats.org/officeDocument/2006/relationships/hyperlink" Target="https://youtu.be/5ONm6r7kiD0" TargetMode="External"/><Relationship Id="rId765" Type="http://schemas.openxmlformats.org/officeDocument/2006/relationships/hyperlink" Target="https://youtu.be/RKAknU9jN6E" TargetMode="External"/><Relationship Id="rId764" Type="http://schemas.openxmlformats.org/officeDocument/2006/relationships/hyperlink" Target="https://youtu.be/gv4sOEXrxtQ" TargetMode="External"/><Relationship Id="rId763" Type="http://schemas.openxmlformats.org/officeDocument/2006/relationships/hyperlink" Target="https://youtu.be/FyGCWUzbWao" TargetMode="External"/><Relationship Id="rId762" Type="http://schemas.openxmlformats.org/officeDocument/2006/relationships/hyperlink" Target="https://youtu.be/n2OTVQWJ2Qw" TargetMode="External"/><Relationship Id="rId761" Type="http://schemas.openxmlformats.org/officeDocument/2006/relationships/hyperlink" Target="https://youtu.be/wuobYNaR31w" TargetMode="External"/><Relationship Id="rId760" Type="http://schemas.openxmlformats.org/officeDocument/2006/relationships/hyperlink" Target="https://youtu.be/ldmZnq9olYA" TargetMode="External"/><Relationship Id="rId76" Type="http://schemas.openxmlformats.org/officeDocument/2006/relationships/hyperlink" Target="https://youtu.be/CA3papkjb6Y" TargetMode="External"/><Relationship Id="rId759" Type="http://schemas.openxmlformats.org/officeDocument/2006/relationships/hyperlink" Target="https://youtu.be/m9zAK-ut-ZM" TargetMode="External"/><Relationship Id="rId758" Type="http://schemas.openxmlformats.org/officeDocument/2006/relationships/hyperlink" Target="https://youtu.be/6ycA8OpB_Tg" TargetMode="External"/><Relationship Id="rId757" Type="http://schemas.openxmlformats.org/officeDocument/2006/relationships/hyperlink" Target="https://youtu.be/efzQJrgo_Wc" TargetMode="External"/><Relationship Id="rId756" Type="http://schemas.openxmlformats.org/officeDocument/2006/relationships/hyperlink" Target="https://youtu.be/KtM00ZY8Rxw" TargetMode="External"/><Relationship Id="rId755" Type="http://schemas.openxmlformats.org/officeDocument/2006/relationships/hyperlink" Target="https://youtu.be/axy5EJtXr34" TargetMode="External"/><Relationship Id="rId754" Type="http://schemas.openxmlformats.org/officeDocument/2006/relationships/hyperlink" Target="https://youtu.be/0u1N3y8kmaU" TargetMode="External"/><Relationship Id="rId753" Type="http://schemas.openxmlformats.org/officeDocument/2006/relationships/hyperlink" Target="https://youtu.be/-2VGSa7DMZE" TargetMode="External"/><Relationship Id="rId752" Type="http://schemas.openxmlformats.org/officeDocument/2006/relationships/hyperlink" Target="https://youtu.be/S7Gg4GKcuLU" TargetMode="External"/><Relationship Id="rId751" Type="http://schemas.openxmlformats.org/officeDocument/2006/relationships/hyperlink" Target="https://youtu.be/b3YT4o78x8U" TargetMode="External"/><Relationship Id="rId750" Type="http://schemas.openxmlformats.org/officeDocument/2006/relationships/hyperlink" Target="https://youtu.be/oQ4jAlZGcPo" TargetMode="External"/><Relationship Id="rId75" Type="http://schemas.openxmlformats.org/officeDocument/2006/relationships/hyperlink" Target="https://youtu.be/ziPITyCd1yA" TargetMode="External"/><Relationship Id="rId749" Type="http://schemas.openxmlformats.org/officeDocument/2006/relationships/hyperlink" Target="https://youtu.be/dFBR2fEdRgs" TargetMode="External"/><Relationship Id="rId748" Type="http://schemas.openxmlformats.org/officeDocument/2006/relationships/hyperlink" Target="https://youtu.be/Msg1DY8z-d4" TargetMode="External"/><Relationship Id="rId747" Type="http://schemas.openxmlformats.org/officeDocument/2006/relationships/hyperlink" Target="https://youtu.be/8HW9gYGMiwo" TargetMode="External"/><Relationship Id="rId746" Type="http://schemas.openxmlformats.org/officeDocument/2006/relationships/hyperlink" Target="https://youtu.be/ridVpzznXVE" TargetMode="External"/><Relationship Id="rId745" Type="http://schemas.openxmlformats.org/officeDocument/2006/relationships/hyperlink" Target="https://youtu.be/IatS58t9VII" TargetMode="External"/><Relationship Id="rId744" Type="http://schemas.openxmlformats.org/officeDocument/2006/relationships/hyperlink" Target="https://youtu.be/631tk9aqM3I" TargetMode="External"/><Relationship Id="rId743" Type="http://schemas.openxmlformats.org/officeDocument/2006/relationships/hyperlink" Target="https://youtu.be/JXsoX2rhdbM" TargetMode="External"/><Relationship Id="rId742" Type="http://schemas.openxmlformats.org/officeDocument/2006/relationships/hyperlink" Target="https://youtu.be/NmnnBvYFOIs" TargetMode="External"/><Relationship Id="rId741" Type="http://schemas.openxmlformats.org/officeDocument/2006/relationships/hyperlink" Target="https://youtu.be/2cY6wsW8vdc" TargetMode="External"/><Relationship Id="rId740" Type="http://schemas.openxmlformats.org/officeDocument/2006/relationships/hyperlink" Target="https://youtu.be/0E-tzLa6Y3U" TargetMode="External"/><Relationship Id="rId74" Type="http://schemas.openxmlformats.org/officeDocument/2006/relationships/hyperlink" Target="https://youtu.be/jXLZakQWa6A" TargetMode="External"/><Relationship Id="rId739" Type="http://schemas.openxmlformats.org/officeDocument/2006/relationships/hyperlink" Target="https://youtu.be/2-QCC1UC6Vo" TargetMode="External"/><Relationship Id="rId738" Type="http://schemas.openxmlformats.org/officeDocument/2006/relationships/hyperlink" Target="https://youtu.be/vys1LAxPY00" TargetMode="External"/><Relationship Id="rId737" Type="http://schemas.openxmlformats.org/officeDocument/2006/relationships/hyperlink" Target="https://youtu.be/3uLggveEtmo" TargetMode="External"/><Relationship Id="rId736" Type="http://schemas.openxmlformats.org/officeDocument/2006/relationships/hyperlink" Target="https://youtu.be/DPhPX33Dlr0" TargetMode="External"/><Relationship Id="rId735" Type="http://schemas.openxmlformats.org/officeDocument/2006/relationships/hyperlink" Target="https://youtu.be/gfn6Ka6nGYg" TargetMode="External"/><Relationship Id="rId734" Type="http://schemas.openxmlformats.org/officeDocument/2006/relationships/hyperlink" Target="https://youtu.be/VibnAtGkFrE" TargetMode="External"/><Relationship Id="rId733" Type="http://schemas.openxmlformats.org/officeDocument/2006/relationships/hyperlink" Target="https://youtu.be/LdGZlN1Io5o" TargetMode="External"/><Relationship Id="rId732" Type="http://schemas.openxmlformats.org/officeDocument/2006/relationships/hyperlink" Target="https://youtu.be/E9Yipe5QIOI" TargetMode="External"/><Relationship Id="rId731" Type="http://schemas.openxmlformats.org/officeDocument/2006/relationships/hyperlink" Target="https://youtu.be/XHKUfy4Tbbw" TargetMode="External"/><Relationship Id="rId730" Type="http://schemas.openxmlformats.org/officeDocument/2006/relationships/hyperlink" Target="https://youtu.be/lC0w_pnYbb8" TargetMode="External"/><Relationship Id="rId73" Type="http://schemas.openxmlformats.org/officeDocument/2006/relationships/hyperlink" Target="https://youtu.be/a2JKH3licUo" TargetMode="External"/><Relationship Id="rId729" Type="http://schemas.openxmlformats.org/officeDocument/2006/relationships/hyperlink" Target="https://youtu.be/uiPgmxfbt54" TargetMode="External"/><Relationship Id="rId728" Type="http://schemas.openxmlformats.org/officeDocument/2006/relationships/hyperlink" Target="https://youtu.be/gYqboqIkmmY" TargetMode="External"/><Relationship Id="rId727" Type="http://schemas.openxmlformats.org/officeDocument/2006/relationships/hyperlink" Target="https://youtu.be/mIbJLQhV7ow" TargetMode="External"/><Relationship Id="rId726" Type="http://schemas.openxmlformats.org/officeDocument/2006/relationships/hyperlink" Target="https://youtu.be/iGH7R1vs5Jk" TargetMode="External"/><Relationship Id="rId725" Type="http://schemas.openxmlformats.org/officeDocument/2006/relationships/hyperlink" Target="https://youtu.be/akiwa395AIA" TargetMode="External"/><Relationship Id="rId724" Type="http://schemas.openxmlformats.org/officeDocument/2006/relationships/hyperlink" Target="https://youtu.be/uN2uatjFm5I" TargetMode="External"/><Relationship Id="rId723" Type="http://schemas.openxmlformats.org/officeDocument/2006/relationships/hyperlink" Target="https://youtu.be/-IJ0W5DSFQE" TargetMode="External"/><Relationship Id="rId722" Type="http://schemas.openxmlformats.org/officeDocument/2006/relationships/hyperlink" Target="https://youtu.be/QBDheVyH8SM" TargetMode="External"/><Relationship Id="rId721" Type="http://schemas.openxmlformats.org/officeDocument/2006/relationships/hyperlink" Target="https://youtu.be/XoMRueJ17Rc" TargetMode="External"/><Relationship Id="rId720" Type="http://schemas.openxmlformats.org/officeDocument/2006/relationships/hyperlink" Target="https://youtu.be/HoryjMs5Vus" TargetMode="External"/><Relationship Id="rId72" Type="http://schemas.openxmlformats.org/officeDocument/2006/relationships/hyperlink" Target="https://youtu.be/-C_0ZzHheJk" TargetMode="External"/><Relationship Id="rId719" Type="http://schemas.openxmlformats.org/officeDocument/2006/relationships/hyperlink" Target="https://youtu.be/C-mBf0rjXpc" TargetMode="External"/><Relationship Id="rId718" Type="http://schemas.openxmlformats.org/officeDocument/2006/relationships/hyperlink" Target="https://youtu.be/fVD4BtM9gJM" TargetMode="External"/><Relationship Id="rId717" Type="http://schemas.openxmlformats.org/officeDocument/2006/relationships/hyperlink" Target="https://youtu.be/AZA3LwX0NOw" TargetMode="External"/><Relationship Id="rId716" Type="http://schemas.openxmlformats.org/officeDocument/2006/relationships/hyperlink" Target="https://youtu.be/ODiWspJYaXQ" TargetMode="External"/><Relationship Id="rId715" Type="http://schemas.openxmlformats.org/officeDocument/2006/relationships/hyperlink" Target="https://youtu.be/pIOLs8PwvOg" TargetMode="External"/><Relationship Id="rId714" Type="http://schemas.openxmlformats.org/officeDocument/2006/relationships/hyperlink" Target="https://youtu.be/9R07-11fyhE" TargetMode="External"/><Relationship Id="rId713" Type="http://schemas.openxmlformats.org/officeDocument/2006/relationships/hyperlink" Target="https://youtu.be/LPOPNy3_5B8" TargetMode="External"/><Relationship Id="rId712" Type="http://schemas.openxmlformats.org/officeDocument/2006/relationships/hyperlink" Target="https://youtu.be/Ra4-PFQ2Hnw" TargetMode="External"/><Relationship Id="rId711" Type="http://schemas.openxmlformats.org/officeDocument/2006/relationships/hyperlink" Target="https://youtu.be/mS5RlwL90XI" TargetMode="External"/><Relationship Id="rId710" Type="http://schemas.openxmlformats.org/officeDocument/2006/relationships/hyperlink" Target="https://youtu.be/zsW9C3k_9mw" TargetMode="External"/><Relationship Id="rId71" Type="http://schemas.openxmlformats.org/officeDocument/2006/relationships/hyperlink" Target="https://youtu.be/ERa0b7nzj-M" TargetMode="External"/><Relationship Id="rId709" Type="http://schemas.openxmlformats.org/officeDocument/2006/relationships/hyperlink" Target="https://youtu.be/HjEZcCZrjq4" TargetMode="External"/><Relationship Id="rId708" Type="http://schemas.openxmlformats.org/officeDocument/2006/relationships/hyperlink" Target="https://youtu.be/po44cUiQQh8" TargetMode="External"/><Relationship Id="rId707" Type="http://schemas.openxmlformats.org/officeDocument/2006/relationships/hyperlink" Target="https://youtu.be/dzE_i6h5NeI" TargetMode="External"/><Relationship Id="rId706" Type="http://schemas.openxmlformats.org/officeDocument/2006/relationships/hyperlink" Target="https://youtu.be/GZCJP0To3eQ" TargetMode="External"/><Relationship Id="rId705" Type="http://schemas.openxmlformats.org/officeDocument/2006/relationships/hyperlink" Target="https://youtu.be/rIVEpbD97lQ" TargetMode="External"/><Relationship Id="rId704" Type="http://schemas.openxmlformats.org/officeDocument/2006/relationships/hyperlink" Target="https://youtu.be/82t9Tk9dUHs" TargetMode="External"/><Relationship Id="rId703" Type="http://schemas.openxmlformats.org/officeDocument/2006/relationships/hyperlink" Target="https://youtu.be/aLmvj6r5f7k" TargetMode="External"/><Relationship Id="rId702" Type="http://schemas.openxmlformats.org/officeDocument/2006/relationships/hyperlink" Target="https://youtu.be/05saig9k_qc" TargetMode="External"/><Relationship Id="rId701" Type="http://schemas.openxmlformats.org/officeDocument/2006/relationships/hyperlink" Target="https://youtu.be/oTWnoSuocMo" TargetMode="External"/><Relationship Id="rId700" Type="http://schemas.openxmlformats.org/officeDocument/2006/relationships/hyperlink" Target="https://youtu.be/IMh1KoC-xKA" TargetMode="External"/><Relationship Id="rId70" Type="http://schemas.openxmlformats.org/officeDocument/2006/relationships/hyperlink" Target="https://youtu.be/rKtfgtYaQ3M" TargetMode="External"/><Relationship Id="rId7" Type="http://schemas.openxmlformats.org/officeDocument/2006/relationships/hyperlink" Target="https://youtu.be/VbK8GR7vWcI" TargetMode="External"/><Relationship Id="rId699" Type="http://schemas.openxmlformats.org/officeDocument/2006/relationships/hyperlink" Target="https://youtu.be/rgBKFEeXfww" TargetMode="External"/><Relationship Id="rId698" Type="http://schemas.openxmlformats.org/officeDocument/2006/relationships/hyperlink" Target="https://youtu.be/X0gxwDTSKw0" TargetMode="External"/><Relationship Id="rId697" Type="http://schemas.openxmlformats.org/officeDocument/2006/relationships/hyperlink" Target="https://youtu.be/MIYfox8wjPk" TargetMode="External"/><Relationship Id="rId696" Type="http://schemas.openxmlformats.org/officeDocument/2006/relationships/hyperlink" Target="https://youtu.be/3xQmcByutm4" TargetMode="External"/><Relationship Id="rId695" Type="http://schemas.openxmlformats.org/officeDocument/2006/relationships/hyperlink" Target="https://youtu.be/6HK9G7feXEk" TargetMode="External"/><Relationship Id="rId694" Type="http://schemas.openxmlformats.org/officeDocument/2006/relationships/hyperlink" Target="https://youtu.be/HB2mbRySGDQ" TargetMode="External"/><Relationship Id="rId693" Type="http://schemas.openxmlformats.org/officeDocument/2006/relationships/hyperlink" Target="https://youtu.be/llhiLkx1-M8" TargetMode="External"/><Relationship Id="rId692" Type="http://schemas.openxmlformats.org/officeDocument/2006/relationships/hyperlink" Target="https://youtu.be/qV7Q4vEb8EY" TargetMode="External"/><Relationship Id="rId691" Type="http://schemas.openxmlformats.org/officeDocument/2006/relationships/hyperlink" Target="https://youtu.be/u4m9bJat7BY" TargetMode="External"/><Relationship Id="rId690" Type="http://schemas.openxmlformats.org/officeDocument/2006/relationships/hyperlink" Target="https://youtu.be/GfSYT6PM-3Y" TargetMode="External"/><Relationship Id="rId69" Type="http://schemas.openxmlformats.org/officeDocument/2006/relationships/hyperlink" Target="https://youtu.be/Bv3tUfCGkBE" TargetMode="External"/><Relationship Id="rId689" Type="http://schemas.openxmlformats.org/officeDocument/2006/relationships/hyperlink" Target="https://youtu.be/dJDfpxk0OtA" TargetMode="External"/><Relationship Id="rId688" Type="http://schemas.openxmlformats.org/officeDocument/2006/relationships/hyperlink" Target="https://youtu.be/CIxP3c1r5jY" TargetMode="External"/><Relationship Id="rId687" Type="http://schemas.openxmlformats.org/officeDocument/2006/relationships/hyperlink" Target="https://youtu.be/z74OwRy8o9I" TargetMode="External"/><Relationship Id="rId686" Type="http://schemas.openxmlformats.org/officeDocument/2006/relationships/hyperlink" Target="https://youtu.be/uirXgbTF19o" TargetMode="External"/><Relationship Id="rId685" Type="http://schemas.openxmlformats.org/officeDocument/2006/relationships/hyperlink" Target="https://youtu.be/ZnU7y3xIYMM" TargetMode="External"/><Relationship Id="rId684" Type="http://schemas.openxmlformats.org/officeDocument/2006/relationships/hyperlink" Target="https://youtu.be/lssYrWDvv6w" TargetMode="External"/><Relationship Id="rId683" Type="http://schemas.openxmlformats.org/officeDocument/2006/relationships/hyperlink" Target="https://youtu.be/OXW1_s0hD_E" TargetMode="External"/><Relationship Id="rId682" Type="http://schemas.openxmlformats.org/officeDocument/2006/relationships/hyperlink" Target="https://youtu.be/aPKAhqy1ex4" TargetMode="External"/><Relationship Id="rId681" Type="http://schemas.openxmlformats.org/officeDocument/2006/relationships/hyperlink" Target="https://youtu.be/V7YcSre8O-A" TargetMode="External"/><Relationship Id="rId680" Type="http://schemas.openxmlformats.org/officeDocument/2006/relationships/hyperlink" Target="https://youtu.be/EB7fKyIndIQ" TargetMode="External"/><Relationship Id="rId68" Type="http://schemas.openxmlformats.org/officeDocument/2006/relationships/hyperlink" Target="https://youtu.be/n0r6oQtJJ4M" TargetMode="External"/><Relationship Id="rId679" Type="http://schemas.openxmlformats.org/officeDocument/2006/relationships/hyperlink" Target="https://youtu.be/8xUOqk2f3vg" TargetMode="External"/><Relationship Id="rId678" Type="http://schemas.openxmlformats.org/officeDocument/2006/relationships/hyperlink" Target="https://youtu.be/Zgbt5oKrf5I" TargetMode="External"/><Relationship Id="rId677" Type="http://schemas.openxmlformats.org/officeDocument/2006/relationships/hyperlink" Target="https://youtu.be/VWF7JunZ5tg" TargetMode="External"/><Relationship Id="rId676" Type="http://schemas.openxmlformats.org/officeDocument/2006/relationships/hyperlink" Target="https://youtu.be/sQsT5o6Lp-M" TargetMode="External"/><Relationship Id="rId675" Type="http://schemas.openxmlformats.org/officeDocument/2006/relationships/hyperlink" Target="https://youtu.be/WO0J_Nwu0fk" TargetMode="External"/><Relationship Id="rId674" Type="http://schemas.openxmlformats.org/officeDocument/2006/relationships/hyperlink" Target="https://youtu.be/sG7qtlZNTsI" TargetMode="External"/><Relationship Id="rId673" Type="http://schemas.openxmlformats.org/officeDocument/2006/relationships/hyperlink" Target="https://youtu.be/hqbm-FRBoho" TargetMode="External"/><Relationship Id="rId672" Type="http://schemas.openxmlformats.org/officeDocument/2006/relationships/hyperlink" Target="https://youtu.be/DNlwMWYMDng" TargetMode="External"/><Relationship Id="rId671" Type="http://schemas.openxmlformats.org/officeDocument/2006/relationships/hyperlink" Target="https://youtu.be/NZagzFCWSCQ" TargetMode="External"/><Relationship Id="rId670" Type="http://schemas.openxmlformats.org/officeDocument/2006/relationships/hyperlink" Target="https://youtu.be/-0Tgdoz3pmg" TargetMode="External"/><Relationship Id="rId67" Type="http://schemas.openxmlformats.org/officeDocument/2006/relationships/hyperlink" Target="https://youtu.be/Srbp4gAUj4Y" TargetMode="External"/><Relationship Id="rId669" Type="http://schemas.openxmlformats.org/officeDocument/2006/relationships/hyperlink" Target="https://youtu.be/PEB4-bP2xho" TargetMode="External"/><Relationship Id="rId668" Type="http://schemas.openxmlformats.org/officeDocument/2006/relationships/hyperlink" Target="https://youtu.be/fna8PqoETVQ" TargetMode="External"/><Relationship Id="rId667" Type="http://schemas.openxmlformats.org/officeDocument/2006/relationships/hyperlink" Target="https://youtu.be/rrf8zhxd2rY" TargetMode="External"/><Relationship Id="rId666" Type="http://schemas.openxmlformats.org/officeDocument/2006/relationships/hyperlink" Target="https://youtu.be/2NqEVwcGawA" TargetMode="External"/><Relationship Id="rId665" Type="http://schemas.openxmlformats.org/officeDocument/2006/relationships/hyperlink" Target="https://youtu.be/Sc8SDd_5Qfg" TargetMode="External"/><Relationship Id="rId664" Type="http://schemas.openxmlformats.org/officeDocument/2006/relationships/hyperlink" Target="https://youtu.be/ZvlbcA9XhPU" TargetMode="External"/><Relationship Id="rId663" Type="http://schemas.openxmlformats.org/officeDocument/2006/relationships/hyperlink" Target="https://youtu.be/02QbU89KzWc" TargetMode="External"/><Relationship Id="rId662" Type="http://schemas.openxmlformats.org/officeDocument/2006/relationships/hyperlink" Target="https://youtu.be/HIItDmg5Ww4" TargetMode="External"/><Relationship Id="rId661" Type="http://schemas.openxmlformats.org/officeDocument/2006/relationships/hyperlink" Target="https://youtu.be/ZvjK-U1R4mc" TargetMode="External"/><Relationship Id="rId660" Type="http://schemas.openxmlformats.org/officeDocument/2006/relationships/hyperlink" Target="https://youtu.be/_sbRqQ4YDec" TargetMode="External"/><Relationship Id="rId66" Type="http://schemas.openxmlformats.org/officeDocument/2006/relationships/hyperlink" Target="https://youtu.be/e1wKVLKeel0" TargetMode="External"/><Relationship Id="rId659" Type="http://schemas.openxmlformats.org/officeDocument/2006/relationships/hyperlink" Target="https://youtu.be/QkQ4z4QjisA" TargetMode="External"/><Relationship Id="rId658" Type="http://schemas.openxmlformats.org/officeDocument/2006/relationships/hyperlink" Target="https://youtu.be/2cFi-n14-dw" TargetMode="External"/><Relationship Id="rId657" Type="http://schemas.openxmlformats.org/officeDocument/2006/relationships/hyperlink" Target="https://youtu.be/UKnDXqYZQyc" TargetMode="External"/><Relationship Id="rId656" Type="http://schemas.openxmlformats.org/officeDocument/2006/relationships/hyperlink" Target="https://youtu.be/GMLi8XfWAg0" TargetMode="External"/><Relationship Id="rId655" Type="http://schemas.openxmlformats.org/officeDocument/2006/relationships/hyperlink" Target="https://youtu.be/0-wpj-XdTF8" TargetMode="External"/><Relationship Id="rId654" Type="http://schemas.openxmlformats.org/officeDocument/2006/relationships/hyperlink" Target="https://youtu.be/aDSJBG8aDUc" TargetMode="External"/><Relationship Id="rId653" Type="http://schemas.openxmlformats.org/officeDocument/2006/relationships/hyperlink" Target="https://youtu.be/0l5y8osoaLk" TargetMode="External"/><Relationship Id="rId652" Type="http://schemas.openxmlformats.org/officeDocument/2006/relationships/hyperlink" Target="https://youtu.be/sPZ2bjW53c8" TargetMode="External"/><Relationship Id="rId651" Type="http://schemas.openxmlformats.org/officeDocument/2006/relationships/hyperlink" Target="https://youtu.be/qp7IhNV8xfc" TargetMode="External"/><Relationship Id="rId650" Type="http://schemas.openxmlformats.org/officeDocument/2006/relationships/hyperlink" Target="https://youtu.be/SXFpLREdKbs" TargetMode="External"/><Relationship Id="rId65" Type="http://schemas.openxmlformats.org/officeDocument/2006/relationships/hyperlink" Target="https://youtu.be/RvJnTnJxwZk" TargetMode="External"/><Relationship Id="rId649" Type="http://schemas.openxmlformats.org/officeDocument/2006/relationships/hyperlink" Target="https://youtu.be/KdPnCWyetyo" TargetMode="External"/><Relationship Id="rId648" Type="http://schemas.openxmlformats.org/officeDocument/2006/relationships/hyperlink" Target="https://youtu.be/9vYnJ2de-EM" TargetMode="External"/><Relationship Id="rId647" Type="http://schemas.openxmlformats.org/officeDocument/2006/relationships/hyperlink" Target="https://youtu.be/dCF--YOjiOw" TargetMode="External"/><Relationship Id="rId646" Type="http://schemas.openxmlformats.org/officeDocument/2006/relationships/hyperlink" Target="https://youtu.be/iUd3q4jf-ZE" TargetMode="External"/><Relationship Id="rId645" Type="http://schemas.openxmlformats.org/officeDocument/2006/relationships/hyperlink" Target="https://youtu.be/QVoBLElTO-g" TargetMode="External"/><Relationship Id="rId644" Type="http://schemas.openxmlformats.org/officeDocument/2006/relationships/hyperlink" Target="https://youtu.be/tPBXT1zUafo" TargetMode="External"/><Relationship Id="rId643" Type="http://schemas.openxmlformats.org/officeDocument/2006/relationships/hyperlink" Target="https://youtu.be/QfQi4AqJIMk" TargetMode="External"/><Relationship Id="rId642" Type="http://schemas.openxmlformats.org/officeDocument/2006/relationships/hyperlink" Target="https://youtu.be/ikAoDONksZc" TargetMode="External"/><Relationship Id="rId641" Type="http://schemas.openxmlformats.org/officeDocument/2006/relationships/hyperlink" Target="https://youtu.be/hKrSGGINxT4" TargetMode="External"/><Relationship Id="rId640" Type="http://schemas.openxmlformats.org/officeDocument/2006/relationships/hyperlink" Target="https://youtu.be/9Yl1ryoDwWA" TargetMode="External"/><Relationship Id="rId64" Type="http://schemas.openxmlformats.org/officeDocument/2006/relationships/hyperlink" Target="https://youtu.be/bgFSLWU4gs0" TargetMode="External"/><Relationship Id="rId639" Type="http://schemas.openxmlformats.org/officeDocument/2006/relationships/hyperlink" Target="https://youtu.be/FGneUrG2LKs" TargetMode="External"/><Relationship Id="rId638" Type="http://schemas.openxmlformats.org/officeDocument/2006/relationships/hyperlink" Target="https://youtu.be/OWxBjIXDQCc" TargetMode="External"/><Relationship Id="rId637" Type="http://schemas.openxmlformats.org/officeDocument/2006/relationships/hyperlink" Target="https://youtu.be/OpxGp2P48kI" TargetMode="External"/><Relationship Id="rId636" Type="http://schemas.openxmlformats.org/officeDocument/2006/relationships/hyperlink" Target="https://youtu.be/OM1WXFZq3kk" TargetMode="External"/><Relationship Id="rId635" Type="http://schemas.openxmlformats.org/officeDocument/2006/relationships/hyperlink" Target="https://youtu.be/UCNNTwlu9kE" TargetMode="External"/><Relationship Id="rId634" Type="http://schemas.openxmlformats.org/officeDocument/2006/relationships/hyperlink" Target="https://youtu.be/7AQ4iDpvtuY" TargetMode="External"/><Relationship Id="rId633" Type="http://schemas.openxmlformats.org/officeDocument/2006/relationships/hyperlink" Target="https://youtu.be/xEd2BENQ-kE" TargetMode="External"/><Relationship Id="rId632" Type="http://schemas.openxmlformats.org/officeDocument/2006/relationships/hyperlink" Target="https://youtu.be/V4qe0bsXFoQ" TargetMode="External"/><Relationship Id="rId631" Type="http://schemas.openxmlformats.org/officeDocument/2006/relationships/hyperlink" Target="https://youtu.be/EWKSx88LYdQ" TargetMode="External"/><Relationship Id="rId630" Type="http://schemas.openxmlformats.org/officeDocument/2006/relationships/hyperlink" Target="https://youtu.be/XuDUFKaVum0" TargetMode="External"/><Relationship Id="rId63" Type="http://schemas.openxmlformats.org/officeDocument/2006/relationships/hyperlink" Target="https://youtu.be/3V4CGKLqZkQ" TargetMode="External"/><Relationship Id="rId629" Type="http://schemas.openxmlformats.org/officeDocument/2006/relationships/hyperlink" Target="https://youtu.be/ogVe90hg2NA" TargetMode="External"/><Relationship Id="rId628" Type="http://schemas.openxmlformats.org/officeDocument/2006/relationships/hyperlink" Target="https://youtu.be/n66Q0rlUbxs" TargetMode="External"/><Relationship Id="rId627" Type="http://schemas.openxmlformats.org/officeDocument/2006/relationships/hyperlink" Target="https://youtu.be/kzUXMrhAY28" TargetMode="External"/><Relationship Id="rId626" Type="http://schemas.openxmlformats.org/officeDocument/2006/relationships/hyperlink" Target="https://youtu.be/eE79qxNhkKY" TargetMode="External"/><Relationship Id="rId625" Type="http://schemas.openxmlformats.org/officeDocument/2006/relationships/hyperlink" Target="https://youtu.be/fG_SrFDcyXU" TargetMode="External"/><Relationship Id="rId624" Type="http://schemas.openxmlformats.org/officeDocument/2006/relationships/hyperlink" Target="https://youtu.be/shZgzWWJkj8" TargetMode="External"/><Relationship Id="rId623" Type="http://schemas.openxmlformats.org/officeDocument/2006/relationships/hyperlink" Target="https://youtu.be/Yn1h_D4NpZ4" TargetMode="External"/><Relationship Id="rId622" Type="http://schemas.openxmlformats.org/officeDocument/2006/relationships/hyperlink" Target="https://youtu.be/aKMqYhlnnyQ" TargetMode="External"/><Relationship Id="rId621" Type="http://schemas.openxmlformats.org/officeDocument/2006/relationships/hyperlink" Target="https://youtu.be/K04oMDygu9Y" TargetMode="External"/><Relationship Id="rId620" Type="http://schemas.openxmlformats.org/officeDocument/2006/relationships/hyperlink" Target="https://youtu.be/9TeGPKAhJNc" TargetMode="External"/><Relationship Id="rId62" Type="http://schemas.openxmlformats.org/officeDocument/2006/relationships/hyperlink" Target="https://youtu.be/plhnzQ8NAso" TargetMode="External"/><Relationship Id="rId619" Type="http://schemas.openxmlformats.org/officeDocument/2006/relationships/hyperlink" Target="https://youtu.be/Do-Q3dUjLoo" TargetMode="External"/><Relationship Id="rId618" Type="http://schemas.openxmlformats.org/officeDocument/2006/relationships/hyperlink" Target="https://youtu.be/lg3JIG8jk5M" TargetMode="External"/><Relationship Id="rId617" Type="http://schemas.openxmlformats.org/officeDocument/2006/relationships/hyperlink" Target="https://youtu.be/MTZKlEr8fVw" TargetMode="External"/><Relationship Id="rId616" Type="http://schemas.openxmlformats.org/officeDocument/2006/relationships/hyperlink" Target="https://youtu.be/8xiScHgbsd8" TargetMode="External"/><Relationship Id="rId615" Type="http://schemas.openxmlformats.org/officeDocument/2006/relationships/hyperlink" Target="https://youtu.be/Rg0wfmvtax4" TargetMode="External"/><Relationship Id="rId614" Type="http://schemas.openxmlformats.org/officeDocument/2006/relationships/hyperlink" Target="https://youtu.be/J8dL7_obPwc" TargetMode="External"/><Relationship Id="rId613" Type="http://schemas.openxmlformats.org/officeDocument/2006/relationships/hyperlink" Target="https://youtu.be/ksQSSuhovh8" TargetMode="External"/><Relationship Id="rId612" Type="http://schemas.openxmlformats.org/officeDocument/2006/relationships/hyperlink" Target="https://youtu.be/9WFP8rDXVp0" TargetMode="External"/><Relationship Id="rId611" Type="http://schemas.openxmlformats.org/officeDocument/2006/relationships/hyperlink" Target="https://youtu.be/LVqjvvLO5XY" TargetMode="External"/><Relationship Id="rId610" Type="http://schemas.openxmlformats.org/officeDocument/2006/relationships/hyperlink" Target="https://youtu.be/AGR3FiEkBwA" TargetMode="External"/><Relationship Id="rId61" Type="http://schemas.openxmlformats.org/officeDocument/2006/relationships/hyperlink" Target="https://youtu.be/oFNlkNwM3A0" TargetMode="External"/><Relationship Id="rId609" Type="http://schemas.openxmlformats.org/officeDocument/2006/relationships/hyperlink" Target="https://youtu.be/X-9eIyWyGYU" TargetMode="External"/><Relationship Id="rId608" Type="http://schemas.openxmlformats.org/officeDocument/2006/relationships/hyperlink" Target="https://youtu.be/2SLlLAMIMLk" TargetMode="External"/><Relationship Id="rId607" Type="http://schemas.openxmlformats.org/officeDocument/2006/relationships/hyperlink" Target="https://youtu.be/34bFgA3H3hQ" TargetMode="External"/><Relationship Id="rId606" Type="http://schemas.openxmlformats.org/officeDocument/2006/relationships/hyperlink" Target="https://youtu.be/wL13Ti3aV_E" TargetMode="External"/><Relationship Id="rId605" Type="http://schemas.openxmlformats.org/officeDocument/2006/relationships/hyperlink" Target="https://youtu.be/NMc-5QGBPp8" TargetMode="External"/><Relationship Id="rId604" Type="http://schemas.openxmlformats.org/officeDocument/2006/relationships/hyperlink" Target="https://youtu.be/zqVE_3Z6IiQ" TargetMode="External"/><Relationship Id="rId603" Type="http://schemas.openxmlformats.org/officeDocument/2006/relationships/hyperlink" Target="https://youtu.be/pGpWuKaZKac" TargetMode="External"/><Relationship Id="rId602" Type="http://schemas.openxmlformats.org/officeDocument/2006/relationships/hyperlink" Target="https://youtu.be/ul3f5xP0_bI" TargetMode="External"/><Relationship Id="rId601" Type="http://schemas.openxmlformats.org/officeDocument/2006/relationships/hyperlink" Target="https://youtu.be/ymxzfJmUO0w" TargetMode="External"/><Relationship Id="rId600" Type="http://schemas.openxmlformats.org/officeDocument/2006/relationships/hyperlink" Target="https://youtu.be/TGQx5todiHM" TargetMode="External"/><Relationship Id="rId60" Type="http://schemas.openxmlformats.org/officeDocument/2006/relationships/hyperlink" Target="https://youtu.be/HIjS3gahze4" TargetMode="External"/><Relationship Id="rId6" Type="http://schemas.openxmlformats.org/officeDocument/2006/relationships/hyperlink" Target="https://youtu.be/lg_Fz1nPI-s" TargetMode="External"/><Relationship Id="rId599" Type="http://schemas.openxmlformats.org/officeDocument/2006/relationships/hyperlink" Target="https://youtu.be/l9G1vfIpM5Y" TargetMode="External"/><Relationship Id="rId598" Type="http://schemas.openxmlformats.org/officeDocument/2006/relationships/hyperlink" Target="https://youtu.be/ofNkfSdpOzM" TargetMode="External"/><Relationship Id="rId597" Type="http://schemas.openxmlformats.org/officeDocument/2006/relationships/hyperlink" Target="https://youtu.be/1uCs2MKyYek" TargetMode="External"/><Relationship Id="rId596" Type="http://schemas.openxmlformats.org/officeDocument/2006/relationships/hyperlink" Target="https://youtu.be/LlFCvOzdpoI" TargetMode="External"/><Relationship Id="rId595" Type="http://schemas.openxmlformats.org/officeDocument/2006/relationships/hyperlink" Target="https://youtu.be/uwWLPW7ZG0Y" TargetMode="External"/><Relationship Id="rId594" Type="http://schemas.openxmlformats.org/officeDocument/2006/relationships/hyperlink" Target="https://youtu.be/Tmn9SiZZUmA" TargetMode="External"/><Relationship Id="rId593" Type="http://schemas.openxmlformats.org/officeDocument/2006/relationships/hyperlink" Target="https://youtu.be/r38UygZMc0o" TargetMode="External"/><Relationship Id="rId592" Type="http://schemas.openxmlformats.org/officeDocument/2006/relationships/hyperlink" Target="https://youtu.be/_SYlObhyDqI" TargetMode="External"/><Relationship Id="rId591" Type="http://schemas.openxmlformats.org/officeDocument/2006/relationships/hyperlink" Target="https://youtu.be/HxiQwo5IFTA" TargetMode="External"/><Relationship Id="rId590" Type="http://schemas.openxmlformats.org/officeDocument/2006/relationships/hyperlink" Target="https://youtu.be/Csq8aAg5Y78" TargetMode="External"/><Relationship Id="rId59" Type="http://schemas.openxmlformats.org/officeDocument/2006/relationships/hyperlink" Target="https://youtu.be/fcc7C0FPNwc" TargetMode="External"/><Relationship Id="rId589" Type="http://schemas.openxmlformats.org/officeDocument/2006/relationships/hyperlink" Target="https://youtu.be/-DyKl307xKY" TargetMode="External"/><Relationship Id="rId588" Type="http://schemas.openxmlformats.org/officeDocument/2006/relationships/hyperlink" Target="https://youtu.be/AyfMCNfcWSc" TargetMode="External"/><Relationship Id="rId587" Type="http://schemas.openxmlformats.org/officeDocument/2006/relationships/hyperlink" Target="https://youtu.be/erGhIf55IVE" TargetMode="External"/><Relationship Id="rId586" Type="http://schemas.openxmlformats.org/officeDocument/2006/relationships/hyperlink" Target="https://youtu.be/fNHRGK3pILU" TargetMode="External"/><Relationship Id="rId585" Type="http://schemas.openxmlformats.org/officeDocument/2006/relationships/hyperlink" Target="https://youtu.be/v1Bej_a2tgM" TargetMode="External"/><Relationship Id="rId584" Type="http://schemas.openxmlformats.org/officeDocument/2006/relationships/hyperlink" Target="https://youtu.be/ezhKIPfEZII" TargetMode="External"/><Relationship Id="rId583" Type="http://schemas.openxmlformats.org/officeDocument/2006/relationships/hyperlink" Target="https://youtu.be/sGuTEaR4h_g" TargetMode="External"/><Relationship Id="rId582" Type="http://schemas.openxmlformats.org/officeDocument/2006/relationships/hyperlink" Target="https://youtu.be/WsTOhOYqq4w" TargetMode="External"/><Relationship Id="rId581" Type="http://schemas.openxmlformats.org/officeDocument/2006/relationships/hyperlink" Target="https://youtu.be/l8lGfUV3_ZQ" TargetMode="External"/><Relationship Id="rId580" Type="http://schemas.openxmlformats.org/officeDocument/2006/relationships/hyperlink" Target="https://youtu.be/IJ2HKIoYln0" TargetMode="External"/><Relationship Id="rId58" Type="http://schemas.openxmlformats.org/officeDocument/2006/relationships/hyperlink" Target="https://youtu.be/kZ20H8sHo9w" TargetMode="External"/><Relationship Id="rId579" Type="http://schemas.openxmlformats.org/officeDocument/2006/relationships/hyperlink" Target="https://youtu.be/uyitOTGCCYo" TargetMode="External"/><Relationship Id="rId578" Type="http://schemas.openxmlformats.org/officeDocument/2006/relationships/hyperlink" Target="https://youtu.be/YlEZ8Idogps" TargetMode="External"/><Relationship Id="rId577" Type="http://schemas.openxmlformats.org/officeDocument/2006/relationships/hyperlink" Target="https://youtu.be/qPiT-Q4kaBE" TargetMode="External"/><Relationship Id="rId576" Type="http://schemas.openxmlformats.org/officeDocument/2006/relationships/hyperlink" Target="https://youtu.be/6x34twf7mOs" TargetMode="External"/><Relationship Id="rId575" Type="http://schemas.openxmlformats.org/officeDocument/2006/relationships/hyperlink" Target="https://youtu.be/z_3BOpVOPTY" TargetMode="External"/><Relationship Id="rId574" Type="http://schemas.openxmlformats.org/officeDocument/2006/relationships/hyperlink" Target="https://youtu.be/sdqkw2zL_0w" TargetMode="External"/><Relationship Id="rId573" Type="http://schemas.openxmlformats.org/officeDocument/2006/relationships/hyperlink" Target="https://youtu.be/NjMuWXZgtQs" TargetMode="External"/><Relationship Id="rId572" Type="http://schemas.openxmlformats.org/officeDocument/2006/relationships/hyperlink" Target="https://youtu.be/sXudYIkkyE0" TargetMode="External"/><Relationship Id="rId571" Type="http://schemas.openxmlformats.org/officeDocument/2006/relationships/hyperlink" Target="https://youtu.be/AzEVBAJlaKE" TargetMode="External"/><Relationship Id="rId570" Type="http://schemas.openxmlformats.org/officeDocument/2006/relationships/hyperlink" Target="https://youtu.be/ddXdeNTYq_U" TargetMode="External"/><Relationship Id="rId57" Type="http://schemas.openxmlformats.org/officeDocument/2006/relationships/hyperlink" Target="https://youtu.be/Kgu3KETBGHw" TargetMode="External"/><Relationship Id="rId569" Type="http://schemas.openxmlformats.org/officeDocument/2006/relationships/hyperlink" Target="https://youtu.be/N7v4hnzA9e0" TargetMode="External"/><Relationship Id="rId568" Type="http://schemas.openxmlformats.org/officeDocument/2006/relationships/hyperlink" Target="https://youtu.be/uE4k4P1nKuk" TargetMode="External"/><Relationship Id="rId567" Type="http://schemas.openxmlformats.org/officeDocument/2006/relationships/hyperlink" Target="https://youtu.be/IgvjLRNIrhk" TargetMode="External"/><Relationship Id="rId566" Type="http://schemas.openxmlformats.org/officeDocument/2006/relationships/hyperlink" Target="https://youtu.be/_v97DjFoq8s" TargetMode="External"/><Relationship Id="rId565" Type="http://schemas.openxmlformats.org/officeDocument/2006/relationships/hyperlink" Target="https://youtu.be/F9YUaAomNrI" TargetMode="External"/><Relationship Id="rId564" Type="http://schemas.openxmlformats.org/officeDocument/2006/relationships/hyperlink" Target="https://youtu.be/RKcxNsaLxEM" TargetMode="External"/><Relationship Id="rId563" Type="http://schemas.openxmlformats.org/officeDocument/2006/relationships/hyperlink" Target="https://youtu.be/TLxoWSBpBxE" TargetMode="External"/><Relationship Id="rId562" Type="http://schemas.openxmlformats.org/officeDocument/2006/relationships/hyperlink" Target="https://youtu.be/--Oy44w1cmY" TargetMode="External"/><Relationship Id="rId561" Type="http://schemas.openxmlformats.org/officeDocument/2006/relationships/hyperlink" Target="https://youtu.be/xJjEQYohgG4" TargetMode="External"/><Relationship Id="rId560" Type="http://schemas.openxmlformats.org/officeDocument/2006/relationships/hyperlink" Target="https://youtu.be/x0dPDLtTVjY" TargetMode="External"/><Relationship Id="rId56" Type="http://schemas.openxmlformats.org/officeDocument/2006/relationships/hyperlink" Target="https://youtu.be/ty-ZMomNhis" TargetMode="External"/><Relationship Id="rId559" Type="http://schemas.openxmlformats.org/officeDocument/2006/relationships/hyperlink" Target="https://youtu.be/wuQK_2xUzsc" TargetMode="External"/><Relationship Id="rId558" Type="http://schemas.openxmlformats.org/officeDocument/2006/relationships/hyperlink" Target="https://youtu.be/w7pkPkjRi3k" TargetMode="External"/><Relationship Id="rId557" Type="http://schemas.openxmlformats.org/officeDocument/2006/relationships/hyperlink" Target="https://youtu.be/ugwNv0E3hwM" TargetMode="External"/><Relationship Id="rId556" Type="http://schemas.openxmlformats.org/officeDocument/2006/relationships/hyperlink" Target="https://youtu.be/iyncWZVONm0" TargetMode="External"/><Relationship Id="rId555" Type="http://schemas.openxmlformats.org/officeDocument/2006/relationships/hyperlink" Target="https://youtu.be/VwrWafrxsSE" TargetMode="External"/><Relationship Id="rId554" Type="http://schemas.openxmlformats.org/officeDocument/2006/relationships/hyperlink" Target="https://youtu.be/VMxB55C2qeU" TargetMode="External"/><Relationship Id="rId553" Type="http://schemas.openxmlformats.org/officeDocument/2006/relationships/hyperlink" Target="https://youtu.be/OBBBT4V0Acw" TargetMode="External"/><Relationship Id="rId552" Type="http://schemas.openxmlformats.org/officeDocument/2006/relationships/hyperlink" Target="https://youtu.be/LSgUf3SGXdg" TargetMode="External"/><Relationship Id="rId551" Type="http://schemas.openxmlformats.org/officeDocument/2006/relationships/hyperlink" Target="https://youtu.be/DpoIYI2cU7c" TargetMode="External"/><Relationship Id="rId550" Type="http://schemas.openxmlformats.org/officeDocument/2006/relationships/hyperlink" Target="https://youtu.be/Cz4ib70kpZE" TargetMode="External"/><Relationship Id="rId55" Type="http://schemas.openxmlformats.org/officeDocument/2006/relationships/hyperlink" Target="https://youtu.be/-ZsXNCNp-GE" TargetMode="External"/><Relationship Id="rId549" Type="http://schemas.openxmlformats.org/officeDocument/2006/relationships/hyperlink" Target="https://youtu.be/A87YPC3SBko" TargetMode="External"/><Relationship Id="rId548" Type="http://schemas.openxmlformats.org/officeDocument/2006/relationships/hyperlink" Target="https://youtu.be/8tK8sAU-Cyk" TargetMode="External"/><Relationship Id="rId547" Type="http://schemas.openxmlformats.org/officeDocument/2006/relationships/hyperlink" Target="https://youtu.be/6IDeu5pjWuY" TargetMode="External"/><Relationship Id="rId546" Type="http://schemas.openxmlformats.org/officeDocument/2006/relationships/hyperlink" Target="https://youtu.be/619bUFGsD5A" TargetMode="External"/><Relationship Id="rId545" Type="http://schemas.openxmlformats.org/officeDocument/2006/relationships/hyperlink" Target="https://youtu.be/10Pb6xQ_IYY" TargetMode="External"/><Relationship Id="rId544" Type="http://schemas.openxmlformats.org/officeDocument/2006/relationships/hyperlink" Target="https://youtu.be/w53JFVZtwhA" TargetMode="External"/><Relationship Id="rId543" Type="http://schemas.openxmlformats.org/officeDocument/2006/relationships/hyperlink" Target="https://youtu.be/vwc74Y3e774" TargetMode="External"/><Relationship Id="rId542" Type="http://schemas.openxmlformats.org/officeDocument/2006/relationships/hyperlink" Target="https://youtu.be/lbGpk8yG6CA" TargetMode="External"/><Relationship Id="rId541" Type="http://schemas.openxmlformats.org/officeDocument/2006/relationships/hyperlink" Target="https://youtu.be/CHzoZ98a2iY" TargetMode="External"/><Relationship Id="rId540" Type="http://schemas.openxmlformats.org/officeDocument/2006/relationships/hyperlink" Target="https://youtu.be/45hEdNMUHpc" TargetMode="External"/><Relationship Id="rId54" Type="http://schemas.openxmlformats.org/officeDocument/2006/relationships/hyperlink" Target="https://youtu.be/KDBHBTi4wJQ" TargetMode="External"/><Relationship Id="rId539" Type="http://schemas.openxmlformats.org/officeDocument/2006/relationships/hyperlink" Target="https://youtu.be/BISAsi3uyhM" TargetMode="External"/><Relationship Id="rId538" Type="http://schemas.openxmlformats.org/officeDocument/2006/relationships/hyperlink" Target="https://youtu.be/MVY09DfbcyI" TargetMode="External"/><Relationship Id="rId537" Type="http://schemas.openxmlformats.org/officeDocument/2006/relationships/hyperlink" Target="https://youtu.be/3BoO0obihPs" TargetMode="External"/><Relationship Id="rId536" Type="http://schemas.openxmlformats.org/officeDocument/2006/relationships/hyperlink" Target="https://youtu.be/Tu5BgjZRYKA" TargetMode="External"/><Relationship Id="rId535" Type="http://schemas.openxmlformats.org/officeDocument/2006/relationships/hyperlink" Target="https://youtu.be/1VV6CwxJYtM" TargetMode="External"/><Relationship Id="rId534" Type="http://schemas.openxmlformats.org/officeDocument/2006/relationships/hyperlink" Target="https://youtu.be/29SIX6YFYGY" TargetMode="External"/><Relationship Id="rId533" Type="http://schemas.openxmlformats.org/officeDocument/2006/relationships/hyperlink" Target="https://youtu.be/a6Chhb75k_s" TargetMode="External"/><Relationship Id="rId532" Type="http://schemas.openxmlformats.org/officeDocument/2006/relationships/hyperlink" Target="https://youtu.be/1vDvKRtZmVw" TargetMode="External"/><Relationship Id="rId531" Type="http://schemas.openxmlformats.org/officeDocument/2006/relationships/hyperlink" Target="https://youtu.be/iwZ0Agu-3kE" TargetMode="External"/><Relationship Id="rId530" Type="http://schemas.openxmlformats.org/officeDocument/2006/relationships/hyperlink" Target="https://youtu.be/8kLw0mKU6Zk" TargetMode="External"/><Relationship Id="rId53" Type="http://schemas.openxmlformats.org/officeDocument/2006/relationships/hyperlink" Target="https://youtu.be/58LtbqqUGWc" TargetMode="External"/><Relationship Id="rId529" Type="http://schemas.openxmlformats.org/officeDocument/2006/relationships/hyperlink" Target="https://youtu.be/FG409y1WN4M" TargetMode="External"/><Relationship Id="rId528" Type="http://schemas.openxmlformats.org/officeDocument/2006/relationships/hyperlink" Target="https://youtu.be/PD2d4jBSv1M" TargetMode="External"/><Relationship Id="rId527" Type="http://schemas.openxmlformats.org/officeDocument/2006/relationships/hyperlink" Target="https://youtu.be/1iMUwXP5nGA" TargetMode="External"/><Relationship Id="rId526" Type="http://schemas.openxmlformats.org/officeDocument/2006/relationships/hyperlink" Target="https://youtu.be/TxJ69IYshJY" TargetMode="External"/><Relationship Id="rId525" Type="http://schemas.openxmlformats.org/officeDocument/2006/relationships/hyperlink" Target="https://youtu.be/zvptkWTeSas" TargetMode="External"/><Relationship Id="rId524" Type="http://schemas.openxmlformats.org/officeDocument/2006/relationships/hyperlink" Target="https://youtu.be/4LFM3VFSpsQ" TargetMode="External"/><Relationship Id="rId523" Type="http://schemas.openxmlformats.org/officeDocument/2006/relationships/hyperlink" Target="https://youtu.be/cXNoVoKgtG0" TargetMode="External"/><Relationship Id="rId522" Type="http://schemas.openxmlformats.org/officeDocument/2006/relationships/hyperlink" Target="https://youtu.be/0B9F0stb3s0" TargetMode="External"/><Relationship Id="rId521" Type="http://schemas.openxmlformats.org/officeDocument/2006/relationships/hyperlink" Target="https://youtu.be/eP3iLOuo3Is" TargetMode="External"/><Relationship Id="rId520" Type="http://schemas.openxmlformats.org/officeDocument/2006/relationships/hyperlink" Target="https://youtu.be/1AG9f0dmg2w" TargetMode="External"/><Relationship Id="rId52" Type="http://schemas.openxmlformats.org/officeDocument/2006/relationships/hyperlink" Target="https://youtu.be/ebtTgwxAnZk" TargetMode="External"/><Relationship Id="rId519" Type="http://schemas.openxmlformats.org/officeDocument/2006/relationships/hyperlink" Target="https://youtu.be/Vy28SQuw0Pw" TargetMode="External"/><Relationship Id="rId518" Type="http://schemas.openxmlformats.org/officeDocument/2006/relationships/hyperlink" Target="https://youtu.be/b0ggTjHwZJ4" TargetMode="External"/><Relationship Id="rId517" Type="http://schemas.openxmlformats.org/officeDocument/2006/relationships/hyperlink" Target="https://youtu.be/5czckmjorR0" TargetMode="External"/><Relationship Id="rId516" Type="http://schemas.openxmlformats.org/officeDocument/2006/relationships/hyperlink" Target="https://youtu.be/pr0Mm-vbdxw" TargetMode="External"/><Relationship Id="rId515" Type="http://schemas.openxmlformats.org/officeDocument/2006/relationships/hyperlink" Target="https://youtu.be/an6hE3g2LZM" TargetMode="External"/><Relationship Id="rId514" Type="http://schemas.openxmlformats.org/officeDocument/2006/relationships/hyperlink" Target="https://youtu.be/_Qgjalf62-Y" TargetMode="External"/><Relationship Id="rId513" Type="http://schemas.openxmlformats.org/officeDocument/2006/relationships/hyperlink" Target="https://youtu.be/vrLivzPNNNA" TargetMode="External"/><Relationship Id="rId512" Type="http://schemas.openxmlformats.org/officeDocument/2006/relationships/hyperlink" Target="https://youtu.be/XqyA0trJUqI" TargetMode="External"/><Relationship Id="rId511" Type="http://schemas.openxmlformats.org/officeDocument/2006/relationships/hyperlink" Target="https://youtu.be/exNcWaUFIYY" TargetMode="External"/><Relationship Id="rId510" Type="http://schemas.openxmlformats.org/officeDocument/2006/relationships/hyperlink" Target="https://youtu.be/mGd9bz52OqQ" TargetMode="External"/><Relationship Id="rId51" Type="http://schemas.openxmlformats.org/officeDocument/2006/relationships/hyperlink" Target="https://youtu.be/tmyDcWE4DQg" TargetMode="External"/><Relationship Id="rId509" Type="http://schemas.openxmlformats.org/officeDocument/2006/relationships/hyperlink" Target="https://youtu.be/kLY8q5Rnh0M" TargetMode="External"/><Relationship Id="rId508" Type="http://schemas.openxmlformats.org/officeDocument/2006/relationships/hyperlink" Target="https://youtu.be/cKaZdxqygRM" TargetMode="External"/><Relationship Id="rId507" Type="http://schemas.openxmlformats.org/officeDocument/2006/relationships/hyperlink" Target="https://youtu.be/sEIK49joICE" TargetMode="External"/><Relationship Id="rId506" Type="http://schemas.openxmlformats.org/officeDocument/2006/relationships/hyperlink" Target="https://youtu.be/h5T37kIEXa8" TargetMode="External"/><Relationship Id="rId505" Type="http://schemas.openxmlformats.org/officeDocument/2006/relationships/hyperlink" Target="https://youtu.be/KfljMbcN_AI" TargetMode="External"/><Relationship Id="rId504" Type="http://schemas.openxmlformats.org/officeDocument/2006/relationships/hyperlink" Target="https://youtu.be/r7Dr3loRIH8" TargetMode="External"/><Relationship Id="rId503" Type="http://schemas.openxmlformats.org/officeDocument/2006/relationships/hyperlink" Target="https://youtu.be/BwxctJQwn9I" TargetMode="External"/><Relationship Id="rId502" Type="http://schemas.openxmlformats.org/officeDocument/2006/relationships/hyperlink" Target="https://youtu.be/j1pNekMc3Co" TargetMode="External"/><Relationship Id="rId501" Type="http://schemas.openxmlformats.org/officeDocument/2006/relationships/hyperlink" Target="https://youtu.be/5CzuwztCw-E" TargetMode="External"/><Relationship Id="rId500" Type="http://schemas.openxmlformats.org/officeDocument/2006/relationships/hyperlink" Target="https://youtu.be/rBnjgOtiiME" TargetMode="External"/><Relationship Id="rId50" Type="http://schemas.openxmlformats.org/officeDocument/2006/relationships/hyperlink" Target="https://youtu.be/NjwWBJsDOMs" TargetMode="External"/><Relationship Id="rId5" Type="http://schemas.openxmlformats.org/officeDocument/2006/relationships/hyperlink" Target="https://youtu.be/F96y_A3DUZY" TargetMode="External"/><Relationship Id="rId499" Type="http://schemas.openxmlformats.org/officeDocument/2006/relationships/hyperlink" Target="https://youtu.be/6ILU7-945L8" TargetMode="External"/><Relationship Id="rId498" Type="http://schemas.openxmlformats.org/officeDocument/2006/relationships/hyperlink" Target="https://youtu.be/9ylhxZc0So0" TargetMode="External"/><Relationship Id="rId497" Type="http://schemas.openxmlformats.org/officeDocument/2006/relationships/hyperlink" Target="https://youtu.be/GqRITyuIojY" TargetMode="External"/><Relationship Id="rId496" Type="http://schemas.openxmlformats.org/officeDocument/2006/relationships/hyperlink" Target="https://youtu.be/bSqrmRE5g3Y" TargetMode="External"/><Relationship Id="rId495" Type="http://schemas.openxmlformats.org/officeDocument/2006/relationships/hyperlink" Target="https://youtu.be/J8xmbMZEXBk" TargetMode="External"/><Relationship Id="rId494" Type="http://schemas.openxmlformats.org/officeDocument/2006/relationships/hyperlink" Target="https://youtu.be/xv3uSmMBPPw" TargetMode="External"/><Relationship Id="rId493" Type="http://schemas.openxmlformats.org/officeDocument/2006/relationships/hyperlink" Target="https://youtu.be/H-UVSIIgxRw" TargetMode="External"/><Relationship Id="rId492" Type="http://schemas.openxmlformats.org/officeDocument/2006/relationships/hyperlink" Target="https://youtu.be/XI9bgWEwv8c" TargetMode="External"/><Relationship Id="rId491" Type="http://schemas.openxmlformats.org/officeDocument/2006/relationships/hyperlink" Target="https://youtu.be/pJXSxS8dA1s" TargetMode="External"/><Relationship Id="rId490" Type="http://schemas.openxmlformats.org/officeDocument/2006/relationships/hyperlink" Target="https://youtu.be/orWZ1BXRg_Y" TargetMode="External"/><Relationship Id="rId49" Type="http://schemas.openxmlformats.org/officeDocument/2006/relationships/hyperlink" Target="https://youtu.be/P1OuYsjEUlA" TargetMode="External"/><Relationship Id="rId489" Type="http://schemas.openxmlformats.org/officeDocument/2006/relationships/hyperlink" Target="https://youtu.be/dcsiIoQody4" TargetMode="External"/><Relationship Id="rId488" Type="http://schemas.openxmlformats.org/officeDocument/2006/relationships/hyperlink" Target="https://youtu.be/c27zrOh6qkY" TargetMode="External"/><Relationship Id="rId487" Type="http://schemas.openxmlformats.org/officeDocument/2006/relationships/hyperlink" Target="https://youtu.be/SGxGiD6rI9w" TargetMode="External"/><Relationship Id="rId486" Type="http://schemas.openxmlformats.org/officeDocument/2006/relationships/hyperlink" Target="https://youtu.be/tZupyfyfyl0" TargetMode="External"/><Relationship Id="rId485" Type="http://schemas.openxmlformats.org/officeDocument/2006/relationships/hyperlink" Target="https://youtu.be/HVTZNb-uTf0" TargetMode="External"/><Relationship Id="rId484" Type="http://schemas.openxmlformats.org/officeDocument/2006/relationships/hyperlink" Target="https://youtu.be/_xAwDYXiVZk" TargetMode="External"/><Relationship Id="rId483" Type="http://schemas.openxmlformats.org/officeDocument/2006/relationships/hyperlink" Target="https://youtu.be/F-CzttBEb_Y" TargetMode="External"/><Relationship Id="rId482" Type="http://schemas.openxmlformats.org/officeDocument/2006/relationships/hyperlink" Target="https://youtu.be/CJffqAQpq9g" TargetMode="External"/><Relationship Id="rId481" Type="http://schemas.openxmlformats.org/officeDocument/2006/relationships/hyperlink" Target="https://youtu.be/t5ps88groLs" TargetMode="External"/><Relationship Id="rId480" Type="http://schemas.openxmlformats.org/officeDocument/2006/relationships/hyperlink" Target="https://youtu.be/ov_O0wyMFVA" TargetMode="External"/><Relationship Id="rId48" Type="http://schemas.openxmlformats.org/officeDocument/2006/relationships/hyperlink" Target="https://youtu.be/q_Vzkxi49Tc" TargetMode="External"/><Relationship Id="rId479" Type="http://schemas.openxmlformats.org/officeDocument/2006/relationships/hyperlink" Target="https://youtu.be/mLQn0hI7CC0" TargetMode="External"/><Relationship Id="rId478" Type="http://schemas.openxmlformats.org/officeDocument/2006/relationships/hyperlink" Target="https://youtu.be/VVSGBneN9tk" TargetMode="External"/><Relationship Id="rId477" Type="http://schemas.openxmlformats.org/officeDocument/2006/relationships/hyperlink" Target="https://youtu.be/Ol7foiNEAXo" TargetMode="External"/><Relationship Id="rId476" Type="http://schemas.openxmlformats.org/officeDocument/2006/relationships/hyperlink" Target="https://youtu.be/13HJ62g4tPQ" TargetMode="External"/><Relationship Id="rId475" Type="http://schemas.openxmlformats.org/officeDocument/2006/relationships/hyperlink" Target="https://youtu.be/-L6AMwZDmhs" TargetMode="External"/><Relationship Id="rId474" Type="http://schemas.openxmlformats.org/officeDocument/2006/relationships/hyperlink" Target="https://youtu.be/fw-jFxHn5WA" TargetMode="External"/><Relationship Id="rId473" Type="http://schemas.openxmlformats.org/officeDocument/2006/relationships/hyperlink" Target="https://youtu.be/fczAR0Hp7pw" TargetMode="External"/><Relationship Id="rId472" Type="http://schemas.openxmlformats.org/officeDocument/2006/relationships/hyperlink" Target="https://youtu.be/G4rrizQLmoo" TargetMode="External"/><Relationship Id="rId471" Type="http://schemas.openxmlformats.org/officeDocument/2006/relationships/hyperlink" Target="https://youtu.be/HvSz7DeeqSo" TargetMode="External"/><Relationship Id="rId470" Type="http://schemas.openxmlformats.org/officeDocument/2006/relationships/hyperlink" Target="https://youtu.be/ZqK2zG8EWnY" TargetMode="External"/><Relationship Id="rId47" Type="http://schemas.openxmlformats.org/officeDocument/2006/relationships/hyperlink" Target="https://youtu.be/tHCMuoZNT9s" TargetMode="External"/><Relationship Id="rId469" Type="http://schemas.openxmlformats.org/officeDocument/2006/relationships/hyperlink" Target="https://youtu.be/y2nr6X1QN0g" TargetMode="External"/><Relationship Id="rId468" Type="http://schemas.openxmlformats.org/officeDocument/2006/relationships/hyperlink" Target="https://youtu.be/H_qPWZbxFl8" TargetMode="External"/><Relationship Id="rId467" Type="http://schemas.openxmlformats.org/officeDocument/2006/relationships/hyperlink" Target="https://youtu.be/FEjjEgjacIY" TargetMode="External"/><Relationship Id="rId466" Type="http://schemas.openxmlformats.org/officeDocument/2006/relationships/hyperlink" Target="https://youtu.be/m-KAT78zU3s" TargetMode="External"/><Relationship Id="rId465" Type="http://schemas.openxmlformats.org/officeDocument/2006/relationships/hyperlink" Target="https://youtu.be/Rww7zst5XhA" TargetMode="External"/><Relationship Id="rId464" Type="http://schemas.openxmlformats.org/officeDocument/2006/relationships/hyperlink" Target="https://youtu.be/0mVyxtFIvj4" TargetMode="External"/><Relationship Id="rId463" Type="http://schemas.openxmlformats.org/officeDocument/2006/relationships/hyperlink" Target="https://youtu.be/qXqlgub8neE" TargetMode="External"/><Relationship Id="rId462" Type="http://schemas.openxmlformats.org/officeDocument/2006/relationships/hyperlink" Target="https://youtu.be/JD_B1QK-Jok" TargetMode="External"/><Relationship Id="rId461" Type="http://schemas.openxmlformats.org/officeDocument/2006/relationships/hyperlink" Target="https://youtu.be/zHUo5-6LKyg" TargetMode="External"/><Relationship Id="rId460" Type="http://schemas.openxmlformats.org/officeDocument/2006/relationships/hyperlink" Target="https://youtu.be/h1Y3CeNA_AU" TargetMode="External"/><Relationship Id="rId46" Type="http://schemas.openxmlformats.org/officeDocument/2006/relationships/hyperlink" Target="https://youtu.be/yJ6J_--hzGs" TargetMode="External"/><Relationship Id="rId459" Type="http://schemas.openxmlformats.org/officeDocument/2006/relationships/hyperlink" Target="https://youtu.be/qDltkPn7J2s" TargetMode="External"/><Relationship Id="rId458" Type="http://schemas.openxmlformats.org/officeDocument/2006/relationships/hyperlink" Target="https://youtu.be/W85SJE3krPE" TargetMode="External"/><Relationship Id="rId457" Type="http://schemas.openxmlformats.org/officeDocument/2006/relationships/hyperlink" Target="https://youtu.be/DXs5NmRyFrU" TargetMode="External"/><Relationship Id="rId456" Type="http://schemas.openxmlformats.org/officeDocument/2006/relationships/hyperlink" Target="https://youtu.be/XEhgp2EhPao" TargetMode="External"/><Relationship Id="rId455" Type="http://schemas.openxmlformats.org/officeDocument/2006/relationships/hyperlink" Target="https://youtu.be/HDV1IZ-RPyU" TargetMode="External"/><Relationship Id="rId454" Type="http://schemas.openxmlformats.org/officeDocument/2006/relationships/hyperlink" Target="https://youtu.be/8obopaD8bXA" TargetMode="External"/><Relationship Id="rId453" Type="http://schemas.openxmlformats.org/officeDocument/2006/relationships/hyperlink" Target="https://youtu.be/_LPDZ6gDzRw" TargetMode="External"/><Relationship Id="rId452" Type="http://schemas.openxmlformats.org/officeDocument/2006/relationships/hyperlink" Target="https://youtu.be/Nmil9vid4NY" TargetMode="External"/><Relationship Id="rId451" Type="http://schemas.openxmlformats.org/officeDocument/2006/relationships/hyperlink" Target="https://youtu.be/6cCxaYVyuv4" TargetMode="External"/><Relationship Id="rId450" Type="http://schemas.openxmlformats.org/officeDocument/2006/relationships/hyperlink" Target="https://youtu.be/-V2WZ5tApoc" TargetMode="External"/><Relationship Id="rId45" Type="http://schemas.openxmlformats.org/officeDocument/2006/relationships/hyperlink" Target="https://youtu.be/2WsEVnBD1C0" TargetMode="External"/><Relationship Id="rId449" Type="http://schemas.openxmlformats.org/officeDocument/2006/relationships/hyperlink" Target="https://youtu.be/eP1_T8vKgwE" TargetMode="External"/><Relationship Id="rId448" Type="http://schemas.openxmlformats.org/officeDocument/2006/relationships/hyperlink" Target="https://youtu.be/C0tr0FmOYW4" TargetMode="External"/><Relationship Id="rId447" Type="http://schemas.openxmlformats.org/officeDocument/2006/relationships/hyperlink" Target="https://youtu.be/280cKaJx30g" TargetMode="External"/><Relationship Id="rId446" Type="http://schemas.openxmlformats.org/officeDocument/2006/relationships/hyperlink" Target="https://youtu.be/s654YJ7PZg8" TargetMode="External"/><Relationship Id="rId445" Type="http://schemas.openxmlformats.org/officeDocument/2006/relationships/hyperlink" Target="https://youtu.be/K13uQoV3sb0" TargetMode="External"/><Relationship Id="rId444" Type="http://schemas.openxmlformats.org/officeDocument/2006/relationships/hyperlink" Target="https://youtu.be/sLJU_3UtkaQ" TargetMode="External"/><Relationship Id="rId443" Type="http://schemas.openxmlformats.org/officeDocument/2006/relationships/hyperlink" Target="https://youtu.be/eiJAZSc-IQM" TargetMode="External"/><Relationship Id="rId442" Type="http://schemas.openxmlformats.org/officeDocument/2006/relationships/hyperlink" Target="https://youtu.be/o1QW8zm3bJY" TargetMode="External"/><Relationship Id="rId441" Type="http://schemas.openxmlformats.org/officeDocument/2006/relationships/hyperlink" Target="https://youtu.be/8rv2Fv6iyc0" TargetMode="External"/><Relationship Id="rId440" Type="http://schemas.openxmlformats.org/officeDocument/2006/relationships/hyperlink" Target="https://youtu.be/F1P8dDYEvwA" TargetMode="External"/><Relationship Id="rId44" Type="http://schemas.openxmlformats.org/officeDocument/2006/relationships/hyperlink" Target="https://youtu.be/dCK_DXW3hgk" TargetMode="External"/><Relationship Id="rId439" Type="http://schemas.openxmlformats.org/officeDocument/2006/relationships/hyperlink" Target="https://youtu.be/Ohc6WoPROxc" TargetMode="External"/><Relationship Id="rId438" Type="http://schemas.openxmlformats.org/officeDocument/2006/relationships/hyperlink" Target="https://youtu.be/_G0JYeBEuIw" TargetMode="External"/><Relationship Id="rId437" Type="http://schemas.openxmlformats.org/officeDocument/2006/relationships/hyperlink" Target="https://youtu.be/TR7-YG3B1UE" TargetMode="External"/><Relationship Id="rId436" Type="http://schemas.openxmlformats.org/officeDocument/2006/relationships/hyperlink" Target="https://youtu.be/bEzE14HKr5o" TargetMode="External"/><Relationship Id="rId435" Type="http://schemas.openxmlformats.org/officeDocument/2006/relationships/hyperlink" Target="https://youtu.be/-rvXYvFBUWk" TargetMode="External"/><Relationship Id="rId434" Type="http://schemas.openxmlformats.org/officeDocument/2006/relationships/hyperlink" Target="https://youtu.be/OmIdSFMKZmA" TargetMode="External"/><Relationship Id="rId433" Type="http://schemas.openxmlformats.org/officeDocument/2006/relationships/hyperlink" Target="https://youtu.be/1lUhFvL49fo" TargetMode="External"/><Relationship Id="rId432" Type="http://schemas.openxmlformats.org/officeDocument/2006/relationships/hyperlink" Target="https://youtu.be/t8rI5i2HA48" TargetMode="External"/><Relationship Id="rId431" Type="http://schemas.openxmlformats.org/officeDocument/2006/relationships/hyperlink" Target="https://youtu.be/VdTXCOkC8xQ" TargetMode="External"/><Relationship Id="rId430" Type="http://schemas.openxmlformats.org/officeDocument/2006/relationships/hyperlink" Target="https://youtu.be/sR92iRovqTw" TargetMode="External"/><Relationship Id="rId43" Type="http://schemas.openxmlformats.org/officeDocument/2006/relationships/hyperlink" Target="https://youtu.be/-MM2AAHcMsc" TargetMode="External"/><Relationship Id="rId429" Type="http://schemas.openxmlformats.org/officeDocument/2006/relationships/hyperlink" Target="https://youtu.be/_Ecc-wKfPc0" TargetMode="External"/><Relationship Id="rId428" Type="http://schemas.openxmlformats.org/officeDocument/2006/relationships/hyperlink" Target="https://youtu.be/EVft-Lu5fV0" TargetMode="External"/><Relationship Id="rId427" Type="http://schemas.openxmlformats.org/officeDocument/2006/relationships/hyperlink" Target="https://youtu.be/xGYdsx5x49g" TargetMode="External"/><Relationship Id="rId426" Type="http://schemas.openxmlformats.org/officeDocument/2006/relationships/hyperlink" Target="https://youtu.be/5L6eqgnmlPo" TargetMode="External"/><Relationship Id="rId425" Type="http://schemas.openxmlformats.org/officeDocument/2006/relationships/hyperlink" Target="https://youtu.be/zJytmFaypIk" TargetMode="External"/><Relationship Id="rId424" Type="http://schemas.openxmlformats.org/officeDocument/2006/relationships/hyperlink" Target="https://youtu.be/8CI9GcMUWog" TargetMode="External"/><Relationship Id="rId423" Type="http://schemas.openxmlformats.org/officeDocument/2006/relationships/hyperlink" Target="https://youtu.be/EI1_rLqL3sM" TargetMode="External"/><Relationship Id="rId422" Type="http://schemas.openxmlformats.org/officeDocument/2006/relationships/hyperlink" Target="https://youtu.be/O-JSEVMEYGE" TargetMode="External"/><Relationship Id="rId421" Type="http://schemas.openxmlformats.org/officeDocument/2006/relationships/hyperlink" Target="https://youtu.be/bln6Q08PC_Q" TargetMode="External"/><Relationship Id="rId420" Type="http://schemas.openxmlformats.org/officeDocument/2006/relationships/hyperlink" Target="https://youtu.be/w8za0FFO8O0" TargetMode="External"/><Relationship Id="rId42" Type="http://schemas.openxmlformats.org/officeDocument/2006/relationships/hyperlink" Target="https://youtu.be/UeD7TW7vC5c" TargetMode="External"/><Relationship Id="rId419" Type="http://schemas.openxmlformats.org/officeDocument/2006/relationships/hyperlink" Target="https://youtu.be/mGwANxGbM64" TargetMode="External"/><Relationship Id="rId418" Type="http://schemas.openxmlformats.org/officeDocument/2006/relationships/hyperlink" Target="https://youtu.be/WAnlxR50Uu4" TargetMode="External"/><Relationship Id="rId417" Type="http://schemas.openxmlformats.org/officeDocument/2006/relationships/hyperlink" Target="https://youtu.be/Us0rYH_i_LQ" TargetMode="External"/><Relationship Id="rId416" Type="http://schemas.openxmlformats.org/officeDocument/2006/relationships/hyperlink" Target="https://youtu.be/6OJCv8A7F7o" TargetMode="External"/><Relationship Id="rId415" Type="http://schemas.openxmlformats.org/officeDocument/2006/relationships/hyperlink" Target="https://youtu.be/eJOIFi_icTI" TargetMode="External"/><Relationship Id="rId414" Type="http://schemas.openxmlformats.org/officeDocument/2006/relationships/hyperlink" Target="https://youtu.be/J_LNuLnjjpo" TargetMode="External"/><Relationship Id="rId413" Type="http://schemas.openxmlformats.org/officeDocument/2006/relationships/hyperlink" Target="https://youtu.be/eO7BfiPvN38" TargetMode="External"/><Relationship Id="rId412" Type="http://schemas.openxmlformats.org/officeDocument/2006/relationships/hyperlink" Target="https://youtu.be/cE4XMWkPwjw" TargetMode="External"/><Relationship Id="rId411" Type="http://schemas.openxmlformats.org/officeDocument/2006/relationships/hyperlink" Target="https://youtu.be/Z-hJM3tFP30" TargetMode="External"/><Relationship Id="rId410" Type="http://schemas.openxmlformats.org/officeDocument/2006/relationships/hyperlink" Target="https://youtu.be/FI9w95ezn4k" TargetMode="External"/><Relationship Id="rId41" Type="http://schemas.openxmlformats.org/officeDocument/2006/relationships/hyperlink" Target="https://youtu.be/ZE2cDHAx6fk" TargetMode="External"/><Relationship Id="rId409" Type="http://schemas.openxmlformats.org/officeDocument/2006/relationships/hyperlink" Target="https://youtu.be/3rn3-Mw9_TI" TargetMode="External"/><Relationship Id="rId408" Type="http://schemas.openxmlformats.org/officeDocument/2006/relationships/hyperlink" Target="https://youtu.be/4mNM492UlR8" TargetMode="External"/><Relationship Id="rId407" Type="http://schemas.openxmlformats.org/officeDocument/2006/relationships/hyperlink" Target="https://youtu.be/L2WQR8zMWdI" TargetMode="External"/><Relationship Id="rId406" Type="http://schemas.openxmlformats.org/officeDocument/2006/relationships/hyperlink" Target="https://youtu.be/bEl8xWsDcqM" TargetMode="External"/><Relationship Id="rId405" Type="http://schemas.openxmlformats.org/officeDocument/2006/relationships/hyperlink" Target="https://youtu.be/o4csKVXsPn4" TargetMode="External"/><Relationship Id="rId404" Type="http://schemas.openxmlformats.org/officeDocument/2006/relationships/hyperlink" Target="https://youtu.be/pQg2_5248bU" TargetMode="External"/><Relationship Id="rId403" Type="http://schemas.openxmlformats.org/officeDocument/2006/relationships/hyperlink" Target="https://youtu.be/Xoz9we1KtMQ" TargetMode="External"/><Relationship Id="rId402" Type="http://schemas.openxmlformats.org/officeDocument/2006/relationships/hyperlink" Target="https://youtu.be/Z28gK3zy6dg" TargetMode="External"/><Relationship Id="rId401" Type="http://schemas.openxmlformats.org/officeDocument/2006/relationships/hyperlink" Target="https://youtu.be/8c0EW105TRw" TargetMode="External"/><Relationship Id="rId400" Type="http://schemas.openxmlformats.org/officeDocument/2006/relationships/hyperlink" Target="https://youtu.be/AoAsHqAQNOQ" TargetMode="External"/><Relationship Id="rId40" Type="http://schemas.openxmlformats.org/officeDocument/2006/relationships/hyperlink" Target="https://youtu.be/eURrB55Tt_c" TargetMode="External"/><Relationship Id="rId4" Type="http://schemas.openxmlformats.org/officeDocument/2006/relationships/hyperlink" Target="https://youtu.be/umBk3MLmABU" TargetMode="External"/><Relationship Id="rId399" Type="http://schemas.openxmlformats.org/officeDocument/2006/relationships/hyperlink" Target="https://youtu.be/lo30ykoaogI" TargetMode="External"/><Relationship Id="rId398" Type="http://schemas.openxmlformats.org/officeDocument/2006/relationships/hyperlink" Target="https://youtu.be/MU9vyZ6j-Us" TargetMode="External"/><Relationship Id="rId397" Type="http://schemas.openxmlformats.org/officeDocument/2006/relationships/hyperlink" Target="https://youtu.be/54zBlM0pwKo" TargetMode="External"/><Relationship Id="rId396" Type="http://schemas.openxmlformats.org/officeDocument/2006/relationships/hyperlink" Target="https://youtu.be/isH8Sk_lNr4" TargetMode="External"/><Relationship Id="rId395" Type="http://schemas.openxmlformats.org/officeDocument/2006/relationships/hyperlink" Target="https://youtu.be/O62LPeJwhRg" TargetMode="External"/><Relationship Id="rId394" Type="http://schemas.openxmlformats.org/officeDocument/2006/relationships/hyperlink" Target="https://youtu.be/B_g7kkta0L4" TargetMode="External"/><Relationship Id="rId393" Type="http://schemas.openxmlformats.org/officeDocument/2006/relationships/hyperlink" Target="https://youtu.be/M6Olv_6d6UI" TargetMode="External"/><Relationship Id="rId392" Type="http://schemas.openxmlformats.org/officeDocument/2006/relationships/hyperlink" Target="https://youtu.be/QKXC6BuxbqA" TargetMode="External"/><Relationship Id="rId391" Type="http://schemas.openxmlformats.org/officeDocument/2006/relationships/hyperlink" Target="https://youtu.be/jdfC5S7P4OY" TargetMode="External"/><Relationship Id="rId390" Type="http://schemas.openxmlformats.org/officeDocument/2006/relationships/hyperlink" Target="https://youtu.be/GKprm3whh6U" TargetMode="External"/><Relationship Id="rId39" Type="http://schemas.openxmlformats.org/officeDocument/2006/relationships/hyperlink" Target="https://youtu.be/tf5X4Qp2kX4" TargetMode="External"/><Relationship Id="rId389" Type="http://schemas.openxmlformats.org/officeDocument/2006/relationships/hyperlink" Target="https://youtu.be/mYEHGISJRYE" TargetMode="External"/><Relationship Id="rId388" Type="http://schemas.openxmlformats.org/officeDocument/2006/relationships/hyperlink" Target="https://youtu.be/NTEImgloGZg" TargetMode="External"/><Relationship Id="rId387" Type="http://schemas.openxmlformats.org/officeDocument/2006/relationships/hyperlink" Target="https://youtu.be/TebdIPAZ2WM" TargetMode="External"/><Relationship Id="rId386" Type="http://schemas.openxmlformats.org/officeDocument/2006/relationships/hyperlink" Target="https://youtu.be/_a23CmZgIp8" TargetMode="External"/><Relationship Id="rId385" Type="http://schemas.openxmlformats.org/officeDocument/2006/relationships/hyperlink" Target="https://youtu.be/OR8rzsZCrNg" TargetMode="External"/><Relationship Id="rId384" Type="http://schemas.openxmlformats.org/officeDocument/2006/relationships/hyperlink" Target="https://youtu.be/o-iHIGLsDY4" TargetMode="External"/><Relationship Id="rId383" Type="http://schemas.openxmlformats.org/officeDocument/2006/relationships/hyperlink" Target="https://youtu.be/E5sEcxiRPEQ" TargetMode="External"/><Relationship Id="rId382" Type="http://schemas.openxmlformats.org/officeDocument/2006/relationships/hyperlink" Target="https://youtu.be/BdpTS6l_AAs" TargetMode="External"/><Relationship Id="rId381" Type="http://schemas.openxmlformats.org/officeDocument/2006/relationships/hyperlink" Target="https://youtu.be/vhwbxAmOZzg" TargetMode="External"/><Relationship Id="rId380" Type="http://schemas.openxmlformats.org/officeDocument/2006/relationships/hyperlink" Target="https://youtu.be/bYJMJGaf2f8" TargetMode="External"/><Relationship Id="rId38" Type="http://schemas.openxmlformats.org/officeDocument/2006/relationships/hyperlink" Target="https://youtu.be/QzpQJnoG0cI" TargetMode="External"/><Relationship Id="rId379" Type="http://schemas.openxmlformats.org/officeDocument/2006/relationships/hyperlink" Target="https://youtu.be/I9f39S9wgB0" TargetMode="External"/><Relationship Id="rId378" Type="http://schemas.openxmlformats.org/officeDocument/2006/relationships/hyperlink" Target="https://youtu.be/TlGBVqbZbBY" TargetMode="External"/><Relationship Id="rId377" Type="http://schemas.openxmlformats.org/officeDocument/2006/relationships/hyperlink" Target="https://youtu.be/6DR2_VnyinM" TargetMode="External"/><Relationship Id="rId376" Type="http://schemas.openxmlformats.org/officeDocument/2006/relationships/hyperlink" Target="https://youtu.be/m5tbJ7GvaVQ" TargetMode="External"/><Relationship Id="rId375" Type="http://schemas.openxmlformats.org/officeDocument/2006/relationships/hyperlink" Target="https://youtu.be/a0S4Th3FrhI" TargetMode="External"/><Relationship Id="rId374" Type="http://schemas.openxmlformats.org/officeDocument/2006/relationships/hyperlink" Target="https://youtu.be/L-TpUyfxHiY" TargetMode="External"/><Relationship Id="rId373" Type="http://schemas.openxmlformats.org/officeDocument/2006/relationships/hyperlink" Target="https://youtu.be/qWCPGFe6DDk" TargetMode="External"/><Relationship Id="rId372" Type="http://schemas.openxmlformats.org/officeDocument/2006/relationships/hyperlink" Target="https://youtu.be/LWhAkLPlSnU" TargetMode="External"/><Relationship Id="rId3715" Type="http://schemas.openxmlformats.org/officeDocument/2006/relationships/hyperlink" Target="https://youtu.be/_KdLkKNNq-k" TargetMode="External"/><Relationship Id="rId3714" Type="http://schemas.openxmlformats.org/officeDocument/2006/relationships/hyperlink" Target="https://youtu.be/xqh2FMaKkaY" TargetMode="External"/><Relationship Id="rId3713" Type="http://schemas.openxmlformats.org/officeDocument/2006/relationships/hyperlink" Target="https://youtu.be/s1aBChbPR30" TargetMode="External"/><Relationship Id="rId3712" Type="http://schemas.openxmlformats.org/officeDocument/2006/relationships/hyperlink" Target="https://youtu.be/qnKEi5Lt_x8" TargetMode="External"/><Relationship Id="rId3711" Type="http://schemas.openxmlformats.org/officeDocument/2006/relationships/hyperlink" Target="https://youtu.be/TNiE_MkQqS0" TargetMode="External"/><Relationship Id="rId3710" Type="http://schemas.openxmlformats.org/officeDocument/2006/relationships/hyperlink" Target="https://youtu.be/Qr_EZNdF_v4" TargetMode="External"/><Relationship Id="rId371" Type="http://schemas.openxmlformats.org/officeDocument/2006/relationships/hyperlink" Target="https://youtu.be/FSjM-XzSazU" TargetMode="External"/><Relationship Id="rId3709" Type="http://schemas.openxmlformats.org/officeDocument/2006/relationships/hyperlink" Target="https://youtu.be/QPsAoCu_yyM" TargetMode="External"/><Relationship Id="rId3708" Type="http://schemas.openxmlformats.org/officeDocument/2006/relationships/hyperlink" Target="https://youtu.be/DjtdOZECr1U" TargetMode="External"/><Relationship Id="rId3707" Type="http://schemas.openxmlformats.org/officeDocument/2006/relationships/hyperlink" Target="https://youtu.be/UT3I4PGD1Mc" TargetMode="External"/><Relationship Id="rId3706" Type="http://schemas.openxmlformats.org/officeDocument/2006/relationships/hyperlink" Target="https://youtu.be/TYUW9maagQ0" TargetMode="External"/><Relationship Id="rId3705" Type="http://schemas.openxmlformats.org/officeDocument/2006/relationships/hyperlink" Target="https://youtu.be/AZjMbEXdwnA" TargetMode="External"/><Relationship Id="rId3704" Type="http://schemas.openxmlformats.org/officeDocument/2006/relationships/hyperlink" Target="https://youtu.be/Ye-4M-FrPnE" TargetMode="External"/><Relationship Id="rId3703" Type="http://schemas.openxmlformats.org/officeDocument/2006/relationships/hyperlink" Target="https://youtu.be/1Q1FXGH9wFU" TargetMode="External"/><Relationship Id="rId3702" Type="http://schemas.openxmlformats.org/officeDocument/2006/relationships/hyperlink" Target="https://youtu.be/kOyIV_YWU18" TargetMode="External"/><Relationship Id="rId3701" Type="http://schemas.openxmlformats.org/officeDocument/2006/relationships/hyperlink" Target="https://youtu.be/LefzkR0CI7o" TargetMode="External"/><Relationship Id="rId3700" Type="http://schemas.openxmlformats.org/officeDocument/2006/relationships/hyperlink" Target="https://youtu.be/c9rc96feWlg" TargetMode="External"/><Relationship Id="rId370" Type="http://schemas.openxmlformats.org/officeDocument/2006/relationships/hyperlink" Target="https://youtu.be/0Sf3Z60QPGk" TargetMode="External"/><Relationship Id="rId37" Type="http://schemas.openxmlformats.org/officeDocument/2006/relationships/hyperlink" Target="https://youtu.be/SiE0OAFtPuw" TargetMode="External"/><Relationship Id="rId3699" Type="http://schemas.openxmlformats.org/officeDocument/2006/relationships/hyperlink" Target="https://youtu.be/R5wEtMV5sSY" TargetMode="External"/><Relationship Id="rId3698" Type="http://schemas.openxmlformats.org/officeDocument/2006/relationships/hyperlink" Target="https://youtu.be/95d7R58T9UM" TargetMode="External"/><Relationship Id="rId3697" Type="http://schemas.openxmlformats.org/officeDocument/2006/relationships/hyperlink" Target="https://youtu.be/7aDy8sBN3FA" TargetMode="External"/><Relationship Id="rId3696" Type="http://schemas.openxmlformats.org/officeDocument/2006/relationships/hyperlink" Target="https://youtu.be/gICMr9MNa5Q" TargetMode="External"/><Relationship Id="rId3695" Type="http://schemas.openxmlformats.org/officeDocument/2006/relationships/hyperlink" Target="https://youtu.be/h61xEWJ-bWo" TargetMode="External"/><Relationship Id="rId3694" Type="http://schemas.openxmlformats.org/officeDocument/2006/relationships/hyperlink" Target="https://youtu.be/7gkFqVxHq2o" TargetMode="External"/><Relationship Id="rId3693" Type="http://schemas.openxmlformats.org/officeDocument/2006/relationships/hyperlink" Target="https://youtu.be/xVnrO51-rjE" TargetMode="External"/><Relationship Id="rId3692" Type="http://schemas.openxmlformats.org/officeDocument/2006/relationships/hyperlink" Target="https://youtu.be/ookWLBoWkhI" TargetMode="External"/><Relationship Id="rId3691" Type="http://schemas.openxmlformats.org/officeDocument/2006/relationships/hyperlink" Target="https://youtu.be/8reKmhWhyH4" TargetMode="External"/><Relationship Id="rId3690" Type="http://schemas.openxmlformats.org/officeDocument/2006/relationships/hyperlink" Target="https://youtu.be/JCKBBQE-94M" TargetMode="External"/><Relationship Id="rId369" Type="http://schemas.openxmlformats.org/officeDocument/2006/relationships/hyperlink" Target="https://youtu.be/6qCSSTYblHQ" TargetMode="External"/><Relationship Id="rId3689" Type="http://schemas.openxmlformats.org/officeDocument/2006/relationships/hyperlink" Target="https://youtu.be/RNV_3SWwy_4" TargetMode="External"/><Relationship Id="rId3688" Type="http://schemas.openxmlformats.org/officeDocument/2006/relationships/hyperlink" Target="https://youtu.be/eakhdNgdorw" TargetMode="External"/><Relationship Id="rId3687" Type="http://schemas.openxmlformats.org/officeDocument/2006/relationships/hyperlink" Target="https://youtu.be/V2dbdtfe_qA" TargetMode="External"/><Relationship Id="rId3686" Type="http://schemas.openxmlformats.org/officeDocument/2006/relationships/hyperlink" Target="https://youtu.be/PjfDnm3TAFc" TargetMode="External"/><Relationship Id="rId3685" Type="http://schemas.openxmlformats.org/officeDocument/2006/relationships/hyperlink" Target="https://youtu.be/YA5-vTyWSws" TargetMode="External"/><Relationship Id="rId3684" Type="http://schemas.openxmlformats.org/officeDocument/2006/relationships/hyperlink" Target="https://youtu.be/rb5Uhh5t2ok" TargetMode="External"/><Relationship Id="rId3683" Type="http://schemas.openxmlformats.org/officeDocument/2006/relationships/hyperlink" Target="https://youtu.be/zategEDSi_E" TargetMode="External"/><Relationship Id="rId3682" Type="http://schemas.openxmlformats.org/officeDocument/2006/relationships/hyperlink" Target="https://youtu.be/a_oCCnlV9p4" TargetMode="External"/><Relationship Id="rId3681" Type="http://schemas.openxmlformats.org/officeDocument/2006/relationships/hyperlink" Target="https://youtu.be/KTKiEODtYxg" TargetMode="External"/><Relationship Id="rId3680" Type="http://schemas.openxmlformats.org/officeDocument/2006/relationships/hyperlink" Target="https://youtu.be/kDPvBJtTOHQ" TargetMode="External"/><Relationship Id="rId368" Type="http://schemas.openxmlformats.org/officeDocument/2006/relationships/hyperlink" Target="https://youtu.be/Xj9KASvck0E" TargetMode="External"/><Relationship Id="rId3679" Type="http://schemas.openxmlformats.org/officeDocument/2006/relationships/hyperlink" Target="https://youtu.be/UBCBn_Aympw" TargetMode="External"/><Relationship Id="rId3678" Type="http://schemas.openxmlformats.org/officeDocument/2006/relationships/hyperlink" Target="https://youtu.be/xb2amlfDZ0o" TargetMode="External"/><Relationship Id="rId3677" Type="http://schemas.openxmlformats.org/officeDocument/2006/relationships/hyperlink" Target="https://youtu.be/n-U-j-YqFyY" TargetMode="External"/><Relationship Id="rId3676" Type="http://schemas.openxmlformats.org/officeDocument/2006/relationships/hyperlink" Target="https://youtu.be/eC-HLrlcimA" TargetMode="External"/><Relationship Id="rId3675" Type="http://schemas.openxmlformats.org/officeDocument/2006/relationships/hyperlink" Target="https://youtu.be/uJ503EdUWtk" TargetMode="External"/><Relationship Id="rId3674" Type="http://schemas.openxmlformats.org/officeDocument/2006/relationships/hyperlink" Target="https://youtu.be/Fnb5VX3qyaA" TargetMode="External"/><Relationship Id="rId3673" Type="http://schemas.openxmlformats.org/officeDocument/2006/relationships/hyperlink" Target="https://youtu.be/eAjk7XaaUvM" TargetMode="External"/><Relationship Id="rId3672" Type="http://schemas.openxmlformats.org/officeDocument/2006/relationships/hyperlink" Target="https://youtu.be/FxFOm8BC4GE" TargetMode="External"/><Relationship Id="rId3671" Type="http://schemas.openxmlformats.org/officeDocument/2006/relationships/hyperlink" Target="https://youtu.be/brTk1_NCHKs" TargetMode="External"/><Relationship Id="rId3670" Type="http://schemas.openxmlformats.org/officeDocument/2006/relationships/hyperlink" Target="https://youtu.be/Mp-awukkc7I" TargetMode="External"/><Relationship Id="rId367" Type="http://schemas.openxmlformats.org/officeDocument/2006/relationships/hyperlink" Target="https://youtu.be/YUxU_F4xwFs" TargetMode="External"/><Relationship Id="rId3669" Type="http://schemas.openxmlformats.org/officeDocument/2006/relationships/hyperlink" Target="https://youtu.be/DMEMJPwLNbQ" TargetMode="External"/><Relationship Id="rId3668" Type="http://schemas.openxmlformats.org/officeDocument/2006/relationships/hyperlink" Target="https://youtu.be/fcPRGB_dXdw" TargetMode="External"/><Relationship Id="rId3667" Type="http://schemas.openxmlformats.org/officeDocument/2006/relationships/hyperlink" Target="https://youtu.be/_6KArYnSz4o" TargetMode="External"/><Relationship Id="rId3666" Type="http://schemas.openxmlformats.org/officeDocument/2006/relationships/hyperlink" Target="https://youtu.be/JRbYCVia7WM" TargetMode="External"/><Relationship Id="rId3665" Type="http://schemas.openxmlformats.org/officeDocument/2006/relationships/hyperlink" Target="https://youtu.be/MJnj6I0OBIc" TargetMode="External"/><Relationship Id="rId3664" Type="http://schemas.openxmlformats.org/officeDocument/2006/relationships/hyperlink" Target="https://youtu.be/2ewHl3FefBE" TargetMode="External"/><Relationship Id="rId3663" Type="http://schemas.openxmlformats.org/officeDocument/2006/relationships/hyperlink" Target="https://youtu.be/Tmd2poItPmA" TargetMode="External"/><Relationship Id="rId3662" Type="http://schemas.openxmlformats.org/officeDocument/2006/relationships/hyperlink" Target="https://youtu.be/2NbApv43bHM" TargetMode="External"/><Relationship Id="rId3661" Type="http://schemas.openxmlformats.org/officeDocument/2006/relationships/hyperlink" Target="https://youtu.be/Zn_IcuVZPps" TargetMode="External"/><Relationship Id="rId3660" Type="http://schemas.openxmlformats.org/officeDocument/2006/relationships/hyperlink" Target="https://youtu.be/VP4YsVtJdfQ" TargetMode="External"/><Relationship Id="rId366" Type="http://schemas.openxmlformats.org/officeDocument/2006/relationships/hyperlink" Target="https://youtu.be/J5TFAuQI7U0" TargetMode="External"/><Relationship Id="rId3659" Type="http://schemas.openxmlformats.org/officeDocument/2006/relationships/hyperlink" Target="https://youtu.be/7a2PaTECVSk" TargetMode="External"/><Relationship Id="rId3658" Type="http://schemas.openxmlformats.org/officeDocument/2006/relationships/hyperlink" Target="https://youtu.be/8o72MzrgFiU" TargetMode="External"/><Relationship Id="rId3657" Type="http://schemas.openxmlformats.org/officeDocument/2006/relationships/hyperlink" Target="https://youtu.be/4RSnOiMVfHk" TargetMode="External"/><Relationship Id="rId3656" Type="http://schemas.openxmlformats.org/officeDocument/2006/relationships/hyperlink" Target="https://youtu.be/t03P5WfWj34" TargetMode="External"/><Relationship Id="rId3655" Type="http://schemas.openxmlformats.org/officeDocument/2006/relationships/hyperlink" Target="https://youtu.be/iM7btO-1MLQ" TargetMode="External"/><Relationship Id="rId3654" Type="http://schemas.openxmlformats.org/officeDocument/2006/relationships/hyperlink" Target="https://youtu.be/ARdX6Uf2K4s" TargetMode="External"/><Relationship Id="rId3653" Type="http://schemas.openxmlformats.org/officeDocument/2006/relationships/hyperlink" Target="https://youtu.be/sWhx_uAII38" TargetMode="External"/><Relationship Id="rId3652" Type="http://schemas.openxmlformats.org/officeDocument/2006/relationships/hyperlink" Target="https://youtu.be/54rYZAjI9eQ" TargetMode="External"/><Relationship Id="rId3651" Type="http://schemas.openxmlformats.org/officeDocument/2006/relationships/hyperlink" Target="https://youtu.be/ge_uzCSbPg0" TargetMode="External"/><Relationship Id="rId3650" Type="http://schemas.openxmlformats.org/officeDocument/2006/relationships/hyperlink" Target="https://youtu.be/dQNNjDQrslQ" TargetMode="External"/><Relationship Id="rId365" Type="http://schemas.openxmlformats.org/officeDocument/2006/relationships/hyperlink" Target="https://youtu.be/O36rX_J9MHQ" TargetMode="External"/><Relationship Id="rId3649" Type="http://schemas.openxmlformats.org/officeDocument/2006/relationships/hyperlink" Target="https://youtu.be/1sN7RXC9vIw" TargetMode="External"/><Relationship Id="rId3648" Type="http://schemas.openxmlformats.org/officeDocument/2006/relationships/hyperlink" Target="https://youtu.be/naVLj5RZndY" TargetMode="External"/><Relationship Id="rId3647" Type="http://schemas.openxmlformats.org/officeDocument/2006/relationships/hyperlink" Target="https://youtu.be/QBCNNel9EVU" TargetMode="External"/><Relationship Id="rId3646" Type="http://schemas.openxmlformats.org/officeDocument/2006/relationships/hyperlink" Target="https://youtu.be/X1K9QW51gYI" TargetMode="External"/><Relationship Id="rId3645" Type="http://schemas.openxmlformats.org/officeDocument/2006/relationships/hyperlink" Target="https://youtu.be/ONbK_AA7TsM" TargetMode="External"/><Relationship Id="rId3644" Type="http://schemas.openxmlformats.org/officeDocument/2006/relationships/hyperlink" Target="https://youtu.be/b3rwLgUTjcw" TargetMode="External"/><Relationship Id="rId3643" Type="http://schemas.openxmlformats.org/officeDocument/2006/relationships/hyperlink" Target="https://youtu.be/gOARToiteow" TargetMode="External"/><Relationship Id="rId3642" Type="http://schemas.openxmlformats.org/officeDocument/2006/relationships/hyperlink" Target="https://youtu.be/raUqLDqjJKg" TargetMode="External"/><Relationship Id="rId3641" Type="http://schemas.openxmlformats.org/officeDocument/2006/relationships/hyperlink" Target="https://youtu.be/-JGP1v9bxpQ" TargetMode="External"/><Relationship Id="rId3640" Type="http://schemas.openxmlformats.org/officeDocument/2006/relationships/hyperlink" Target="https://youtu.be/enssQtVVqm4" TargetMode="External"/><Relationship Id="rId364" Type="http://schemas.openxmlformats.org/officeDocument/2006/relationships/hyperlink" Target="https://youtu.be/lQlYG8hOgAs" TargetMode="External"/><Relationship Id="rId3639" Type="http://schemas.openxmlformats.org/officeDocument/2006/relationships/hyperlink" Target="https://youtu.be/f2rbrNMSXBs" TargetMode="External"/><Relationship Id="rId3638" Type="http://schemas.openxmlformats.org/officeDocument/2006/relationships/hyperlink" Target="https://youtu.be/7qiAF7gMZ2o" TargetMode="External"/><Relationship Id="rId3637" Type="http://schemas.openxmlformats.org/officeDocument/2006/relationships/hyperlink" Target="https://youtu.be/W0fArNhU5l8" TargetMode="External"/><Relationship Id="rId3636" Type="http://schemas.openxmlformats.org/officeDocument/2006/relationships/hyperlink" Target="https://youtu.be/5YsZ9__9KlA" TargetMode="External"/><Relationship Id="rId3635" Type="http://schemas.openxmlformats.org/officeDocument/2006/relationships/hyperlink" Target="https://youtu.be/IXTVju0bSdE" TargetMode="External"/><Relationship Id="rId3634" Type="http://schemas.openxmlformats.org/officeDocument/2006/relationships/hyperlink" Target="https://youtu.be/6_jR-oG1eQk" TargetMode="External"/><Relationship Id="rId3633" Type="http://schemas.openxmlformats.org/officeDocument/2006/relationships/hyperlink" Target="https://youtu.be/su4QYQdWicQ" TargetMode="External"/><Relationship Id="rId3632" Type="http://schemas.openxmlformats.org/officeDocument/2006/relationships/hyperlink" Target="https://youtu.be/68y3xl5HVmo" TargetMode="External"/><Relationship Id="rId3631" Type="http://schemas.openxmlformats.org/officeDocument/2006/relationships/hyperlink" Target="https://youtu.be/yrm0VRoUHRo" TargetMode="External"/><Relationship Id="rId3630" Type="http://schemas.openxmlformats.org/officeDocument/2006/relationships/hyperlink" Target="https://youtu.be/S_bn0aDorjQ" TargetMode="External"/><Relationship Id="rId363" Type="http://schemas.openxmlformats.org/officeDocument/2006/relationships/hyperlink" Target="https://youtu.be/chjWbQXAQPk" TargetMode="External"/><Relationship Id="rId3629" Type="http://schemas.openxmlformats.org/officeDocument/2006/relationships/hyperlink" Target="https://youtu.be/aYkqQANPQxY" TargetMode="External"/><Relationship Id="rId3628" Type="http://schemas.openxmlformats.org/officeDocument/2006/relationships/hyperlink" Target="https://youtu.be/L5-vPCmdlSQ" TargetMode="External"/><Relationship Id="rId3627" Type="http://schemas.openxmlformats.org/officeDocument/2006/relationships/hyperlink" Target="https://youtu.be/fArt6k6j70k" TargetMode="External"/><Relationship Id="rId3626" Type="http://schemas.openxmlformats.org/officeDocument/2006/relationships/hyperlink" Target="https://youtu.be/tiGsH4xmelI" TargetMode="External"/><Relationship Id="rId3625" Type="http://schemas.openxmlformats.org/officeDocument/2006/relationships/hyperlink" Target="https://youtu.be/k7jd30y6qr8" TargetMode="External"/><Relationship Id="rId3624" Type="http://schemas.openxmlformats.org/officeDocument/2006/relationships/hyperlink" Target="https://youtu.be/wlzytubpMiE" TargetMode="External"/><Relationship Id="rId3623" Type="http://schemas.openxmlformats.org/officeDocument/2006/relationships/hyperlink" Target="https://youtu.be/UDC0EEh4YeA" TargetMode="External"/><Relationship Id="rId3622" Type="http://schemas.openxmlformats.org/officeDocument/2006/relationships/hyperlink" Target="https://youtu.be/pOrzI21ZF8U" TargetMode="External"/><Relationship Id="rId3621" Type="http://schemas.openxmlformats.org/officeDocument/2006/relationships/hyperlink" Target="https://youtu.be/VaSKLKs4hk4" TargetMode="External"/><Relationship Id="rId3620" Type="http://schemas.openxmlformats.org/officeDocument/2006/relationships/hyperlink" Target="https://youtu.be/-N5A0L83C_M" TargetMode="External"/><Relationship Id="rId362" Type="http://schemas.openxmlformats.org/officeDocument/2006/relationships/hyperlink" Target="https://youtu.be/A6fCa4ReHX4" TargetMode="External"/><Relationship Id="rId3619" Type="http://schemas.openxmlformats.org/officeDocument/2006/relationships/hyperlink" Target="https://youtu.be/_0VdV4-Pbh4" TargetMode="External"/><Relationship Id="rId3618" Type="http://schemas.openxmlformats.org/officeDocument/2006/relationships/hyperlink" Target="https://youtu.be/7NJXH5EWp3M" TargetMode="External"/><Relationship Id="rId3617" Type="http://schemas.openxmlformats.org/officeDocument/2006/relationships/hyperlink" Target="https://youtu.be/uAPi0lDPI4o" TargetMode="External"/><Relationship Id="rId3616" Type="http://schemas.openxmlformats.org/officeDocument/2006/relationships/hyperlink" Target="https://youtu.be/fuFftT6ZR4k" TargetMode="External"/><Relationship Id="rId3615" Type="http://schemas.openxmlformats.org/officeDocument/2006/relationships/hyperlink" Target="https://youtu.be/x5P9mTiRQuY" TargetMode="External"/><Relationship Id="rId3614" Type="http://schemas.openxmlformats.org/officeDocument/2006/relationships/hyperlink" Target="https://youtu.be/d_ATYPb89eA" TargetMode="External"/><Relationship Id="rId3613" Type="http://schemas.openxmlformats.org/officeDocument/2006/relationships/hyperlink" Target="https://youtu.be/12vZSwQtmgo" TargetMode="External"/><Relationship Id="rId3612" Type="http://schemas.openxmlformats.org/officeDocument/2006/relationships/hyperlink" Target="https://youtu.be/veDmf1cKbmU" TargetMode="External"/><Relationship Id="rId3611" Type="http://schemas.openxmlformats.org/officeDocument/2006/relationships/hyperlink" Target="https://youtu.be/AutZQ-4KpEQ" TargetMode="External"/><Relationship Id="rId3610" Type="http://schemas.openxmlformats.org/officeDocument/2006/relationships/hyperlink" Target="https://youtu.be/KtUNUdO2_1k" TargetMode="External"/><Relationship Id="rId361" Type="http://schemas.openxmlformats.org/officeDocument/2006/relationships/hyperlink" Target="https://youtu.be/oOxKJKyTJdU" TargetMode="External"/><Relationship Id="rId3609" Type="http://schemas.openxmlformats.org/officeDocument/2006/relationships/hyperlink" Target="https://youtu.be/fNcFyRkwQYA" TargetMode="External"/><Relationship Id="rId3608" Type="http://schemas.openxmlformats.org/officeDocument/2006/relationships/hyperlink" Target="https://youtu.be/mgSCH6q9gY8" TargetMode="External"/><Relationship Id="rId3607" Type="http://schemas.openxmlformats.org/officeDocument/2006/relationships/hyperlink" Target="https://youtu.be/AiQ9_dLPhfY" TargetMode="External"/><Relationship Id="rId3606" Type="http://schemas.openxmlformats.org/officeDocument/2006/relationships/hyperlink" Target="https://youtu.be/sItKDSf0xl8" TargetMode="External"/><Relationship Id="rId3605" Type="http://schemas.openxmlformats.org/officeDocument/2006/relationships/hyperlink" Target="https://youtu.be/Mj52CgKHzHQ" TargetMode="External"/><Relationship Id="rId3604" Type="http://schemas.openxmlformats.org/officeDocument/2006/relationships/hyperlink" Target="https://youtu.be/5bNscJamkWk" TargetMode="External"/><Relationship Id="rId3603" Type="http://schemas.openxmlformats.org/officeDocument/2006/relationships/hyperlink" Target="https://youtu.be/Ij8b-RSlUyc" TargetMode="External"/><Relationship Id="rId3602" Type="http://schemas.openxmlformats.org/officeDocument/2006/relationships/hyperlink" Target="https://youtu.be/2p2Kt4L3M0Q" TargetMode="External"/><Relationship Id="rId3601" Type="http://schemas.openxmlformats.org/officeDocument/2006/relationships/hyperlink" Target="https://youtu.be/KRnPy6aU29o" TargetMode="External"/><Relationship Id="rId3600" Type="http://schemas.openxmlformats.org/officeDocument/2006/relationships/hyperlink" Target="https://youtu.be/63vhQOnZ834" TargetMode="External"/><Relationship Id="rId360" Type="http://schemas.openxmlformats.org/officeDocument/2006/relationships/hyperlink" Target="https://youtu.be/jUvMkgRX9rg" TargetMode="External"/><Relationship Id="rId36" Type="http://schemas.openxmlformats.org/officeDocument/2006/relationships/hyperlink" Target="https://youtu.be/m3x_XD6WVwk" TargetMode="External"/><Relationship Id="rId3599" Type="http://schemas.openxmlformats.org/officeDocument/2006/relationships/hyperlink" Target="https://youtu.be/_w4dVPzvlMA" TargetMode="External"/><Relationship Id="rId3598" Type="http://schemas.openxmlformats.org/officeDocument/2006/relationships/hyperlink" Target="https://youtu.be/vXOaUiDvEZw" TargetMode="External"/><Relationship Id="rId3597" Type="http://schemas.openxmlformats.org/officeDocument/2006/relationships/hyperlink" Target="https://youtu.be/Q0yYSnK1yIk" TargetMode="External"/><Relationship Id="rId3596" Type="http://schemas.openxmlformats.org/officeDocument/2006/relationships/hyperlink" Target="https://youtu.be/eWf0Kh9kYLE" TargetMode="External"/><Relationship Id="rId3595" Type="http://schemas.openxmlformats.org/officeDocument/2006/relationships/hyperlink" Target="https://youtu.be/e0_wwWFTOE0" TargetMode="External"/><Relationship Id="rId3594" Type="http://schemas.openxmlformats.org/officeDocument/2006/relationships/hyperlink" Target="https://youtu.be/vfq5yy7BhsM" TargetMode="External"/><Relationship Id="rId3593" Type="http://schemas.openxmlformats.org/officeDocument/2006/relationships/hyperlink" Target="https://youtu.be/8sDc00IK7mA" TargetMode="External"/><Relationship Id="rId3592" Type="http://schemas.openxmlformats.org/officeDocument/2006/relationships/hyperlink" Target="https://youtu.be/lwWNtd2moXs" TargetMode="External"/><Relationship Id="rId3591" Type="http://schemas.openxmlformats.org/officeDocument/2006/relationships/hyperlink" Target="https://youtu.be/lqt9_9np4-8" TargetMode="External"/><Relationship Id="rId3590" Type="http://schemas.openxmlformats.org/officeDocument/2006/relationships/hyperlink" Target="https://youtu.be/rpyfE_FB2hY" TargetMode="External"/><Relationship Id="rId359" Type="http://schemas.openxmlformats.org/officeDocument/2006/relationships/hyperlink" Target="https://youtu.be/iCyjTPLWbiU" TargetMode="External"/><Relationship Id="rId3589" Type="http://schemas.openxmlformats.org/officeDocument/2006/relationships/hyperlink" Target="https://youtu.be/mHqmdWFWMQs" TargetMode="External"/><Relationship Id="rId3588" Type="http://schemas.openxmlformats.org/officeDocument/2006/relationships/hyperlink" Target="https://youtu.be/yJx_8dGLhJA" TargetMode="External"/><Relationship Id="rId3587" Type="http://schemas.openxmlformats.org/officeDocument/2006/relationships/hyperlink" Target="https://youtu.be/_7cDEwIdOBA" TargetMode="External"/><Relationship Id="rId3586" Type="http://schemas.openxmlformats.org/officeDocument/2006/relationships/hyperlink" Target="https://youtu.be/7UnweHNYMR4" TargetMode="External"/><Relationship Id="rId3585" Type="http://schemas.openxmlformats.org/officeDocument/2006/relationships/hyperlink" Target="https://youtu.be/lg3sMZPO7FA" TargetMode="External"/><Relationship Id="rId3584" Type="http://schemas.openxmlformats.org/officeDocument/2006/relationships/hyperlink" Target="https://youtu.be/861EPmdpmRU" TargetMode="External"/><Relationship Id="rId3583" Type="http://schemas.openxmlformats.org/officeDocument/2006/relationships/hyperlink" Target="https://youtu.be/0ue85np82C8" TargetMode="External"/><Relationship Id="rId3582" Type="http://schemas.openxmlformats.org/officeDocument/2006/relationships/hyperlink" Target="https://youtu.be/DYkDzPAhC3Y" TargetMode="External"/><Relationship Id="rId3581" Type="http://schemas.openxmlformats.org/officeDocument/2006/relationships/hyperlink" Target="https://youtu.be/Wd1xr7XvYE8" TargetMode="External"/><Relationship Id="rId3580" Type="http://schemas.openxmlformats.org/officeDocument/2006/relationships/hyperlink" Target="https://youtu.be/rEPK4Yw5Ics" TargetMode="External"/><Relationship Id="rId358" Type="http://schemas.openxmlformats.org/officeDocument/2006/relationships/hyperlink" Target="https://youtu.be/y_sAQdGprJM" TargetMode="External"/><Relationship Id="rId3579" Type="http://schemas.openxmlformats.org/officeDocument/2006/relationships/hyperlink" Target="https://youtu.be/9X92RvFxt8c" TargetMode="External"/><Relationship Id="rId3578" Type="http://schemas.openxmlformats.org/officeDocument/2006/relationships/hyperlink" Target="https://youtu.be/rLZoTAY3MDc" TargetMode="External"/><Relationship Id="rId3577" Type="http://schemas.openxmlformats.org/officeDocument/2006/relationships/hyperlink" Target="https://youtu.be/_tZX2HUG_qs" TargetMode="External"/><Relationship Id="rId3576" Type="http://schemas.openxmlformats.org/officeDocument/2006/relationships/hyperlink" Target="https://youtu.be/3AXwJ_umiFo" TargetMode="External"/><Relationship Id="rId3575" Type="http://schemas.openxmlformats.org/officeDocument/2006/relationships/hyperlink" Target="https://youtu.be/GcJGof6sIgE" TargetMode="External"/><Relationship Id="rId3574" Type="http://schemas.openxmlformats.org/officeDocument/2006/relationships/hyperlink" Target="https://youtu.be/5risLyeWcic" TargetMode="External"/><Relationship Id="rId3573" Type="http://schemas.openxmlformats.org/officeDocument/2006/relationships/hyperlink" Target="https://youtu.be/xNYFlxLgH04" TargetMode="External"/><Relationship Id="rId3572" Type="http://schemas.openxmlformats.org/officeDocument/2006/relationships/hyperlink" Target="https://youtu.be/kmZFbxt5WBQ" TargetMode="External"/><Relationship Id="rId3571" Type="http://schemas.openxmlformats.org/officeDocument/2006/relationships/hyperlink" Target="https://youtu.be/wlyuwC8CMxI" TargetMode="External"/><Relationship Id="rId3570" Type="http://schemas.openxmlformats.org/officeDocument/2006/relationships/hyperlink" Target="https://youtu.be/e16eXXAoisg" TargetMode="External"/><Relationship Id="rId357" Type="http://schemas.openxmlformats.org/officeDocument/2006/relationships/hyperlink" Target="https://youtu.be/52x2GMguPao" TargetMode="External"/><Relationship Id="rId3569" Type="http://schemas.openxmlformats.org/officeDocument/2006/relationships/hyperlink" Target="https://youtu.be/Cziu4wMu880" TargetMode="External"/><Relationship Id="rId3568" Type="http://schemas.openxmlformats.org/officeDocument/2006/relationships/hyperlink" Target="https://youtu.be/QUJw22gHmYM" TargetMode="External"/><Relationship Id="rId3567" Type="http://schemas.openxmlformats.org/officeDocument/2006/relationships/hyperlink" Target="https://youtu.be/DwpObdVfSa8" TargetMode="External"/><Relationship Id="rId3566" Type="http://schemas.openxmlformats.org/officeDocument/2006/relationships/hyperlink" Target="https://youtu.be/VxcRkmi0kso" TargetMode="External"/><Relationship Id="rId3565" Type="http://schemas.openxmlformats.org/officeDocument/2006/relationships/hyperlink" Target="https://youtu.be/Y6cCePwe7y0" TargetMode="External"/><Relationship Id="rId3564" Type="http://schemas.openxmlformats.org/officeDocument/2006/relationships/hyperlink" Target="https://youtu.be/hxPbnFc7iU8" TargetMode="External"/><Relationship Id="rId3563" Type="http://schemas.openxmlformats.org/officeDocument/2006/relationships/hyperlink" Target="https://youtu.be/FepUv3vmIM8" TargetMode="External"/><Relationship Id="rId3562" Type="http://schemas.openxmlformats.org/officeDocument/2006/relationships/hyperlink" Target="https://youtu.be/na0scpoRBO0" TargetMode="External"/><Relationship Id="rId3561" Type="http://schemas.openxmlformats.org/officeDocument/2006/relationships/hyperlink" Target="https://youtu.be/q84fSH9g5dk" TargetMode="External"/><Relationship Id="rId3560" Type="http://schemas.openxmlformats.org/officeDocument/2006/relationships/hyperlink" Target="https://youtu.be/1J9H3niSXj8" TargetMode="External"/><Relationship Id="rId356" Type="http://schemas.openxmlformats.org/officeDocument/2006/relationships/hyperlink" Target="https://youtu.be/i0OEF2cRa3E" TargetMode="External"/><Relationship Id="rId3559" Type="http://schemas.openxmlformats.org/officeDocument/2006/relationships/hyperlink" Target="https://youtu.be/8il6rx-9a3c" TargetMode="External"/><Relationship Id="rId3558" Type="http://schemas.openxmlformats.org/officeDocument/2006/relationships/hyperlink" Target="https://youtu.be/5Y2Axi9ETxM" TargetMode="External"/><Relationship Id="rId3557" Type="http://schemas.openxmlformats.org/officeDocument/2006/relationships/hyperlink" Target="https://youtu.be/1g_PjqpL9Z4" TargetMode="External"/><Relationship Id="rId3556" Type="http://schemas.openxmlformats.org/officeDocument/2006/relationships/hyperlink" Target="https://youtu.be/bM9zGz0EOlw" TargetMode="External"/><Relationship Id="rId3555" Type="http://schemas.openxmlformats.org/officeDocument/2006/relationships/hyperlink" Target="https://youtu.be/a3obOb8Vn8M" TargetMode="External"/><Relationship Id="rId3554" Type="http://schemas.openxmlformats.org/officeDocument/2006/relationships/hyperlink" Target="https://youtu.be/0hiu7IaIWds" TargetMode="External"/><Relationship Id="rId3553" Type="http://schemas.openxmlformats.org/officeDocument/2006/relationships/hyperlink" Target="https://youtu.be/95swrZs1HCM" TargetMode="External"/><Relationship Id="rId3552" Type="http://schemas.openxmlformats.org/officeDocument/2006/relationships/hyperlink" Target="https://youtu.be/c6kHaly_nsE" TargetMode="External"/><Relationship Id="rId3551" Type="http://schemas.openxmlformats.org/officeDocument/2006/relationships/hyperlink" Target="https://youtu.be/-jWsAZwA9ME" TargetMode="External"/><Relationship Id="rId3550" Type="http://schemas.openxmlformats.org/officeDocument/2006/relationships/hyperlink" Target="https://youtu.be/1HDVqxKqt_Q" TargetMode="External"/><Relationship Id="rId355" Type="http://schemas.openxmlformats.org/officeDocument/2006/relationships/hyperlink" Target="https://youtu.be/Ku9av0g7v9U" TargetMode="External"/><Relationship Id="rId3549" Type="http://schemas.openxmlformats.org/officeDocument/2006/relationships/hyperlink" Target="https://youtu.be/Rnh7CehuaGM" TargetMode="External"/><Relationship Id="rId3548" Type="http://schemas.openxmlformats.org/officeDocument/2006/relationships/hyperlink" Target="https://youtu.be/uGyNcwkZ6HU" TargetMode="External"/><Relationship Id="rId3547" Type="http://schemas.openxmlformats.org/officeDocument/2006/relationships/hyperlink" Target="https://youtu.be/T7wC2mHStro" TargetMode="External"/><Relationship Id="rId3546" Type="http://schemas.openxmlformats.org/officeDocument/2006/relationships/hyperlink" Target="https://youtu.be/6mzcD_zupbc" TargetMode="External"/><Relationship Id="rId3545" Type="http://schemas.openxmlformats.org/officeDocument/2006/relationships/hyperlink" Target="https://youtu.be/zpzAVDBNjko" TargetMode="External"/><Relationship Id="rId3544" Type="http://schemas.openxmlformats.org/officeDocument/2006/relationships/hyperlink" Target="https://youtu.be/jlgIHKenUBw" TargetMode="External"/><Relationship Id="rId3543" Type="http://schemas.openxmlformats.org/officeDocument/2006/relationships/hyperlink" Target="https://youtu.be/8scBWZ_0H50" TargetMode="External"/><Relationship Id="rId3542" Type="http://schemas.openxmlformats.org/officeDocument/2006/relationships/hyperlink" Target="https://youtu.be/t1yEogtoKUU" TargetMode="External"/><Relationship Id="rId3541" Type="http://schemas.openxmlformats.org/officeDocument/2006/relationships/hyperlink" Target="https://youtu.be/zWZEHQ8WFdA" TargetMode="External"/><Relationship Id="rId3540" Type="http://schemas.openxmlformats.org/officeDocument/2006/relationships/hyperlink" Target="https://youtu.be/JhY_I4kwYv0" TargetMode="External"/><Relationship Id="rId354" Type="http://schemas.openxmlformats.org/officeDocument/2006/relationships/hyperlink" Target="https://youtu.be/y475KP7RUro" TargetMode="External"/><Relationship Id="rId3539" Type="http://schemas.openxmlformats.org/officeDocument/2006/relationships/hyperlink" Target="https://youtu.be/Hj_8L_qcEPI" TargetMode="External"/><Relationship Id="rId3538" Type="http://schemas.openxmlformats.org/officeDocument/2006/relationships/hyperlink" Target="https://youtu.be/AkuWk57RRfI" TargetMode="External"/><Relationship Id="rId3537" Type="http://schemas.openxmlformats.org/officeDocument/2006/relationships/hyperlink" Target="https://youtu.be/LHQ7pm1xr3A" TargetMode="External"/><Relationship Id="rId3536" Type="http://schemas.openxmlformats.org/officeDocument/2006/relationships/hyperlink" Target="https://youtu.be/fHZDjW6_ark" TargetMode="External"/><Relationship Id="rId3535" Type="http://schemas.openxmlformats.org/officeDocument/2006/relationships/hyperlink" Target="https://youtu.be/EyBBPy9To6c" TargetMode="External"/><Relationship Id="rId3534" Type="http://schemas.openxmlformats.org/officeDocument/2006/relationships/hyperlink" Target="https://youtu.be/J2fMesERgDc" TargetMode="External"/><Relationship Id="rId3533" Type="http://schemas.openxmlformats.org/officeDocument/2006/relationships/hyperlink" Target="https://youtu.be/nphbNjIPpH8" TargetMode="External"/><Relationship Id="rId3532" Type="http://schemas.openxmlformats.org/officeDocument/2006/relationships/hyperlink" Target="https://youtu.be/gHkxdjVAmUU" TargetMode="External"/><Relationship Id="rId3531" Type="http://schemas.openxmlformats.org/officeDocument/2006/relationships/hyperlink" Target="https://youtu.be/XdUPMk7H4R0" TargetMode="External"/><Relationship Id="rId3530" Type="http://schemas.openxmlformats.org/officeDocument/2006/relationships/hyperlink" Target="https://youtu.be/t1zacVNO8Ng" TargetMode="External"/><Relationship Id="rId353" Type="http://schemas.openxmlformats.org/officeDocument/2006/relationships/hyperlink" Target="https://youtu.be/gu4o5KgnAQM" TargetMode="External"/><Relationship Id="rId3529" Type="http://schemas.openxmlformats.org/officeDocument/2006/relationships/hyperlink" Target="https://youtu.be/v9rjBbZfLuY" TargetMode="External"/><Relationship Id="rId3528" Type="http://schemas.openxmlformats.org/officeDocument/2006/relationships/hyperlink" Target="https://youtu.be/wiQo4siQXyo" TargetMode="External"/><Relationship Id="rId3527" Type="http://schemas.openxmlformats.org/officeDocument/2006/relationships/hyperlink" Target="https://youtu.be/tcQ2xjLB2jA" TargetMode="External"/><Relationship Id="rId3526" Type="http://schemas.openxmlformats.org/officeDocument/2006/relationships/hyperlink" Target="https://youtu.be/iniGwVNRrnU" TargetMode="External"/><Relationship Id="rId3525" Type="http://schemas.openxmlformats.org/officeDocument/2006/relationships/hyperlink" Target="https://youtu.be/hxiB7PByPHQ" TargetMode="External"/><Relationship Id="rId3524" Type="http://schemas.openxmlformats.org/officeDocument/2006/relationships/hyperlink" Target="https://youtu.be/56Wrog2sJS4" TargetMode="External"/><Relationship Id="rId3523" Type="http://schemas.openxmlformats.org/officeDocument/2006/relationships/hyperlink" Target="https://youtu.be/KZVeH08uGGU" TargetMode="External"/><Relationship Id="rId3522" Type="http://schemas.openxmlformats.org/officeDocument/2006/relationships/hyperlink" Target="https://youtu.be/oO9k9JbHFPs" TargetMode="External"/><Relationship Id="rId3521" Type="http://schemas.openxmlformats.org/officeDocument/2006/relationships/hyperlink" Target="https://youtu.be/W_OOiXZxdWs" TargetMode="External"/><Relationship Id="rId3520" Type="http://schemas.openxmlformats.org/officeDocument/2006/relationships/hyperlink" Target="https://youtu.be/JgTdot1Fes4" TargetMode="External"/><Relationship Id="rId352" Type="http://schemas.openxmlformats.org/officeDocument/2006/relationships/hyperlink" Target="https://youtu.be/wL-11DBVB4g" TargetMode="External"/><Relationship Id="rId3519" Type="http://schemas.openxmlformats.org/officeDocument/2006/relationships/hyperlink" Target="https://youtu.be/zff7_8h-22w" TargetMode="External"/><Relationship Id="rId3518" Type="http://schemas.openxmlformats.org/officeDocument/2006/relationships/hyperlink" Target="https://youtu.be/cd--3KgoUzo" TargetMode="External"/><Relationship Id="rId3517" Type="http://schemas.openxmlformats.org/officeDocument/2006/relationships/hyperlink" Target="https://youtu.be/9C_ZO26hnW0" TargetMode="External"/><Relationship Id="rId3516" Type="http://schemas.openxmlformats.org/officeDocument/2006/relationships/hyperlink" Target="https://youtu.be/Tw029AAzjR4" TargetMode="External"/><Relationship Id="rId3515" Type="http://schemas.openxmlformats.org/officeDocument/2006/relationships/hyperlink" Target="https://youtu.be/GdSbweadVi0" TargetMode="External"/><Relationship Id="rId3514" Type="http://schemas.openxmlformats.org/officeDocument/2006/relationships/hyperlink" Target="https://youtu.be/IxeaUK5yAgU" TargetMode="External"/><Relationship Id="rId3513" Type="http://schemas.openxmlformats.org/officeDocument/2006/relationships/hyperlink" Target="https://youtu.be/TuBWInVYoFs" TargetMode="External"/><Relationship Id="rId3512" Type="http://schemas.openxmlformats.org/officeDocument/2006/relationships/hyperlink" Target="https://youtu.be/Wa3qupfqu6M" TargetMode="External"/><Relationship Id="rId3511" Type="http://schemas.openxmlformats.org/officeDocument/2006/relationships/hyperlink" Target="https://youtu.be/8X0axpmSMvg" TargetMode="External"/><Relationship Id="rId3510" Type="http://schemas.openxmlformats.org/officeDocument/2006/relationships/hyperlink" Target="https://youtu.be/1IUK_LhyUu4" TargetMode="External"/><Relationship Id="rId351" Type="http://schemas.openxmlformats.org/officeDocument/2006/relationships/hyperlink" Target="https://youtu.be/on4uJ8C9ydg" TargetMode="External"/><Relationship Id="rId3509" Type="http://schemas.openxmlformats.org/officeDocument/2006/relationships/hyperlink" Target="https://youtu.be/o1__kyee0qM" TargetMode="External"/><Relationship Id="rId3508" Type="http://schemas.openxmlformats.org/officeDocument/2006/relationships/hyperlink" Target="https://youtu.be/C4vncl39wuw" TargetMode="External"/><Relationship Id="rId3507" Type="http://schemas.openxmlformats.org/officeDocument/2006/relationships/hyperlink" Target="https://youtu.be/WN0dIloI2yA" TargetMode="External"/><Relationship Id="rId3506" Type="http://schemas.openxmlformats.org/officeDocument/2006/relationships/hyperlink" Target="https://youtu.be/ewLLBalvehg" TargetMode="External"/><Relationship Id="rId3505" Type="http://schemas.openxmlformats.org/officeDocument/2006/relationships/hyperlink" Target="https://youtu.be/_hR7dcPWW2c" TargetMode="External"/><Relationship Id="rId3504" Type="http://schemas.openxmlformats.org/officeDocument/2006/relationships/hyperlink" Target="https://youtu.be/rELAhnWG98U" TargetMode="External"/><Relationship Id="rId3503" Type="http://schemas.openxmlformats.org/officeDocument/2006/relationships/hyperlink" Target="https://youtu.be/313FjEI1kvQ" TargetMode="External"/><Relationship Id="rId3502" Type="http://schemas.openxmlformats.org/officeDocument/2006/relationships/hyperlink" Target="https://youtu.be/rU2IrjRidvc" TargetMode="External"/><Relationship Id="rId3501" Type="http://schemas.openxmlformats.org/officeDocument/2006/relationships/hyperlink" Target="https://youtu.be/17Lt0qCxtvs" TargetMode="External"/><Relationship Id="rId3500" Type="http://schemas.openxmlformats.org/officeDocument/2006/relationships/hyperlink" Target="https://youtu.be/sI8ldDyr3G0" TargetMode="External"/><Relationship Id="rId350" Type="http://schemas.openxmlformats.org/officeDocument/2006/relationships/hyperlink" Target="https://youtu.be/tIVtG4jsqEM" TargetMode="External"/><Relationship Id="rId35" Type="http://schemas.openxmlformats.org/officeDocument/2006/relationships/hyperlink" Target="https://youtu.be/EbZF7wk4x-Q" TargetMode="External"/><Relationship Id="rId3499" Type="http://schemas.openxmlformats.org/officeDocument/2006/relationships/hyperlink" Target="https://youtu.be/1nk3QB3g7dk" TargetMode="External"/><Relationship Id="rId3498" Type="http://schemas.openxmlformats.org/officeDocument/2006/relationships/hyperlink" Target="https://youtu.be/LIyANs-h__Q" TargetMode="External"/><Relationship Id="rId3497" Type="http://schemas.openxmlformats.org/officeDocument/2006/relationships/hyperlink" Target="https://youtu.be/ZPA4OEsUCPk" TargetMode="External"/><Relationship Id="rId3496" Type="http://schemas.openxmlformats.org/officeDocument/2006/relationships/hyperlink" Target="https://youtu.be/VEDLASr3QN0" TargetMode="External"/><Relationship Id="rId3495" Type="http://schemas.openxmlformats.org/officeDocument/2006/relationships/hyperlink" Target="https://youtu.be/EPzL4latdmk" TargetMode="External"/><Relationship Id="rId3494" Type="http://schemas.openxmlformats.org/officeDocument/2006/relationships/hyperlink" Target="https://youtu.be/NK-szgxCqx0" TargetMode="External"/><Relationship Id="rId3493" Type="http://schemas.openxmlformats.org/officeDocument/2006/relationships/hyperlink" Target="https://youtu.be/BmWlftaQFP8" TargetMode="External"/><Relationship Id="rId3492" Type="http://schemas.openxmlformats.org/officeDocument/2006/relationships/hyperlink" Target="https://youtu.be/2kVjsS0O22U" TargetMode="External"/><Relationship Id="rId3491" Type="http://schemas.openxmlformats.org/officeDocument/2006/relationships/hyperlink" Target="https://youtu.be/Kpvrr11rF3U" TargetMode="External"/><Relationship Id="rId3490" Type="http://schemas.openxmlformats.org/officeDocument/2006/relationships/hyperlink" Target="https://youtu.be/xa-VwQczPrE" TargetMode="External"/><Relationship Id="rId349" Type="http://schemas.openxmlformats.org/officeDocument/2006/relationships/hyperlink" Target="https://youtu.be/oewIeat50EM" TargetMode="External"/><Relationship Id="rId3489" Type="http://schemas.openxmlformats.org/officeDocument/2006/relationships/hyperlink" Target="https://youtu.be/9MYHb2u6yGc" TargetMode="External"/><Relationship Id="rId3488" Type="http://schemas.openxmlformats.org/officeDocument/2006/relationships/hyperlink" Target="https://youtu.be/5AlBhxYKRLw" TargetMode="External"/><Relationship Id="rId3487" Type="http://schemas.openxmlformats.org/officeDocument/2006/relationships/hyperlink" Target="https://youtu.be/Kl1X4lcl9c0" TargetMode="External"/><Relationship Id="rId3486" Type="http://schemas.openxmlformats.org/officeDocument/2006/relationships/hyperlink" Target="https://youtu.be/qFWZERMNC1k" TargetMode="External"/><Relationship Id="rId3485" Type="http://schemas.openxmlformats.org/officeDocument/2006/relationships/hyperlink" Target="https://youtu.be/f9TLiR0LbGY" TargetMode="External"/><Relationship Id="rId3484" Type="http://schemas.openxmlformats.org/officeDocument/2006/relationships/hyperlink" Target="https://youtu.be/ofii_P7XS_E" TargetMode="External"/><Relationship Id="rId3483" Type="http://schemas.openxmlformats.org/officeDocument/2006/relationships/hyperlink" Target="https://youtu.be/XNFDY-DcXDs" TargetMode="External"/><Relationship Id="rId3482" Type="http://schemas.openxmlformats.org/officeDocument/2006/relationships/hyperlink" Target="https://youtu.be/g5Cz7wpidPg" TargetMode="External"/><Relationship Id="rId3481" Type="http://schemas.openxmlformats.org/officeDocument/2006/relationships/hyperlink" Target="https://youtu.be/5AAGiMPMwqI" TargetMode="External"/><Relationship Id="rId3480" Type="http://schemas.openxmlformats.org/officeDocument/2006/relationships/hyperlink" Target="https://youtu.be/FN9yr-pBP4M" TargetMode="External"/><Relationship Id="rId348" Type="http://schemas.openxmlformats.org/officeDocument/2006/relationships/hyperlink" Target="https://youtu.be/OIRX9sjTcgk" TargetMode="External"/><Relationship Id="rId3479" Type="http://schemas.openxmlformats.org/officeDocument/2006/relationships/hyperlink" Target="https://youtu.be/mitoR2I7P_o" TargetMode="External"/><Relationship Id="rId3478" Type="http://schemas.openxmlformats.org/officeDocument/2006/relationships/hyperlink" Target="https://youtu.be/Ji-jSN402Qs" TargetMode="External"/><Relationship Id="rId3477" Type="http://schemas.openxmlformats.org/officeDocument/2006/relationships/hyperlink" Target="https://youtu.be/ApHRaGTGgwI" TargetMode="External"/><Relationship Id="rId3476" Type="http://schemas.openxmlformats.org/officeDocument/2006/relationships/hyperlink" Target="https://youtu.be/SKDsLItyoWI" TargetMode="External"/><Relationship Id="rId3475" Type="http://schemas.openxmlformats.org/officeDocument/2006/relationships/hyperlink" Target="https://youtu.be/gsn0rAMpFlI" TargetMode="External"/><Relationship Id="rId3474" Type="http://schemas.openxmlformats.org/officeDocument/2006/relationships/hyperlink" Target="https://youtu.be/xElnWh4drB4" TargetMode="External"/><Relationship Id="rId3473" Type="http://schemas.openxmlformats.org/officeDocument/2006/relationships/hyperlink" Target="https://youtu.be/4HVWIlHzqgI" TargetMode="External"/><Relationship Id="rId3472" Type="http://schemas.openxmlformats.org/officeDocument/2006/relationships/hyperlink" Target="https://youtu.be/PNaW0kSRots" TargetMode="External"/><Relationship Id="rId3471" Type="http://schemas.openxmlformats.org/officeDocument/2006/relationships/hyperlink" Target="https://youtu.be/8jl8qmQ1Fzw" TargetMode="External"/><Relationship Id="rId3470" Type="http://schemas.openxmlformats.org/officeDocument/2006/relationships/hyperlink" Target="https://youtu.be/2tJe8pKX4aY" TargetMode="External"/><Relationship Id="rId347" Type="http://schemas.openxmlformats.org/officeDocument/2006/relationships/hyperlink" Target="https://youtu.be/0eYWLIc2Vjk" TargetMode="External"/><Relationship Id="rId3469" Type="http://schemas.openxmlformats.org/officeDocument/2006/relationships/hyperlink" Target="https://youtu.be/b8AEuJpuFwk" TargetMode="External"/><Relationship Id="rId3468" Type="http://schemas.openxmlformats.org/officeDocument/2006/relationships/hyperlink" Target="https://youtu.be/71y8fsYTnpI" TargetMode="External"/><Relationship Id="rId3467" Type="http://schemas.openxmlformats.org/officeDocument/2006/relationships/hyperlink" Target="https://youtu.be/ZR55a8msWsw" TargetMode="External"/><Relationship Id="rId3466" Type="http://schemas.openxmlformats.org/officeDocument/2006/relationships/hyperlink" Target="https://youtu.be/yMFlSAlBDRc" TargetMode="External"/><Relationship Id="rId3465" Type="http://schemas.openxmlformats.org/officeDocument/2006/relationships/hyperlink" Target="https://youtu.be/T5eJYwktSmE" TargetMode="External"/><Relationship Id="rId3464" Type="http://schemas.openxmlformats.org/officeDocument/2006/relationships/hyperlink" Target="https://youtu.be/U54RMrBK9vU" TargetMode="External"/><Relationship Id="rId3463" Type="http://schemas.openxmlformats.org/officeDocument/2006/relationships/hyperlink" Target="https://youtu.be/2bHzaDU93sc" TargetMode="External"/><Relationship Id="rId3462" Type="http://schemas.openxmlformats.org/officeDocument/2006/relationships/hyperlink" Target="https://youtu.be/Q4dG9vSyUFQ" TargetMode="External"/><Relationship Id="rId3461" Type="http://schemas.openxmlformats.org/officeDocument/2006/relationships/hyperlink" Target="https://youtu.be/saOezFOhmY4" TargetMode="External"/><Relationship Id="rId3460" Type="http://schemas.openxmlformats.org/officeDocument/2006/relationships/hyperlink" Target="https://youtu.be/YxImeOomkUk" TargetMode="External"/><Relationship Id="rId346" Type="http://schemas.openxmlformats.org/officeDocument/2006/relationships/hyperlink" Target="https://youtu.be/CAy22HV1D0M" TargetMode="External"/><Relationship Id="rId3459" Type="http://schemas.openxmlformats.org/officeDocument/2006/relationships/hyperlink" Target="https://youtu.be/oES5TmudhX8" TargetMode="External"/><Relationship Id="rId3458" Type="http://schemas.openxmlformats.org/officeDocument/2006/relationships/hyperlink" Target="https://youtu.be/gsnVQQYAra4" TargetMode="External"/><Relationship Id="rId3457" Type="http://schemas.openxmlformats.org/officeDocument/2006/relationships/hyperlink" Target="https://youtu.be/PLmc6CJQwLM" TargetMode="External"/><Relationship Id="rId3456" Type="http://schemas.openxmlformats.org/officeDocument/2006/relationships/hyperlink" Target="https://youtu.be/ioDZ4Eb5lAc" TargetMode="External"/><Relationship Id="rId3455" Type="http://schemas.openxmlformats.org/officeDocument/2006/relationships/hyperlink" Target="https://youtu.be/RycINq8cgAw" TargetMode="External"/><Relationship Id="rId3454" Type="http://schemas.openxmlformats.org/officeDocument/2006/relationships/hyperlink" Target="https://youtu.be/ERoS9cIjo_Y" TargetMode="External"/><Relationship Id="rId3453" Type="http://schemas.openxmlformats.org/officeDocument/2006/relationships/hyperlink" Target="https://youtu.be/QmIg4nWuJUY" TargetMode="External"/><Relationship Id="rId3452" Type="http://schemas.openxmlformats.org/officeDocument/2006/relationships/hyperlink" Target="https://youtu.be/AnM1jSW7YEE" TargetMode="External"/><Relationship Id="rId3451" Type="http://schemas.openxmlformats.org/officeDocument/2006/relationships/hyperlink" Target="https://youtu.be/A9uBPwP7DQc" TargetMode="External"/><Relationship Id="rId3450" Type="http://schemas.openxmlformats.org/officeDocument/2006/relationships/hyperlink" Target="https://youtu.be/_e2TCdbbo-I" TargetMode="External"/><Relationship Id="rId345" Type="http://schemas.openxmlformats.org/officeDocument/2006/relationships/hyperlink" Target="https://youtu.be/-3xd5WjUtgc" TargetMode="External"/><Relationship Id="rId3449" Type="http://schemas.openxmlformats.org/officeDocument/2006/relationships/hyperlink" Target="https://youtu.be/J5y4qF3MgzY" TargetMode="External"/><Relationship Id="rId3448" Type="http://schemas.openxmlformats.org/officeDocument/2006/relationships/hyperlink" Target="https://youtu.be/el3-gLxFXjI" TargetMode="External"/><Relationship Id="rId3447" Type="http://schemas.openxmlformats.org/officeDocument/2006/relationships/hyperlink" Target="https://youtu.be/02DB0z6Eino" TargetMode="External"/><Relationship Id="rId3446" Type="http://schemas.openxmlformats.org/officeDocument/2006/relationships/hyperlink" Target="https://youtu.be/0n5p-wwgQM4" TargetMode="External"/><Relationship Id="rId3445" Type="http://schemas.openxmlformats.org/officeDocument/2006/relationships/hyperlink" Target="https://youtu.be/jL6aLbt7tpQ" TargetMode="External"/><Relationship Id="rId3444" Type="http://schemas.openxmlformats.org/officeDocument/2006/relationships/hyperlink" Target="https://youtu.be/sdUUoUqn484" TargetMode="External"/><Relationship Id="rId3443" Type="http://schemas.openxmlformats.org/officeDocument/2006/relationships/hyperlink" Target="https://youtu.be/ILAw6cjDCxQ" TargetMode="External"/><Relationship Id="rId3442" Type="http://schemas.openxmlformats.org/officeDocument/2006/relationships/hyperlink" Target="https://youtu.be/p1bpO9zAekk" TargetMode="External"/><Relationship Id="rId3441" Type="http://schemas.openxmlformats.org/officeDocument/2006/relationships/hyperlink" Target="https://youtu.be/LNgJnakv8WU" TargetMode="External"/><Relationship Id="rId3440" Type="http://schemas.openxmlformats.org/officeDocument/2006/relationships/hyperlink" Target="https://youtu.be/UJRN5wWPlJc" TargetMode="External"/><Relationship Id="rId344" Type="http://schemas.openxmlformats.org/officeDocument/2006/relationships/hyperlink" Target="https://youtu.be/9RMqi-163hE" TargetMode="External"/><Relationship Id="rId3439" Type="http://schemas.openxmlformats.org/officeDocument/2006/relationships/hyperlink" Target="https://youtu.be/8SjOMacHxcM" TargetMode="External"/><Relationship Id="rId3438" Type="http://schemas.openxmlformats.org/officeDocument/2006/relationships/hyperlink" Target="https://youtu.be/QuaIlMfB0TY" TargetMode="External"/><Relationship Id="rId3437" Type="http://schemas.openxmlformats.org/officeDocument/2006/relationships/hyperlink" Target="https://youtu.be/Ti0T6A2FZf4" TargetMode="External"/><Relationship Id="rId3436" Type="http://schemas.openxmlformats.org/officeDocument/2006/relationships/hyperlink" Target="https://youtu.be/JCX6cF_quDQ" TargetMode="External"/><Relationship Id="rId3435" Type="http://schemas.openxmlformats.org/officeDocument/2006/relationships/hyperlink" Target="https://youtu.be/eyWbZja2yaY" TargetMode="External"/><Relationship Id="rId3434" Type="http://schemas.openxmlformats.org/officeDocument/2006/relationships/hyperlink" Target="https://youtu.be/yRqUPjl3tTQ" TargetMode="External"/><Relationship Id="rId3433" Type="http://schemas.openxmlformats.org/officeDocument/2006/relationships/hyperlink" Target="https://youtu.be/hfOKKezrYPU" TargetMode="External"/><Relationship Id="rId3432" Type="http://schemas.openxmlformats.org/officeDocument/2006/relationships/hyperlink" Target="https://youtu.be/l5Qi9LWsuis" TargetMode="External"/><Relationship Id="rId3431" Type="http://schemas.openxmlformats.org/officeDocument/2006/relationships/hyperlink" Target="https://youtu.be/z9CEgeNnKnc" TargetMode="External"/><Relationship Id="rId3430" Type="http://schemas.openxmlformats.org/officeDocument/2006/relationships/hyperlink" Target="https://youtu.be/HxSOQUqvZAk" TargetMode="External"/><Relationship Id="rId343" Type="http://schemas.openxmlformats.org/officeDocument/2006/relationships/hyperlink" Target="https://youtu.be/Vs-q_u4qjJs" TargetMode="External"/><Relationship Id="rId3429" Type="http://schemas.openxmlformats.org/officeDocument/2006/relationships/hyperlink" Target="https://youtu.be/jkoiu_Xpm0Q" TargetMode="External"/><Relationship Id="rId3428" Type="http://schemas.openxmlformats.org/officeDocument/2006/relationships/hyperlink" Target="https://youtu.be/McF4zcZD-rg" TargetMode="External"/><Relationship Id="rId3427" Type="http://schemas.openxmlformats.org/officeDocument/2006/relationships/hyperlink" Target="https://youtu.be/XMZg34FN_fU" TargetMode="External"/><Relationship Id="rId3426" Type="http://schemas.openxmlformats.org/officeDocument/2006/relationships/hyperlink" Target="https://youtu.be/5GjTQXbhQ6o" TargetMode="External"/><Relationship Id="rId3425" Type="http://schemas.openxmlformats.org/officeDocument/2006/relationships/hyperlink" Target="https://youtu.be/C9pqhyotN7s" TargetMode="External"/><Relationship Id="rId3424" Type="http://schemas.openxmlformats.org/officeDocument/2006/relationships/hyperlink" Target="https://youtu.be/2lzH_3RDOgI" TargetMode="External"/><Relationship Id="rId3423" Type="http://schemas.openxmlformats.org/officeDocument/2006/relationships/hyperlink" Target="https://youtu.be/RlFlXFTXaV4" TargetMode="External"/><Relationship Id="rId3422" Type="http://schemas.openxmlformats.org/officeDocument/2006/relationships/hyperlink" Target="https://youtu.be/zdAE6qwV1O4" TargetMode="External"/><Relationship Id="rId3421" Type="http://schemas.openxmlformats.org/officeDocument/2006/relationships/hyperlink" Target="https://youtu.be/1hszj1EAsL8" TargetMode="External"/><Relationship Id="rId3420" Type="http://schemas.openxmlformats.org/officeDocument/2006/relationships/hyperlink" Target="https://youtu.be/NZVyEA25kQ4" TargetMode="External"/><Relationship Id="rId342" Type="http://schemas.openxmlformats.org/officeDocument/2006/relationships/hyperlink" Target="https://youtu.be/OiGlZu4uScE" TargetMode="External"/><Relationship Id="rId3419" Type="http://schemas.openxmlformats.org/officeDocument/2006/relationships/hyperlink" Target="https://youtu.be/tH1s7jBWKSY" TargetMode="External"/><Relationship Id="rId3418" Type="http://schemas.openxmlformats.org/officeDocument/2006/relationships/hyperlink" Target="https://youtu.be/IiFzINiVJ48" TargetMode="External"/><Relationship Id="rId3417" Type="http://schemas.openxmlformats.org/officeDocument/2006/relationships/hyperlink" Target="https://youtu.be/kayCLca1YMc" TargetMode="External"/><Relationship Id="rId3416" Type="http://schemas.openxmlformats.org/officeDocument/2006/relationships/hyperlink" Target="https://youtu.be/m2ZugwQVtAw" TargetMode="External"/><Relationship Id="rId3415" Type="http://schemas.openxmlformats.org/officeDocument/2006/relationships/hyperlink" Target="https://youtu.be/4SqRQYeArpg" TargetMode="External"/><Relationship Id="rId3414" Type="http://schemas.openxmlformats.org/officeDocument/2006/relationships/hyperlink" Target="https://youtu.be/xLXDRWImihA" TargetMode="External"/><Relationship Id="rId3413" Type="http://schemas.openxmlformats.org/officeDocument/2006/relationships/hyperlink" Target="https://youtu.be/SHrue7jV4C4" TargetMode="External"/><Relationship Id="rId3412" Type="http://schemas.openxmlformats.org/officeDocument/2006/relationships/hyperlink" Target="https://youtu.be/3UiMaVPpXKk" TargetMode="External"/><Relationship Id="rId3411" Type="http://schemas.openxmlformats.org/officeDocument/2006/relationships/hyperlink" Target="https://youtu.be/1wx6rQHnaTM" TargetMode="External"/><Relationship Id="rId3410" Type="http://schemas.openxmlformats.org/officeDocument/2006/relationships/hyperlink" Target="https://youtu.be/vX-5n_YcxgQ" TargetMode="External"/><Relationship Id="rId341" Type="http://schemas.openxmlformats.org/officeDocument/2006/relationships/hyperlink" Target="https://youtu.be/EyM2t_MKbMI" TargetMode="External"/><Relationship Id="rId3409" Type="http://schemas.openxmlformats.org/officeDocument/2006/relationships/hyperlink" Target="https://youtu.be/5sr6pXaJohA" TargetMode="External"/><Relationship Id="rId3408" Type="http://schemas.openxmlformats.org/officeDocument/2006/relationships/hyperlink" Target="https://youtu.be/xqBmvR9XEBI" TargetMode="External"/><Relationship Id="rId3407" Type="http://schemas.openxmlformats.org/officeDocument/2006/relationships/hyperlink" Target="https://youtu.be/hTkIimQux74" TargetMode="External"/><Relationship Id="rId3406" Type="http://schemas.openxmlformats.org/officeDocument/2006/relationships/hyperlink" Target="https://youtu.be/Q8QbJe-_5Y0" TargetMode="External"/><Relationship Id="rId3405" Type="http://schemas.openxmlformats.org/officeDocument/2006/relationships/hyperlink" Target="https://youtu.be/QN9ZxNozBvI" TargetMode="External"/><Relationship Id="rId3404" Type="http://schemas.openxmlformats.org/officeDocument/2006/relationships/hyperlink" Target="https://youtu.be/n0JbyTtHWNs" TargetMode="External"/><Relationship Id="rId3403" Type="http://schemas.openxmlformats.org/officeDocument/2006/relationships/hyperlink" Target="https://youtu.be/_1NSYrbKFQQ" TargetMode="External"/><Relationship Id="rId3402" Type="http://schemas.openxmlformats.org/officeDocument/2006/relationships/hyperlink" Target="https://youtu.be/n3xWRE2OfH4" TargetMode="External"/><Relationship Id="rId3401" Type="http://schemas.openxmlformats.org/officeDocument/2006/relationships/hyperlink" Target="https://youtu.be/LuK9GqhNLgI" TargetMode="External"/><Relationship Id="rId3400" Type="http://schemas.openxmlformats.org/officeDocument/2006/relationships/hyperlink" Target="https://youtu.be/0IuxVxfELc4" TargetMode="External"/><Relationship Id="rId340" Type="http://schemas.openxmlformats.org/officeDocument/2006/relationships/hyperlink" Target="https://youtu.be/GiYD00U1qp0" TargetMode="External"/><Relationship Id="rId34" Type="http://schemas.openxmlformats.org/officeDocument/2006/relationships/hyperlink" Target="https://youtu.be/_qY9GpPGIbs" TargetMode="External"/><Relationship Id="rId3399" Type="http://schemas.openxmlformats.org/officeDocument/2006/relationships/hyperlink" Target="https://youtu.be/2MpAQ8RumX0" TargetMode="External"/><Relationship Id="rId3398" Type="http://schemas.openxmlformats.org/officeDocument/2006/relationships/hyperlink" Target="https://youtu.be/rQ-sE_vBbJI" TargetMode="External"/><Relationship Id="rId3397" Type="http://schemas.openxmlformats.org/officeDocument/2006/relationships/hyperlink" Target="https://youtu.be/05rGa6LUAgU" TargetMode="External"/><Relationship Id="rId3396" Type="http://schemas.openxmlformats.org/officeDocument/2006/relationships/hyperlink" Target="https://youtu.be/bEiqPu9sT-g" TargetMode="External"/><Relationship Id="rId3395" Type="http://schemas.openxmlformats.org/officeDocument/2006/relationships/hyperlink" Target="https://youtu.be/QPdsPMo1qJE" TargetMode="External"/><Relationship Id="rId3394" Type="http://schemas.openxmlformats.org/officeDocument/2006/relationships/hyperlink" Target="https://youtu.be/mnVyllDIZ5k" TargetMode="External"/><Relationship Id="rId3393" Type="http://schemas.openxmlformats.org/officeDocument/2006/relationships/hyperlink" Target="https://youtu.be/-7WgPQPU7hk" TargetMode="External"/><Relationship Id="rId3392" Type="http://schemas.openxmlformats.org/officeDocument/2006/relationships/hyperlink" Target="https://youtu.be/5Z8pKpgTD7o" TargetMode="External"/><Relationship Id="rId3391" Type="http://schemas.openxmlformats.org/officeDocument/2006/relationships/hyperlink" Target="https://youtu.be/n8lFhaMihTg" TargetMode="External"/><Relationship Id="rId3390" Type="http://schemas.openxmlformats.org/officeDocument/2006/relationships/hyperlink" Target="https://youtu.be/qydRiaGscE0" TargetMode="External"/><Relationship Id="rId339" Type="http://schemas.openxmlformats.org/officeDocument/2006/relationships/hyperlink" Target="https://youtu.be/uS9wZzJKauw" TargetMode="External"/><Relationship Id="rId3389" Type="http://schemas.openxmlformats.org/officeDocument/2006/relationships/hyperlink" Target="https://youtu.be/NCRO3o6f01w" TargetMode="External"/><Relationship Id="rId3388" Type="http://schemas.openxmlformats.org/officeDocument/2006/relationships/hyperlink" Target="https://youtu.be/DWT4AFuHCuU" TargetMode="External"/><Relationship Id="rId3387" Type="http://schemas.openxmlformats.org/officeDocument/2006/relationships/hyperlink" Target="https://youtu.be/c7bs-Nhl2M8" TargetMode="External"/><Relationship Id="rId3386" Type="http://schemas.openxmlformats.org/officeDocument/2006/relationships/hyperlink" Target="https://youtu.be/HH-bFLyyrZM" TargetMode="External"/><Relationship Id="rId3385" Type="http://schemas.openxmlformats.org/officeDocument/2006/relationships/hyperlink" Target="https://youtu.be/hG-bqgVRDFs" TargetMode="External"/><Relationship Id="rId3384" Type="http://schemas.openxmlformats.org/officeDocument/2006/relationships/hyperlink" Target="https://youtu.be/lUsNBAJ62pQ" TargetMode="External"/><Relationship Id="rId3383" Type="http://schemas.openxmlformats.org/officeDocument/2006/relationships/hyperlink" Target="https://youtu.be/fQRYP0U7h0w" TargetMode="External"/><Relationship Id="rId3382" Type="http://schemas.openxmlformats.org/officeDocument/2006/relationships/hyperlink" Target="https://youtu.be/zkGMy1r2p5A" TargetMode="External"/><Relationship Id="rId3381" Type="http://schemas.openxmlformats.org/officeDocument/2006/relationships/hyperlink" Target="https://youtu.be/19Bvj_g6XAM" TargetMode="External"/><Relationship Id="rId3380" Type="http://schemas.openxmlformats.org/officeDocument/2006/relationships/hyperlink" Target="https://youtu.be/G7q2-dV76zc" TargetMode="External"/><Relationship Id="rId338" Type="http://schemas.openxmlformats.org/officeDocument/2006/relationships/hyperlink" Target="https://youtu.be/JwgcByUyEyI" TargetMode="External"/><Relationship Id="rId3379" Type="http://schemas.openxmlformats.org/officeDocument/2006/relationships/hyperlink" Target="https://youtu.be/GHuJELfSNuU" TargetMode="External"/><Relationship Id="rId3378" Type="http://schemas.openxmlformats.org/officeDocument/2006/relationships/hyperlink" Target="https://youtu.be/nrGNiK3vEfI" TargetMode="External"/><Relationship Id="rId3377" Type="http://schemas.openxmlformats.org/officeDocument/2006/relationships/hyperlink" Target="https://youtu.be/KpARJPkHo8M" TargetMode="External"/><Relationship Id="rId3376" Type="http://schemas.openxmlformats.org/officeDocument/2006/relationships/hyperlink" Target="https://youtu.be/-s71i5X90ug" TargetMode="External"/><Relationship Id="rId3375" Type="http://schemas.openxmlformats.org/officeDocument/2006/relationships/hyperlink" Target="https://youtu.be/6USwy2NdO5c" TargetMode="External"/><Relationship Id="rId3374" Type="http://schemas.openxmlformats.org/officeDocument/2006/relationships/hyperlink" Target="https://youtu.be/kj3BjfcJDHI" TargetMode="External"/><Relationship Id="rId3373" Type="http://schemas.openxmlformats.org/officeDocument/2006/relationships/hyperlink" Target="https://youtu.be/ryTnDTqTrQk" TargetMode="External"/><Relationship Id="rId3372" Type="http://schemas.openxmlformats.org/officeDocument/2006/relationships/hyperlink" Target="https://youtu.be/5wyH_6Z6b00" TargetMode="External"/><Relationship Id="rId3371" Type="http://schemas.openxmlformats.org/officeDocument/2006/relationships/hyperlink" Target="https://youtu.be/uJttwRg9MLE" TargetMode="External"/><Relationship Id="rId3370" Type="http://schemas.openxmlformats.org/officeDocument/2006/relationships/hyperlink" Target="https://youtu.be/val6DfAwM8s" TargetMode="External"/><Relationship Id="rId337" Type="http://schemas.openxmlformats.org/officeDocument/2006/relationships/hyperlink" Target="https://youtu.be/o_jel2vWNAw" TargetMode="External"/><Relationship Id="rId3369" Type="http://schemas.openxmlformats.org/officeDocument/2006/relationships/hyperlink" Target="https://youtu.be/UQC_8_SP-zM" TargetMode="External"/><Relationship Id="rId3368" Type="http://schemas.openxmlformats.org/officeDocument/2006/relationships/hyperlink" Target="https://youtu.be/S0Ux4MUxZ9c" TargetMode="External"/><Relationship Id="rId3367" Type="http://schemas.openxmlformats.org/officeDocument/2006/relationships/hyperlink" Target="https://youtu.be/rP0pM6PwqPs" TargetMode="External"/><Relationship Id="rId3366" Type="http://schemas.openxmlformats.org/officeDocument/2006/relationships/hyperlink" Target="https://youtu.be/c0jbhAj_5kI" TargetMode="External"/><Relationship Id="rId3365" Type="http://schemas.openxmlformats.org/officeDocument/2006/relationships/hyperlink" Target="https://youtu.be/1mdtpFFNwUg" TargetMode="External"/><Relationship Id="rId3364" Type="http://schemas.openxmlformats.org/officeDocument/2006/relationships/hyperlink" Target="https://youtu.be/aTXuwi_1d0Q" TargetMode="External"/><Relationship Id="rId3363" Type="http://schemas.openxmlformats.org/officeDocument/2006/relationships/hyperlink" Target="https://youtu.be/Hh4-B91mTWg" TargetMode="External"/><Relationship Id="rId3362" Type="http://schemas.openxmlformats.org/officeDocument/2006/relationships/hyperlink" Target="https://youtu.be/rhHJRwBcr1M" TargetMode="External"/><Relationship Id="rId3361" Type="http://schemas.openxmlformats.org/officeDocument/2006/relationships/hyperlink" Target="https://youtu.be/DO7ZBp4HXQA" TargetMode="External"/><Relationship Id="rId3360" Type="http://schemas.openxmlformats.org/officeDocument/2006/relationships/hyperlink" Target="https://youtu.be/Sf0j3oHKBZ8" TargetMode="External"/><Relationship Id="rId336" Type="http://schemas.openxmlformats.org/officeDocument/2006/relationships/hyperlink" Target="https://youtu.be/zLGKYQ7FvUs" TargetMode="External"/><Relationship Id="rId3359" Type="http://schemas.openxmlformats.org/officeDocument/2006/relationships/hyperlink" Target="https://youtu.be/32zm5J5NkTc" TargetMode="External"/><Relationship Id="rId3358" Type="http://schemas.openxmlformats.org/officeDocument/2006/relationships/hyperlink" Target="https://youtu.be/fg1_cZM9HEU" TargetMode="External"/><Relationship Id="rId3357" Type="http://schemas.openxmlformats.org/officeDocument/2006/relationships/hyperlink" Target="https://youtu.be/HP7uND5Ocek" TargetMode="External"/><Relationship Id="rId3356" Type="http://schemas.openxmlformats.org/officeDocument/2006/relationships/hyperlink" Target="https://youtu.be/0qOENXuZiTs" TargetMode="External"/><Relationship Id="rId3355" Type="http://schemas.openxmlformats.org/officeDocument/2006/relationships/hyperlink" Target="https://youtu.be/4TLTpGivmco" TargetMode="External"/><Relationship Id="rId3354" Type="http://schemas.openxmlformats.org/officeDocument/2006/relationships/hyperlink" Target="https://youtu.be/9ci2j7ammio" TargetMode="External"/><Relationship Id="rId3353" Type="http://schemas.openxmlformats.org/officeDocument/2006/relationships/hyperlink" Target="https://youtu.be/e7ltSFWfAlU" TargetMode="External"/><Relationship Id="rId3352" Type="http://schemas.openxmlformats.org/officeDocument/2006/relationships/hyperlink" Target="https://youtu.be/NYFu3UNENyI" TargetMode="External"/><Relationship Id="rId3351" Type="http://schemas.openxmlformats.org/officeDocument/2006/relationships/hyperlink" Target="https://youtu.be/Ob9WXozrLdQ" TargetMode="External"/><Relationship Id="rId3350" Type="http://schemas.openxmlformats.org/officeDocument/2006/relationships/hyperlink" Target="https://youtu.be/ThRVzDIrrKA" TargetMode="External"/><Relationship Id="rId335" Type="http://schemas.openxmlformats.org/officeDocument/2006/relationships/hyperlink" Target="https://youtu.be/ANjyApJx8X0" TargetMode="External"/><Relationship Id="rId3349" Type="http://schemas.openxmlformats.org/officeDocument/2006/relationships/hyperlink" Target="https://youtu.be/ElX2b-PnaaQ" TargetMode="External"/><Relationship Id="rId3348" Type="http://schemas.openxmlformats.org/officeDocument/2006/relationships/hyperlink" Target="https://youtu.be/yzWFvlK0Ifc" TargetMode="External"/><Relationship Id="rId3347" Type="http://schemas.openxmlformats.org/officeDocument/2006/relationships/hyperlink" Target="https://youtu.be/uCVt0kpefHM" TargetMode="External"/><Relationship Id="rId3346" Type="http://schemas.openxmlformats.org/officeDocument/2006/relationships/hyperlink" Target="https://youtu.be/zxO-pM1lLZ0" TargetMode="External"/><Relationship Id="rId3345" Type="http://schemas.openxmlformats.org/officeDocument/2006/relationships/hyperlink" Target="https://youtu.be/NACbbyl1ciA" TargetMode="External"/><Relationship Id="rId3344" Type="http://schemas.openxmlformats.org/officeDocument/2006/relationships/hyperlink" Target="https://youtu.be/g2aoKTfPUtc" TargetMode="External"/><Relationship Id="rId3343" Type="http://schemas.openxmlformats.org/officeDocument/2006/relationships/hyperlink" Target="https://youtu.be/MBADi5nJI2o" TargetMode="External"/><Relationship Id="rId3342" Type="http://schemas.openxmlformats.org/officeDocument/2006/relationships/hyperlink" Target="https://youtu.be/72OLN4lBpSQ" TargetMode="External"/><Relationship Id="rId3341" Type="http://schemas.openxmlformats.org/officeDocument/2006/relationships/hyperlink" Target="https://youtu.be/YYh6BD6-Hc8" TargetMode="External"/><Relationship Id="rId3340" Type="http://schemas.openxmlformats.org/officeDocument/2006/relationships/hyperlink" Target="https://youtu.be/GLgnZ89b8Po" TargetMode="External"/><Relationship Id="rId334" Type="http://schemas.openxmlformats.org/officeDocument/2006/relationships/hyperlink" Target="https://youtu.be/aoSr6y4gBdw" TargetMode="External"/><Relationship Id="rId3339" Type="http://schemas.openxmlformats.org/officeDocument/2006/relationships/hyperlink" Target="https://youtu.be/rYjBukIVxO8" TargetMode="External"/><Relationship Id="rId3338" Type="http://schemas.openxmlformats.org/officeDocument/2006/relationships/hyperlink" Target="https://youtu.be/7MYmpG9d7XA" TargetMode="External"/><Relationship Id="rId3337" Type="http://schemas.openxmlformats.org/officeDocument/2006/relationships/hyperlink" Target="https://youtu.be/t0EDWhwVd68" TargetMode="External"/><Relationship Id="rId3336" Type="http://schemas.openxmlformats.org/officeDocument/2006/relationships/hyperlink" Target="https://youtu.be/NLOLYR6t7lY" TargetMode="External"/><Relationship Id="rId3335" Type="http://schemas.openxmlformats.org/officeDocument/2006/relationships/hyperlink" Target="https://youtu.be/ug0vIR1_W6M" TargetMode="External"/><Relationship Id="rId3334" Type="http://schemas.openxmlformats.org/officeDocument/2006/relationships/hyperlink" Target="https://youtu.be/ONNc0RX-3RQ" TargetMode="External"/><Relationship Id="rId3333" Type="http://schemas.openxmlformats.org/officeDocument/2006/relationships/hyperlink" Target="https://youtu.be/B9Mgbduz3Tk" TargetMode="External"/><Relationship Id="rId3332" Type="http://schemas.openxmlformats.org/officeDocument/2006/relationships/hyperlink" Target="https://youtu.be/nMDMzCw0Cug" TargetMode="External"/><Relationship Id="rId3331" Type="http://schemas.openxmlformats.org/officeDocument/2006/relationships/hyperlink" Target="https://youtu.be/ker0KDYzklU" TargetMode="External"/><Relationship Id="rId3330" Type="http://schemas.openxmlformats.org/officeDocument/2006/relationships/hyperlink" Target="https://youtu.be/QyikYNYmCC0" TargetMode="External"/><Relationship Id="rId333" Type="http://schemas.openxmlformats.org/officeDocument/2006/relationships/hyperlink" Target="https://youtu.be/D9FLgwnNWEY" TargetMode="External"/><Relationship Id="rId3329" Type="http://schemas.openxmlformats.org/officeDocument/2006/relationships/hyperlink" Target="https://youtu.be/44UyTWeaIM0" TargetMode="External"/><Relationship Id="rId3328" Type="http://schemas.openxmlformats.org/officeDocument/2006/relationships/hyperlink" Target="https://youtu.be/mSXViTNLpDM" TargetMode="External"/><Relationship Id="rId3327" Type="http://schemas.openxmlformats.org/officeDocument/2006/relationships/hyperlink" Target="https://youtu.be/WxCvsl-SyvE" TargetMode="External"/><Relationship Id="rId3326" Type="http://schemas.openxmlformats.org/officeDocument/2006/relationships/hyperlink" Target="https://youtu.be/ItZJ-LoAHj0" TargetMode="External"/><Relationship Id="rId3325" Type="http://schemas.openxmlformats.org/officeDocument/2006/relationships/hyperlink" Target="https://youtu.be/Y6wc8kZ9CBw" TargetMode="External"/><Relationship Id="rId3324" Type="http://schemas.openxmlformats.org/officeDocument/2006/relationships/hyperlink" Target="https://youtu.be/Nry8B9yd_C4" TargetMode="External"/><Relationship Id="rId3323" Type="http://schemas.openxmlformats.org/officeDocument/2006/relationships/hyperlink" Target="https://youtu.be/zU_Ry73C1iA" TargetMode="External"/><Relationship Id="rId3322" Type="http://schemas.openxmlformats.org/officeDocument/2006/relationships/hyperlink" Target="https://youtu.be/tOsGCU6Syf4" TargetMode="External"/><Relationship Id="rId3321" Type="http://schemas.openxmlformats.org/officeDocument/2006/relationships/hyperlink" Target="https://youtu.be/mNcKNzAi5hU" TargetMode="External"/><Relationship Id="rId3320" Type="http://schemas.openxmlformats.org/officeDocument/2006/relationships/hyperlink" Target="https://youtu.be/hSSHqaggLYQ" TargetMode="External"/><Relationship Id="rId332" Type="http://schemas.openxmlformats.org/officeDocument/2006/relationships/hyperlink" Target="https://youtu.be/kTROaE33Kn4" TargetMode="External"/><Relationship Id="rId3319" Type="http://schemas.openxmlformats.org/officeDocument/2006/relationships/hyperlink" Target="https://youtu.be/boTpJ16GJaM" TargetMode="External"/><Relationship Id="rId3318" Type="http://schemas.openxmlformats.org/officeDocument/2006/relationships/hyperlink" Target="https://youtu.be/2lD1xnxWAhQ" TargetMode="External"/><Relationship Id="rId3317" Type="http://schemas.openxmlformats.org/officeDocument/2006/relationships/hyperlink" Target="https://youtu.be/eA3uNh_QIzc" TargetMode="External"/><Relationship Id="rId3316" Type="http://schemas.openxmlformats.org/officeDocument/2006/relationships/hyperlink" Target="https://youtu.be/FheKP4YgLwk" TargetMode="External"/><Relationship Id="rId3315" Type="http://schemas.openxmlformats.org/officeDocument/2006/relationships/hyperlink" Target="https://youtu.be/qCMGjdI-TKw" TargetMode="External"/><Relationship Id="rId3314" Type="http://schemas.openxmlformats.org/officeDocument/2006/relationships/hyperlink" Target="https://youtu.be/zg1NgO4ZucM" TargetMode="External"/><Relationship Id="rId3313" Type="http://schemas.openxmlformats.org/officeDocument/2006/relationships/hyperlink" Target="https://youtu.be/ladwrg_K-u4" TargetMode="External"/><Relationship Id="rId3312" Type="http://schemas.openxmlformats.org/officeDocument/2006/relationships/hyperlink" Target="https://youtu.be/MT7C5zX_lMQ" TargetMode="External"/><Relationship Id="rId3311" Type="http://schemas.openxmlformats.org/officeDocument/2006/relationships/hyperlink" Target="https://youtu.be/RiQUvyGGu6A" TargetMode="External"/><Relationship Id="rId3310" Type="http://schemas.openxmlformats.org/officeDocument/2006/relationships/hyperlink" Target="https://youtu.be/iV-X0NcG8Lc" TargetMode="External"/><Relationship Id="rId331" Type="http://schemas.openxmlformats.org/officeDocument/2006/relationships/hyperlink" Target="https://youtu.be/5hNSgkEqx9U" TargetMode="External"/><Relationship Id="rId3309" Type="http://schemas.openxmlformats.org/officeDocument/2006/relationships/hyperlink" Target="https://youtu.be/4ckuxkYJZF8" TargetMode="External"/><Relationship Id="rId3308" Type="http://schemas.openxmlformats.org/officeDocument/2006/relationships/hyperlink" Target="https://youtu.be/dtwQvCbw9Qk" TargetMode="External"/><Relationship Id="rId3307" Type="http://schemas.openxmlformats.org/officeDocument/2006/relationships/hyperlink" Target="https://youtu.be/anRlH-CqYew" TargetMode="External"/><Relationship Id="rId3306" Type="http://schemas.openxmlformats.org/officeDocument/2006/relationships/hyperlink" Target="https://youtu.be/9PbTjXC2WwA" TargetMode="External"/><Relationship Id="rId3305" Type="http://schemas.openxmlformats.org/officeDocument/2006/relationships/hyperlink" Target="https://youtu.be/rs_eT_0FXw0" TargetMode="External"/><Relationship Id="rId3304" Type="http://schemas.openxmlformats.org/officeDocument/2006/relationships/hyperlink" Target="https://youtu.be/Tb4biKCRPOg" TargetMode="External"/><Relationship Id="rId3303" Type="http://schemas.openxmlformats.org/officeDocument/2006/relationships/hyperlink" Target="https://youtu.be/1sTTV3SUGzE" TargetMode="External"/><Relationship Id="rId3302" Type="http://schemas.openxmlformats.org/officeDocument/2006/relationships/hyperlink" Target="https://youtu.be/PjDd767IkFs" TargetMode="External"/><Relationship Id="rId3301" Type="http://schemas.openxmlformats.org/officeDocument/2006/relationships/hyperlink" Target="https://youtu.be/ATgxiy1Ewho" TargetMode="External"/><Relationship Id="rId3300" Type="http://schemas.openxmlformats.org/officeDocument/2006/relationships/hyperlink" Target="https://youtu.be/mVxfhZUSppY" TargetMode="External"/><Relationship Id="rId330" Type="http://schemas.openxmlformats.org/officeDocument/2006/relationships/hyperlink" Target="https://youtu.be/kw64FUpCNCA" TargetMode="External"/><Relationship Id="rId33" Type="http://schemas.openxmlformats.org/officeDocument/2006/relationships/hyperlink" Target="https://youtu.be/aLIt84-vVt4" TargetMode="External"/><Relationship Id="rId3299" Type="http://schemas.openxmlformats.org/officeDocument/2006/relationships/hyperlink" Target="https://youtu.be/dDMZ5j_jrds" TargetMode="External"/><Relationship Id="rId3298" Type="http://schemas.openxmlformats.org/officeDocument/2006/relationships/hyperlink" Target="https://youtu.be/ra2QX00R3R0" TargetMode="External"/><Relationship Id="rId3297" Type="http://schemas.openxmlformats.org/officeDocument/2006/relationships/hyperlink" Target="https://youtu.be/GYyjMhPYjaQ" TargetMode="External"/><Relationship Id="rId3296" Type="http://schemas.openxmlformats.org/officeDocument/2006/relationships/hyperlink" Target="https://youtu.be/toabl6i4fBY" TargetMode="External"/><Relationship Id="rId3295" Type="http://schemas.openxmlformats.org/officeDocument/2006/relationships/hyperlink" Target="https://youtu.be/PQa8fCiZRg4" TargetMode="External"/><Relationship Id="rId3294" Type="http://schemas.openxmlformats.org/officeDocument/2006/relationships/hyperlink" Target="https://youtu.be/OlWaFXle3VQ" TargetMode="External"/><Relationship Id="rId3293" Type="http://schemas.openxmlformats.org/officeDocument/2006/relationships/hyperlink" Target="https://youtu.be/rVJDYI1BQA4" TargetMode="External"/><Relationship Id="rId3292" Type="http://schemas.openxmlformats.org/officeDocument/2006/relationships/hyperlink" Target="https://youtu.be/KXh1A_pEx7U" TargetMode="External"/><Relationship Id="rId3291" Type="http://schemas.openxmlformats.org/officeDocument/2006/relationships/hyperlink" Target="https://youtu.be/84IYJ7o3Xik" TargetMode="External"/><Relationship Id="rId3290" Type="http://schemas.openxmlformats.org/officeDocument/2006/relationships/hyperlink" Target="https://youtu.be/Z7QAXCM6Gz0" TargetMode="External"/><Relationship Id="rId329" Type="http://schemas.openxmlformats.org/officeDocument/2006/relationships/hyperlink" Target="https://youtu.be/2Dzx6b6vSK4" TargetMode="External"/><Relationship Id="rId3289" Type="http://schemas.openxmlformats.org/officeDocument/2006/relationships/hyperlink" Target="https://youtu.be/RuTMn2rPFw8" TargetMode="External"/><Relationship Id="rId3288" Type="http://schemas.openxmlformats.org/officeDocument/2006/relationships/hyperlink" Target="https://youtu.be/0bIiA7k2WBo" TargetMode="External"/><Relationship Id="rId3287" Type="http://schemas.openxmlformats.org/officeDocument/2006/relationships/hyperlink" Target="https://youtu.be/Q0jR8fqXdzg" TargetMode="External"/><Relationship Id="rId3286" Type="http://schemas.openxmlformats.org/officeDocument/2006/relationships/hyperlink" Target="https://youtu.be/NiJ54Jj2rck" TargetMode="External"/><Relationship Id="rId3285" Type="http://schemas.openxmlformats.org/officeDocument/2006/relationships/hyperlink" Target="https://youtu.be/zx3B4mIcgyE" TargetMode="External"/><Relationship Id="rId3284" Type="http://schemas.openxmlformats.org/officeDocument/2006/relationships/hyperlink" Target="https://youtu.be/-A8MpAiD3CE" TargetMode="External"/><Relationship Id="rId3283" Type="http://schemas.openxmlformats.org/officeDocument/2006/relationships/hyperlink" Target="https://youtu.be/lbKsVfCZQG0" TargetMode="External"/><Relationship Id="rId3282" Type="http://schemas.openxmlformats.org/officeDocument/2006/relationships/hyperlink" Target="https://youtu.be/Bcocoz8IZLg" TargetMode="External"/><Relationship Id="rId3281" Type="http://schemas.openxmlformats.org/officeDocument/2006/relationships/hyperlink" Target="https://youtu.be/XTCQymboDOg" TargetMode="External"/><Relationship Id="rId3280" Type="http://schemas.openxmlformats.org/officeDocument/2006/relationships/hyperlink" Target="https://youtu.be/qkqzUuK9aIk" TargetMode="External"/><Relationship Id="rId328" Type="http://schemas.openxmlformats.org/officeDocument/2006/relationships/hyperlink" Target="https://youtu.be/LLziUxoVA54" TargetMode="External"/><Relationship Id="rId3279" Type="http://schemas.openxmlformats.org/officeDocument/2006/relationships/hyperlink" Target="https://youtu.be/LW9QPa4o_e0" TargetMode="External"/><Relationship Id="rId3278" Type="http://schemas.openxmlformats.org/officeDocument/2006/relationships/hyperlink" Target="https://youtu.be/SeLeB9-L_F4" TargetMode="External"/><Relationship Id="rId3277" Type="http://schemas.openxmlformats.org/officeDocument/2006/relationships/hyperlink" Target="https://youtu.be/gUXJCORNA7w" TargetMode="External"/><Relationship Id="rId3276" Type="http://schemas.openxmlformats.org/officeDocument/2006/relationships/hyperlink" Target="https://youtu.be/fV7-S8OHY90" TargetMode="External"/><Relationship Id="rId3275" Type="http://schemas.openxmlformats.org/officeDocument/2006/relationships/hyperlink" Target="https://youtu.be/u3vmym2e0Mk" TargetMode="External"/><Relationship Id="rId3274" Type="http://schemas.openxmlformats.org/officeDocument/2006/relationships/hyperlink" Target="https://youtu.be/FRuuWkb0vh0" TargetMode="External"/><Relationship Id="rId3273" Type="http://schemas.openxmlformats.org/officeDocument/2006/relationships/hyperlink" Target="https://youtu.be/MhDzSz-_HtU" TargetMode="External"/><Relationship Id="rId3272" Type="http://schemas.openxmlformats.org/officeDocument/2006/relationships/hyperlink" Target="https://youtu.be/EOuoAiUbrGk" TargetMode="External"/><Relationship Id="rId3271" Type="http://schemas.openxmlformats.org/officeDocument/2006/relationships/hyperlink" Target="https://youtu.be/7Dwn6pus4WA" TargetMode="External"/><Relationship Id="rId3270" Type="http://schemas.openxmlformats.org/officeDocument/2006/relationships/hyperlink" Target="https://youtu.be/Pgy3_LqyeC8" TargetMode="External"/><Relationship Id="rId327" Type="http://schemas.openxmlformats.org/officeDocument/2006/relationships/hyperlink" Target="https://youtu.be/DoTs3-bQRo0" TargetMode="External"/><Relationship Id="rId3269" Type="http://schemas.openxmlformats.org/officeDocument/2006/relationships/hyperlink" Target="https://youtu.be/azViv3vm8jI" TargetMode="External"/><Relationship Id="rId3268" Type="http://schemas.openxmlformats.org/officeDocument/2006/relationships/hyperlink" Target="https://youtu.be/cia1tfFr-zU" TargetMode="External"/><Relationship Id="rId3267" Type="http://schemas.openxmlformats.org/officeDocument/2006/relationships/hyperlink" Target="https://youtu.be/Lds16-yG2n0" TargetMode="External"/><Relationship Id="rId3266" Type="http://schemas.openxmlformats.org/officeDocument/2006/relationships/hyperlink" Target="https://youtu.be/sJzN2Y05h-Y" TargetMode="External"/><Relationship Id="rId3265" Type="http://schemas.openxmlformats.org/officeDocument/2006/relationships/hyperlink" Target="https://youtu.be/fdBspJhyINk" TargetMode="External"/><Relationship Id="rId3264" Type="http://schemas.openxmlformats.org/officeDocument/2006/relationships/hyperlink" Target="https://youtu.be/SPaWqtLXsX0" TargetMode="External"/><Relationship Id="rId3263" Type="http://schemas.openxmlformats.org/officeDocument/2006/relationships/hyperlink" Target="https://youtu.be/dyrYzMzwAFs" TargetMode="External"/><Relationship Id="rId3262" Type="http://schemas.openxmlformats.org/officeDocument/2006/relationships/hyperlink" Target="https://youtu.be/r7yxTJdtLDw" TargetMode="External"/><Relationship Id="rId3261" Type="http://schemas.openxmlformats.org/officeDocument/2006/relationships/hyperlink" Target="https://youtu.be/PKMUJ5B5q4Y" TargetMode="External"/><Relationship Id="rId3260" Type="http://schemas.openxmlformats.org/officeDocument/2006/relationships/hyperlink" Target="https://youtu.be/NSnCRFnVr40" TargetMode="External"/><Relationship Id="rId326" Type="http://schemas.openxmlformats.org/officeDocument/2006/relationships/hyperlink" Target="https://youtu.be/iaeNBjIoPa8" TargetMode="External"/><Relationship Id="rId3259" Type="http://schemas.openxmlformats.org/officeDocument/2006/relationships/hyperlink" Target="https://youtu.be/_4EhXXMf8y0" TargetMode="External"/><Relationship Id="rId3258" Type="http://schemas.openxmlformats.org/officeDocument/2006/relationships/hyperlink" Target="https://youtu.be/uCg03y0qJ-E" TargetMode="External"/><Relationship Id="rId3257" Type="http://schemas.openxmlformats.org/officeDocument/2006/relationships/hyperlink" Target="https://youtu.be/UT0kRqq_j50" TargetMode="External"/><Relationship Id="rId3256" Type="http://schemas.openxmlformats.org/officeDocument/2006/relationships/hyperlink" Target="https://youtu.be/sOYjMxL6UDk" TargetMode="External"/><Relationship Id="rId3255" Type="http://schemas.openxmlformats.org/officeDocument/2006/relationships/hyperlink" Target="https://youtu.be/4egnezZTmRA" TargetMode="External"/><Relationship Id="rId3254" Type="http://schemas.openxmlformats.org/officeDocument/2006/relationships/hyperlink" Target="https://youtu.be/nbxdPZKmhTw" TargetMode="External"/><Relationship Id="rId3253" Type="http://schemas.openxmlformats.org/officeDocument/2006/relationships/hyperlink" Target="https://youtu.be/AeQ-M0YiiP4" TargetMode="External"/><Relationship Id="rId3252" Type="http://schemas.openxmlformats.org/officeDocument/2006/relationships/hyperlink" Target="https://youtu.be/BYmbe4860wY" TargetMode="External"/><Relationship Id="rId3251" Type="http://schemas.openxmlformats.org/officeDocument/2006/relationships/hyperlink" Target="https://youtu.be/39Vcr1V9VRw" TargetMode="External"/><Relationship Id="rId3250" Type="http://schemas.openxmlformats.org/officeDocument/2006/relationships/hyperlink" Target="https://youtu.be/_KiFtLK-qE4" TargetMode="External"/><Relationship Id="rId325" Type="http://schemas.openxmlformats.org/officeDocument/2006/relationships/hyperlink" Target="https://youtu.be/ckk5PZ1ZSck" TargetMode="External"/><Relationship Id="rId3249" Type="http://schemas.openxmlformats.org/officeDocument/2006/relationships/hyperlink" Target="https://youtu.be/U_jtVE7jucQ" TargetMode="External"/><Relationship Id="rId3248" Type="http://schemas.openxmlformats.org/officeDocument/2006/relationships/hyperlink" Target="https://youtu.be/7Q3g9JzwVHM" TargetMode="External"/><Relationship Id="rId3247" Type="http://schemas.openxmlformats.org/officeDocument/2006/relationships/hyperlink" Target="https://youtu.be/33EOoi5TLzs" TargetMode="External"/><Relationship Id="rId3246" Type="http://schemas.openxmlformats.org/officeDocument/2006/relationships/hyperlink" Target="https://youtu.be/puhGf2SzPAE" TargetMode="External"/><Relationship Id="rId3245" Type="http://schemas.openxmlformats.org/officeDocument/2006/relationships/hyperlink" Target="https://youtu.be/Qo-kHM-XDJI" TargetMode="External"/><Relationship Id="rId3244" Type="http://schemas.openxmlformats.org/officeDocument/2006/relationships/hyperlink" Target="https://youtu.be/dqSCvj_QpDU" TargetMode="External"/><Relationship Id="rId3243" Type="http://schemas.openxmlformats.org/officeDocument/2006/relationships/hyperlink" Target="https://youtu.be/9m4uhL9HUMk" TargetMode="External"/><Relationship Id="rId3242" Type="http://schemas.openxmlformats.org/officeDocument/2006/relationships/hyperlink" Target="https://youtu.be/0IPmvjMsoPw" TargetMode="External"/><Relationship Id="rId3241" Type="http://schemas.openxmlformats.org/officeDocument/2006/relationships/hyperlink" Target="https://youtu.be/AwDZ9EJNKMY" TargetMode="External"/><Relationship Id="rId3240" Type="http://schemas.openxmlformats.org/officeDocument/2006/relationships/hyperlink" Target="https://youtu.be/OWIBOB7ZJeQ" TargetMode="External"/><Relationship Id="rId324" Type="http://schemas.openxmlformats.org/officeDocument/2006/relationships/hyperlink" Target="https://youtu.be/Bcxqr4X7a-A" TargetMode="External"/><Relationship Id="rId3239" Type="http://schemas.openxmlformats.org/officeDocument/2006/relationships/hyperlink" Target="https://youtu.be/5BBPtc2W7gA" TargetMode="External"/><Relationship Id="rId3238" Type="http://schemas.openxmlformats.org/officeDocument/2006/relationships/hyperlink" Target="https://youtu.be/L1jC5W1cT5I" TargetMode="External"/><Relationship Id="rId3237" Type="http://schemas.openxmlformats.org/officeDocument/2006/relationships/hyperlink" Target="https://youtu.be/UYs-akyPq6U" TargetMode="External"/><Relationship Id="rId3236" Type="http://schemas.openxmlformats.org/officeDocument/2006/relationships/hyperlink" Target="https://youtu.be/MchUnQpmTCo" TargetMode="External"/><Relationship Id="rId3235" Type="http://schemas.openxmlformats.org/officeDocument/2006/relationships/hyperlink" Target="https://youtu.be/zdE6nmci64Q" TargetMode="External"/><Relationship Id="rId3234" Type="http://schemas.openxmlformats.org/officeDocument/2006/relationships/hyperlink" Target="https://youtu.be/vgfWH3g9kpY" TargetMode="External"/><Relationship Id="rId3233" Type="http://schemas.openxmlformats.org/officeDocument/2006/relationships/hyperlink" Target="https://youtu.be/pSze4gbaL-8" TargetMode="External"/><Relationship Id="rId3232" Type="http://schemas.openxmlformats.org/officeDocument/2006/relationships/hyperlink" Target="https://youtu.be/QmQrRC6lerk" TargetMode="External"/><Relationship Id="rId3231" Type="http://schemas.openxmlformats.org/officeDocument/2006/relationships/hyperlink" Target="https://youtu.be/a74Q-QCVs70" TargetMode="External"/><Relationship Id="rId3230" Type="http://schemas.openxmlformats.org/officeDocument/2006/relationships/hyperlink" Target="https://youtu.be/nCNVGwkL7DE" TargetMode="External"/><Relationship Id="rId323" Type="http://schemas.openxmlformats.org/officeDocument/2006/relationships/hyperlink" Target="https://youtu.be/zdAHCtHmYTY" TargetMode="External"/><Relationship Id="rId3229" Type="http://schemas.openxmlformats.org/officeDocument/2006/relationships/hyperlink" Target="https://youtu.be/jdtQuTwF1i8" TargetMode="External"/><Relationship Id="rId3228" Type="http://schemas.openxmlformats.org/officeDocument/2006/relationships/hyperlink" Target="https://youtu.be/_2UKwOaFxko" TargetMode="External"/><Relationship Id="rId3227" Type="http://schemas.openxmlformats.org/officeDocument/2006/relationships/hyperlink" Target="https://youtu.be/MH85D7oOnvw" TargetMode="External"/><Relationship Id="rId3226" Type="http://schemas.openxmlformats.org/officeDocument/2006/relationships/hyperlink" Target="https://youtu.be/9xxoESx8iFc" TargetMode="External"/><Relationship Id="rId3225" Type="http://schemas.openxmlformats.org/officeDocument/2006/relationships/hyperlink" Target="https://youtu.be/FwtptrZzQak" TargetMode="External"/><Relationship Id="rId3224" Type="http://schemas.openxmlformats.org/officeDocument/2006/relationships/hyperlink" Target="https://youtu.be/Vohdz0rzdGs" TargetMode="External"/><Relationship Id="rId3223" Type="http://schemas.openxmlformats.org/officeDocument/2006/relationships/hyperlink" Target="https://youtu.be/h50Ky6sN8FI" TargetMode="External"/><Relationship Id="rId3222" Type="http://schemas.openxmlformats.org/officeDocument/2006/relationships/hyperlink" Target="https://youtu.be/cC7khEUs4-U" TargetMode="External"/><Relationship Id="rId3221" Type="http://schemas.openxmlformats.org/officeDocument/2006/relationships/hyperlink" Target="https://youtu.be/2mA1lx_019g" TargetMode="External"/><Relationship Id="rId3220" Type="http://schemas.openxmlformats.org/officeDocument/2006/relationships/hyperlink" Target="https://youtu.be/jMzwyr0qNZI" TargetMode="External"/><Relationship Id="rId322" Type="http://schemas.openxmlformats.org/officeDocument/2006/relationships/hyperlink" Target="https://youtu.be/NQ5ThYhnMz8" TargetMode="External"/><Relationship Id="rId3219" Type="http://schemas.openxmlformats.org/officeDocument/2006/relationships/hyperlink" Target="https://youtu.be/_chpcVf-uEs" TargetMode="External"/><Relationship Id="rId3218" Type="http://schemas.openxmlformats.org/officeDocument/2006/relationships/hyperlink" Target="https://youtu.be/sffla8Akq9w" TargetMode="External"/><Relationship Id="rId3217" Type="http://schemas.openxmlformats.org/officeDocument/2006/relationships/hyperlink" Target="https://youtu.be/AyRGHhFF-bA" TargetMode="External"/><Relationship Id="rId3216" Type="http://schemas.openxmlformats.org/officeDocument/2006/relationships/hyperlink" Target="https://youtu.be/3Ia6WSMHYCw" TargetMode="External"/><Relationship Id="rId3215" Type="http://schemas.openxmlformats.org/officeDocument/2006/relationships/hyperlink" Target="https://youtu.be/Ug23fU1Kdo0" TargetMode="External"/><Relationship Id="rId3214" Type="http://schemas.openxmlformats.org/officeDocument/2006/relationships/hyperlink" Target="https://youtu.be/Lc4hSYGr0m8" TargetMode="External"/><Relationship Id="rId3213" Type="http://schemas.openxmlformats.org/officeDocument/2006/relationships/hyperlink" Target="https://youtu.be/KkvH48f5a00" TargetMode="External"/><Relationship Id="rId3212" Type="http://schemas.openxmlformats.org/officeDocument/2006/relationships/hyperlink" Target="https://youtu.be/cywqwYCumK0" TargetMode="External"/><Relationship Id="rId3211" Type="http://schemas.openxmlformats.org/officeDocument/2006/relationships/hyperlink" Target="https://youtu.be/8_Rd88i9nTc" TargetMode="External"/><Relationship Id="rId3210" Type="http://schemas.openxmlformats.org/officeDocument/2006/relationships/hyperlink" Target="https://youtu.be/gkqE-gzehug" TargetMode="External"/><Relationship Id="rId321" Type="http://schemas.openxmlformats.org/officeDocument/2006/relationships/hyperlink" Target="https://youtu.be/Qn3SbSn2J9U" TargetMode="External"/><Relationship Id="rId3209" Type="http://schemas.openxmlformats.org/officeDocument/2006/relationships/hyperlink" Target="https://youtu.be/nc6wPVritfk" TargetMode="External"/><Relationship Id="rId3208" Type="http://schemas.openxmlformats.org/officeDocument/2006/relationships/hyperlink" Target="https://youtu.be/YFdWEcPocl8" TargetMode="External"/><Relationship Id="rId3207" Type="http://schemas.openxmlformats.org/officeDocument/2006/relationships/hyperlink" Target="https://youtu.be/iyu5nr29k_0" TargetMode="External"/><Relationship Id="rId3206" Type="http://schemas.openxmlformats.org/officeDocument/2006/relationships/hyperlink" Target="https://youtu.be/uRXiK-MilD4" TargetMode="External"/><Relationship Id="rId3205" Type="http://schemas.openxmlformats.org/officeDocument/2006/relationships/hyperlink" Target="https://youtu.be/P82-HZQPimY" TargetMode="External"/><Relationship Id="rId3204" Type="http://schemas.openxmlformats.org/officeDocument/2006/relationships/hyperlink" Target="https://youtu.be/_NEW3_yqQLc" TargetMode="External"/><Relationship Id="rId3203" Type="http://schemas.openxmlformats.org/officeDocument/2006/relationships/hyperlink" Target="https://youtu.be/YsrCwBWxvr0" TargetMode="External"/><Relationship Id="rId3202" Type="http://schemas.openxmlformats.org/officeDocument/2006/relationships/hyperlink" Target="https://youtu.be/ipz5C4FHHcw" TargetMode="External"/><Relationship Id="rId3201" Type="http://schemas.openxmlformats.org/officeDocument/2006/relationships/hyperlink" Target="https://youtu.be/85VF5gsGFCQ" TargetMode="External"/><Relationship Id="rId3200" Type="http://schemas.openxmlformats.org/officeDocument/2006/relationships/hyperlink" Target="https://youtu.be/nnEzjiX9tcQ" TargetMode="External"/><Relationship Id="rId320" Type="http://schemas.openxmlformats.org/officeDocument/2006/relationships/hyperlink" Target="https://youtu.be/XWOyh_U5qRQ" TargetMode="External"/><Relationship Id="rId32" Type="http://schemas.openxmlformats.org/officeDocument/2006/relationships/hyperlink" Target="https://youtu.be/31-TonIy88A" TargetMode="External"/><Relationship Id="rId3199" Type="http://schemas.openxmlformats.org/officeDocument/2006/relationships/hyperlink" Target="https://youtu.be/QTcJGJkx-r4" TargetMode="External"/><Relationship Id="rId3198" Type="http://schemas.openxmlformats.org/officeDocument/2006/relationships/hyperlink" Target="https://youtu.be/X9fXS4-WlWE" TargetMode="External"/><Relationship Id="rId3197" Type="http://schemas.openxmlformats.org/officeDocument/2006/relationships/hyperlink" Target="https://youtu.be/1UCRJ17Kshc" TargetMode="External"/><Relationship Id="rId3196" Type="http://schemas.openxmlformats.org/officeDocument/2006/relationships/hyperlink" Target="https://youtu.be/i1oR8FsJP7I" TargetMode="External"/><Relationship Id="rId3195" Type="http://schemas.openxmlformats.org/officeDocument/2006/relationships/hyperlink" Target="https://youtu.be/4GvDoczaGDI" TargetMode="External"/><Relationship Id="rId3194" Type="http://schemas.openxmlformats.org/officeDocument/2006/relationships/hyperlink" Target="https://youtu.be/IDE7X_K8gT8" TargetMode="External"/><Relationship Id="rId3193" Type="http://schemas.openxmlformats.org/officeDocument/2006/relationships/hyperlink" Target="https://youtu.be/C2njqePX4eY" TargetMode="External"/><Relationship Id="rId3192" Type="http://schemas.openxmlformats.org/officeDocument/2006/relationships/hyperlink" Target="https://youtu.be/0CUDg0FxuJk" TargetMode="External"/><Relationship Id="rId3191" Type="http://schemas.openxmlformats.org/officeDocument/2006/relationships/hyperlink" Target="https://youtu.be/4iVaqZGti-A" TargetMode="External"/><Relationship Id="rId3190" Type="http://schemas.openxmlformats.org/officeDocument/2006/relationships/hyperlink" Target="https://youtu.be/a5c_eTwAn0o" TargetMode="External"/><Relationship Id="rId319" Type="http://schemas.openxmlformats.org/officeDocument/2006/relationships/hyperlink" Target="https://youtu.be/1clACXLdDhs" TargetMode="External"/><Relationship Id="rId3189" Type="http://schemas.openxmlformats.org/officeDocument/2006/relationships/hyperlink" Target="https://youtu.be/yAYqf5E6qIY" TargetMode="External"/><Relationship Id="rId3188" Type="http://schemas.openxmlformats.org/officeDocument/2006/relationships/hyperlink" Target="https://youtu.be/MbruHIt_oR4" TargetMode="External"/><Relationship Id="rId3187" Type="http://schemas.openxmlformats.org/officeDocument/2006/relationships/hyperlink" Target="https://youtu.be/hrI8mqeY3f0" TargetMode="External"/><Relationship Id="rId3186" Type="http://schemas.openxmlformats.org/officeDocument/2006/relationships/hyperlink" Target="https://youtu.be/zvqH8K7x2dM" TargetMode="External"/><Relationship Id="rId3185" Type="http://schemas.openxmlformats.org/officeDocument/2006/relationships/hyperlink" Target="https://youtu.be/7OszRMkK2Q0" TargetMode="External"/><Relationship Id="rId3184" Type="http://schemas.openxmlformats.org/officeDocument/2006/relationships/hyperlink" Target="https://youtu.be/MxBvdLiLV1o" TargetMode="External"/><Relationship Id="rId3183" Type="http://schemas.openxmlformats.org/officeDocument/2006/relationships/hyperlink" Target="https://youtu.be/E4eRsi0mFVA" TargetMode="External"/><Relationship Id="rId3182" Type="http://schemas.openxmlformats.org/officeDocument/2006/relationships/hyperlink" Target="https://youtu.be/5-8u1vsM3fs" TargetMode="External"/><Relationship Id="rId3181" Type="http://schemas.openxmlformats.org/officeDocument/2006/relationships/hyperlink" Target="https://youtu.be/KrEvxcrqBUI" TargetMode="External"/><Relationship Id="rId3180" Type="http://schemas.openxmlformats.org/officeDocument/2006/relationships/hyperlink" Target="https://youtu.be/uXnr1biU5hc" TargetMode="External"/><Relationship Id="rId318" Type="http://schemas.openxmlformats.org/officeDocument/2006/relationships/hyperlink" Target="https://youtu.be/h2BdBDYqXJE" TargetMode="External"/><Relationship Id="rId3179" Type="http://schemas.openxmlformats.org/officeDocument/2006/relationships/hyperlink" Target="https://youtu.be/0JVP7laAxx0" TargetMode="External"/><Relationship Id="rId3178" Type="http://schemas.openxmlformats.org/officeDocument/2006/relationships/hyperlink" Target="https://youtu.be/P4N1EX8i1CU" TargetMode="External"/><Relationship Id="rId3177" Type="http://schemas.openxmlformats.org/officeDocument/2006/relationships/hyperlink" Target="https://youtu.be/eu0Mgn0TKA8" TargetMode="External"/><Relationship Id="rId3176" Type="http://schemas.openxmlformats.org/officeDocument/2006/relationships/hyperlink" Target="https://youtu.be/xkmyhixBHyE" TargetMode="External"/><Relationship Id="rId3175" Type="http://schemas.openxmlformats.org/officeDocument/2006/relationships/hyperlink" Target="https://youtu.be/cAHB5WEzlD0" TargetMode="External"/><Relationship Id="rId3174" Type="http://schemas.openxmlformats.org/officeDocument/2006/relationships/hyperlink" Target="https://youtu.be/cmHamp0IIyE" TargetMode="External"/><Relationship Id="rId3173" Type="http://schemas.openxmlformats.org/officeDocument/2006/relationships/hyperlink" Target="https://youtu.be/D-W6c_jQex8" TargetMode="External"/><Relationship Id="rId3172" Type="http://schemas.openxmlformats.org/officeDocument/2006/relationships/hyperlink" Target="https://youtu.be/ezL6x5-_eg4" TargetMode="External"/><Relationship Id="rId3171" Type="http://schemas.openxmlformats.org/officeDocument/2006/relationships/hyperlink" Target="https://youtu.be/aQMwLQZR0FM" TargetMode="External"/><Relationship Id="rId3170" Type="http://schemas.openxmlformats.org/officeDocument/2006/relationships/hyperlink" Target="https://youtu.be/0ae2h8Qu66Y" TargetMode="External"/><Relationship Id="rId317" Type="http://schemas.openxmlformats.org/officeDocument/2006/relationships/hyperlink" Target="https://youtu.be/yc2MsGbgTuw" TargetMode="External"/><Relationship Id="rId3169" Type="http://schemas.openxmlformats.org/officeDocument/2006/relationships/hyperlink" Target="https://youtu.be/3uVNN82Wyz4" TargetMode="External"/><Relationship Id="rId3168" Type="http://schemas.openxmlformats.org/officeDocument/2006/relationships/hyperlink" Target="https://youtu.be/aN87yKcqZyE" TargetMode="External"/><Relationship Id="rId3167" Type="http://schemas.openxmlformats.org/officeDocument/2006/relationships/hyperlink" Target="https://youtu.be/DUgOPnmUySo" TargetMode="External"/><Relationship Id="rId3166" Type="http://schemas.openxmlformats.org/officeDocument/2006/relationships/hyperlink" Target="https://youtu.be/Olopl-2tIB8" TargetMode="External"/><Relationship Id="rId3165" Type="http://schemas.openxmlformats.org/officeDocument/2006/relationships/hyperlink" Target="https://youtu.be/NC3-zqZ_2QA" TargetMode="External"/><Relationship Id="rId3164" Type="http://schemas.openxmlformats.org/officeDocument/2006/relationships/hyperlink" Target="https://youtu.be/XfbOx3oalH0" TargetMode="External"/><Relationship Id="rId3163" Type="http://schemas.openxmlformats.org/officeDocument/2006/relationships/hyperlink" Target="https://youtu.be/Jz56V4mapyE" TargetMode="External"/><Relationship Id="rId3162" Type="http://schemas.openxmlformats.org/officeDocument/2006/relationships/hyperlink" Target="https://youtu.be/glKR892dYrQ" TargetMode="External"/><Relationship Id="rId3161" Type="http://schemas.openxmlformats.org/officeDocument/2006/relationships/hyperlink" Target="https://youtu.be/iq4YaTqGcf4" TargetMode="External"/><Relationship Id="rId3160" Type="http://schemas.openxmlformats.org/officeDocument/2006/relationships/hyperlink" Target="https://youtu.be/s_BeSndIuG0" TargetMode="External"/><Relationship Id="rId316" Type="http://schemas.openxmlformats.org/officeDocument/2006/relationships/hyperlink" Target="https://youtu.be/DuRtGUBewK4" TargetMode="External"/><Relationship Id="rId3159" Type="http://schemas.openxmlformats.org/officeDocument/2006/relationships/hyperlink" Target="https://youtu.be/C-263gf6kbA" TargetMode="External"/><Relationship Id="rId3158" Type="http://schemas.openxmlformats.org/officeDocument/2006/relationships/hyperlink" Target="https://youtu.be/yTWDQFmso6Y" TargetMode="External"/><Relationship Id="rId3157" Type="http://schemas.openxmlformats.org/officeDocument/2006/relationships/hyperlink" Target="https://youtu.be/WbYAX1lXotE" TargetMode="External"/><Relationship Id="rId3156" Type="http://schemas.openxmlformats.org/officeDocument/2006/relationships/hyperlink" Target="https://youtu.be/8Preb1cb8wY" TargetMode="External"/><Relationship Id="rId3155" Type="http://schemas.openxmlformats.org/officeDocument/2006/relationships/hyperlink" Target="https://youtu.be/u5UjyQh44tw" TargetMode="External"/><Relationship Id="rId3154" Type="http://schemas.openxmlformats.org/officeDocument/2006/relationships/hyperlink" Target="https://youtu.be/IC4gU69QAD0" TargetMode="External"/><Relationship Id="rId3153" Type="http://schemas.openxmlformats.org/officeDocument/2006/relationships/hyperlink" Target="https://youtu.be/ZoRFCPDcU1o" TargetMode="External"/><Relationship Id="rId3152" Type="http://schemas.openxmlformats.org/officeDocument/2006/relationships/hyperlink" Target="https://youtu.be/QhunCY-8L9Q" TargetMode="External"/><Relationship Id="rId3151" Type="http://schemas.openxmlformats.org/officeDocument/2006/relationships/hyperlink" Target="https://youtu.be/5LWtMqGbjtA" TargetMode="External"/><Relationship Id="rId3150" Type="http://schemas.openxmlformats.org/officeDocument/2006/relationships/hyperlink" Target="https://youtu.be/yuyEWbWRu5M" TargetMode="External"/><Relationship Id="rId315" Type="http://schemas.openxmlformats.org/officeDocument/2006/relationships/hyperlink" Target="https://youtu.be/agwlu0wR1_w" TargetMode="External"/><Relationship Id="rId3149" Type="http://schemas.openxmlformats.org/officeDocument/2006/relationships/hyperlink" Target="https://youtu.be/htoZwE8n--Q" TargetMode="External"/><Relationship Id="rId3148" Type="http://schemas.openxmlformats.org/officeDocument/2006/relationships/hyperlink" Target="https://youtu.be/qv-ZNyFVat4" TargetMode="External"/><Relationship Id="rId3147" Type="http://schemas.openxmlformats.org/officeDocument/2006/relationships/hyperlink" Target="https://youtu.be/23UliVfrjXA" TargetMode="External"/><Relationship Id="rId3146" Type="http://schemas.openxmlformats.org/officeDocument/2006/relationships/hyperlink" Target="https://youtu.be/f-APIYEuAfQ" TargetMode="External"/><Relationship Id="rId3145" Type="http://schemas.openxmlformats.org/officeDocument/2006/relationships/hyperlink" Target="https://youtu.be/WCpy0IUKt0Q" TargetMode="External"/><Relationship Id="rId3144" Type="http://schemas.openxmlformats.org/officeDocument/2006/relationships/hyperlink" Target="https://youtu.be/QubDudI0XVc" TargetMode="External"/><Relationship Id="rId3143" Type="http://schemas.openxmlformats.org/officeDocument/2006/relationships/hyperlink" Target="https://youtu.be/pZtN85mHkLY" TargetMode="External"/><Relationship Id="rId3142" Type="http://schemas.openxmlformats.org/officeDocument/2006/relationships/hyperlink" Target="https://youtu.be/i8WTPOYqTzU" TargetMode="External"/><Relationship Id="rId3141" Type="http://schemas.openxmlformats.org/officeDocument/2006/relationships/hyperlink" Target="https://youtu.be/21df24FXt_E" TargetMode="External"/><Relationship Id="rId3140" Type="http://schemas.openxmlformats.org/officeDocument/2006/relationships/hyperlink" Target="https://youtu.be/k4s1IADXwUI" TargetMode="External"/><Relationship Id="rId314" Type="http://schemas.openxmlformats.org/officeDocument/2006/relationships/hyperlink" Target="https://youtu.be/XRwMDlvE6h8" TargetMode="External"/><Relationship Id="rId3139" Type="http://schemas.openxmlformats.org/officeDocument/2006/relationships/hyperlink" Target="https://youtu.be/WRSncTLMRZM" TargetMode="External"/><Relationship Id="rId3138" Type="http://schemas.openxmlformats.org/officeDocument/2006/relationships/hyperlink" Target="https://youtu.be/Qanwvvbe8bM" TargetMode="External"/><Relationship Id="rId3137" Type="http://schemas.openxmlformats.org/officeDocument/2006/relationships/hyperlink" Target="https://youtu.be/mHI8RoltA4E" TargetMode="External"/><Relationship Id="rId3136" Type="http://schemas.openxmlformats.org/officeDocument/2006/relationships/hyperlink" Target="https://youtu.be/y2zoqq4_Uh4" TargetMode="External"/><Relationship Id="rId3135" Type="http://schemas.openxmlformats.org/officeDocument/2006/relationships/hyperlink" Target="https://youtu.be/xZq7FWSlhfE" TargetMode="External"/><Relationship Id="rId3134" Type="http://schemas.openxmlformats.org/officeDocument/2006/relationships/hyperlink" Target="https://youtu.be/h3VvtEQnwZI" TargetMode="External"/><Relationship Id="rId3133" Type="http://schemas.openxmlformats.org/officeDocument/2006/relationships/hyperlink" Target="https://youtu.be/GsN8OWIAO38" TargetMode="External"/><Relationship Id="rId3132" Type="http://schemas.openxmlformats.org/officeDocument/2006/relationships/hyperlink" Target="https://youtu.be/aqgtNcyLkEo" TargetMode="External"/><Relationship Id="rId3131" Type="http://schemas.openxmlformats.org/officeDocument/2006/relationships/hyperlink" Target="https://youtu.be/v_LTCS1bjVI" TargetMode="External"/><Relationship Id="rId3130" Type="http://schemas.openxmlformats.org/officeDocument/2006/relationships/hyperlink" Target="https://youtu.be/NKPKG5RbGuw" TargetMode="External"/><Relationship Id="rId313" Type="http://schemas.openxmlformats.org/officeDocument/2006/relationships/hyperlink" Target="https://youtu.be/d56BA5yLXJo" TargetMode="External"/><Relationship Id="rId3129" Type="http://schemas.openxmlformats.org/officeDocument/2006/relationships/hyperlink" Target="https://youtu.be/F5MwZu7Sehc" TargetMode="External"/><Relationship Id="rId3128" Type="http://schemas.openxmlformats.org/officeDocument/2006/relationships/hyperlink" Target="https://youtu.be/7JmJfl7_BDo" TargetMode="External"/><Relationship Id="rId3127" Type="http://schemas.openxmlformats.org/officeDocument/2006/relationships/hyperlink" Target="https://youtu.be/cA6QzliwHks" TargetMode="External"/><Relationship Id="rId3126" Type="http://schemas.openxmlformats.org/officeDocument/2006/relationships/hyperlink" Target="https://youtu.be/kFDNzGbvbGg" TargetMode="External"/><Relationship Id="rId3125" Type="http://schemas.openxmlformats.org/officeDocument/2006/relationships/hyperlink" Target="https://youtu.be/DAp1_ADRt-E" TargetMode="External"/><Relationship Id="rId3124" Type="http://schemas.openxmlformats.org/officeDocument/2006/relationships/hyperlink" Target="https://youtu.be/UIg2-B9ufDo" TargetMode="External"/><Relationship Id="rId3123" Type="http://schemas.openxmlformats.org/officeDocument/2006/relationships/hyperlink" Target="https://youtu.be/FL4ZuAR_w2k" TargetMode="External"/><Relationship Id="rId3122" Type="http://schemas.openxmlformats.org/officeDocument/2006/relationships/hyperlink" Target="https://youtu.be/H5USGLITwaU" TargetMode="External"/><Relationship Id="rId3121" Type="http://schemas.openxmlformats.org/officeDocument/2006/relationships/hyperlink" Target="https://youtu.be/MaXdoqq3Dzs" TargetMode="External"/><Relationship Id="rId3120" Type="http://schemas.openxmlformats.org/officeDocument/2006/relationships/hyperlink" Target="https://youtu.be/_zhZ2v4Aq70" TargetMode="External"/><Relationship Id="rId312" Type="http://schemas.openxmlformats.org/officeDocument/2006/relationships/hyperlink" Target="https://youtu.be/FyiMhGvQD5c" TargetMode="External"/><Relationship Id="rId3119" Type="http://schemas.openxmlformats.org/officeDocument/2006/relationships/hyperlink" Target="https://youtu.be/CpJYF2o9nBQ" TargetMode="External"/><Relationship Id="rId3118" Type="http://schemas.openxmlformats.org/officeDocument/2006/relationships/hyperlink" Target="https://youtu.be/h82WfPfzahE" TargetMode="External"/><Relationship Id="rId3117" Type="http://schemas.openxmlformats.org/officeDocument/2006/relationships/hyperlink" Target="https://youtu.be/uOQqkKECS5Y" TargetMode="External"/><Relationship Id="rId3116" Type="http://schemas.openxmlformats.org/officeDocument/2006/relationships/hyperlink" Target="https://youtu.be/0bPJWcmQAwE" TargetMode="External"/><Relationship Id="rId3115" Type="http://schemas.openxmlformats.org/officeDocument/2006/relationships/hyperlink" Target="https://youtu.be/Ijdu7-_NH0Y" TargetMode="External"/><Relationship Id="rId3114" Type="http://schemas.openxmlformats.org/officeDocument/2006/relationships/hyperlink" Target="https://youtu.be/RiD2uxMO12Q" TargetMode="External"/><Relationship Id="rId3113" Type="http://schemas.openxmlformats.org/officeDocument/2006/relationships/hyperlink" Target="https://youtu.be/hH2qZs7vH8g" TargetMode="External"/><Relationship Id="rId3112" Type="http://schemas.openxmlformats.org/officeDocument/2006/relationships/hyperlink" Target="https://youtu.be/O49YHkVVm8c" TargetMode="External"/><Relationship Id="rId3111" Type="http://schemas.openxmlformats.org/officeDocument/2006/relationships/hyperlink" Target="https://youtu.be/NoX0GYwCdBE" TargetMode="External"/><Relationship Id="rId3110" Type="http://schemas.openxmlformats.org/officeDocument/2006/relationships/hyperlink" Target="https://youtu.be/hAnJHSzHD1Q" TargetMode="External"/><Relationship Id="rId311" Type="http://schemas.openxmlformats.org/officeDocument/2006/relationships/hyperlink" Target="https://youtu.be/SDhlPEMkiOo" TargetMode="External"/><Relationship Id="rId3109" Type="http://schemas.openxmlformats.org/officeDocument/2006/relationships/hyperlink" Target="https://youtu.be/aoZIwtgEqKY" TargetMode="External"/><Relationship Id="rId3108" Type="http://schemas.openxmlformats.org/officeDocument/2006/relationships/hyperlink" Target="https://youtu.be/QqwTBUJiOCE" TargetMode="External"/><Relationship Id="rId3107" Type="http://schemas.openxmlformats.org/officeDocument/2006/relationships/hyperlink" Target="https://youtu.be/ZAId-Sf5m4U" TargetMode="External"/><Relationship Id="rId3106" Type="http://schemas.openxmlformats.org/officeDocument/2006/relationships/hyperlink" Target="https://youtu.be/1z4Kj5YsYLY" TargetMode="External"/><Relationship Id="rId3105" Type="http://schemas.openxmlformats.org/officeDocument/2006/relationships/hyperlink" Target="https://youtu.be/3hx3G25dSbY" TargetMode="External"/><Relationship Id="rId3104" Type="http://schemas.openxmlformats.org/officeDocument/2006/relationships/hyperlink" Target="https://youtu.be/JN90Y_DSE2w" TargetMode="External"/><Relationship Id="rId3103" Type="http://schemas.openxmlformats.org/officeDocument/2006/relationships/hyperlink" Target="https://youtu.be/gUh6iQ-mvU4" TargetMode="External"/><Relationship Id="rId3102" Type="http://schemas.openxmlformats.org/officeDocument/2006/relationships/hyperlink" Target="https://youtu.be/b08QZVJzz38" TargetMode="External"/><Relationship Id="rId3101" Type="http://schemas.openxmlformats.org/officeDocument/2006/relationships/hyperlink" Target="https://youtu.be/AitL5M7VzHo" TargetMode="External"/><Relationship Id="rId3100" Type="http://schemas.openxmlformats.org/officeDocument/2006/relationships/hyperlink" Target="https://youtu.be/ATW1PyDor3k" TargetMode="External"/><Relationship Id="rId310" Type="http://schemas.openxmlformats.org/officeDocument/2006/relationships/hyperlink" Target="https://youtu.be/cPmx1TtYF64" TargetMode="External"/><Relationship Id="rId31" Type="http://schemas.openxmlformats.org/officeDocument/2006/relationships/hyperlink" Target="https://youtu.be/RcbveeLCN7Q" TargetMode="External"/><Relationship Id="rId3099" Type="http://schemas.openxmlformats.org/officeDocument/2006/relationships/hyperlink" Target="https://youtu.be/GEzAUNmchZQ" TargetMode="External"/><Relationship Id="rId3098" Type="http://schemas.openxmlformats.org/officeDocument/2006/relationships/hyperlink" Target="https://youtu.be/7N-Trori7EA" TargetMode="External"/><Relationship Id="rId3097" Type="http://schemas.openxmlformats.org/officeDocument/2006/relationships/hyperlink" Target="https://youtu.be/_7cPt4e3vUA" TargetMode="External"/><Relationship Id="rId3096" Type="http://schemas.openxmlformats.org/officeDocument/2006/relationships/hyperlink" Target="https://youtu.be/QQ4Y8EGxgkU" TargetMode="External"/><Relationship Id="rId3095" Type="http://schemas.openxmlformats.org/officeDocument/2006/relationships/hyperlink" Target="https://youtu.be/cjmJrqRgdsQ" TargetMode="External"/><Relationship Id="rId3094" Type="http://schemas.openxmlformats.org/officeDocument/2006/relationships/hyperlink" Target="https://youtu.be/6vuryY-Zqnw" TargetMode="External"/><Relationship Id="rId3093" Type="http://schemas.openxmlformats.org/officeDocument/2006/relationships/hyperlink" Target="https://youtu.be/u98MCQ6dmCU" TargetMode="External"/><Relationship Id="rId3092" Type="http://schemas.openxmlformats.org/officeDocument/2006/relationships/hyperlink" Target="https://youtu.be/lxGfvKYYs1U" TargetMode="External"/><Relationship Id="rId3091" Type="http://schemas.openxmlformats.org/officeDocument/2006/relationships/hyperlink" Target="https://youtu.be/9q8MM0eDU_s" TargetMode="External"/><Relationship Id="rId3090" Type="http://schemas.openxmlformats.org/officeDocument/2006/relationships/hyperlink" Target="https://youtu.be/v8VZrP4IdZE" TargetMode="External"/><Relationship Id="rId309" Type="http://schemas.openxmlformats.org/officeDocument/2006/relationships/hyperlink" Target="https://youtu.be/WDC_DNTXlN8" TargetMode="External"/><Relationship Id="rId3089" Type="http://schemas.openxmlformats.org/officeDocument/2006/relationships/hyperlink" Target="https://youtu.be/BZ58Tg7nbYA" TargetMode="External"/><Relationship Id="rId3088" Type="http://schemas.openxmlformats.org/officeDocument/2006/relationships/hyperlink" Target="https://youtu.be/rJDYsDK5Vcw" TargetMode="External"/><Relationship Id="rId3087" Type="http://schemas.openxmlformats.org/officeDocument/2006/relationships/hyperlink" Target="https://youtu.be/lTgRM5bYqCc" TargetMode="External"/><Relationship Id="rId3086" Type="http://schemas.openxmlformats.org/officeDocument/2006/relationships/hyperlink" Target="https://youtu.be/vGnbgI7yUug" TargetMode="External"/><Relationship Id="rId3085" Type="http://schemas.openxmlformats.org/officeDocument/2006/relationships/hyperlink" Target="https://youtu.be/JfZqMJHHvns" TargetMode="External"/><Relationship Id="rId3084" Type="http://schemas.openxmlformats.org/officeDocument/2006/relationships/hyperlink" Target="https://youtu.be/6ZiBRDlfwVw" TargetMode="External"/><Relationship Id="rId3083" Type="http://schemas.openxmlformats.org/officeDocument/2006/relationships/hyperlink" Target="https://youtu.be/0pUf1IWwRcA" TargetMode="External"/><Relationship Id="rId3082" Type="http://schemas.openxmlformats.org/officeDocument/2006/relationships/hyperlink" Target="https://youtu.be/t_FFwRYfMuE" TargetMode="External"/><Relationship Id="rId3081" Type="http://schemas.openxmlformats.org/officeDocument/2006/relationships/hyperlink" Target="https://youtu.be/jMO4R3Bk8Rc" TargetMode="External"/><Relationship Id="rId3080" Type="http://schemas.openxmlformats.org/officeDocument/2006/relationships/hyperlink" Target="https://youtu.be/sVG5OdpXdx8" TargetMode="External"/><Relationship Id="rId308" Type="http://schemas.openxmlformats.org/officeDocument/2006/relationships/hyperlink" Target="https://youtu.be/I7a7mOWBV0w" TargetMode="External"/><Relationship Id="rId3079" Type="http://schemas.openxmlformats.org/officeDocument/2006/relationships/hyperlink" Target="https://youtu.be/q5c9zBbEBJw" TargetMode="External"/><Relationship Id="rId3078" Type="http://schemas.openxmlformats.org/officeDocument/2006/relationships/hyperlink" Target="https://youtu.be/oc3eiu9XeDU" TargetMode="External"/><Relationship Id="rId3077" Type="http://schemas.openxmlformats.org/officeDocument/2006/relationships/hyperlink" Target="https://youtu.be/hVmAMwmS0Rw" TargetMode="External"/><Relationship Id="rId3076" Type="http://schemas.openxmlformats.org/officeDocument/2006/relationships/hyperlink" Target="https://youtu.be/dZh91nKZb7c" TargetMode="External"/><Relationship Id="rId3075" Type="http://schemas.openxmlformats.org/officeDocument/2006/relationships/hyperlink" Target="https://youtu.be/UomgfVySkCY" TargetMode="External"/><Relationship Id="rId3074" Type="http://schemas.openxmlformats.org/officeDocument/2006/relationships/hyperlink" Target="https://youtu.be/cTDIEybgRKI" TargetMode="External"/><Relationship Id="rId3073" Type="http://schemas.openxmlformats.org/officeDocument/2006/relationships/hyperlink" Target="https://youtu.be/L6zd9d0939M" TargetMode="External"/><Relationship Id="rId3072" Type="http://schemas.openxmlformats.org/officeDocument/2006/relationships/hyperlink" Target="https://youtu.be/HzZB40CfYpc" TargetMode="External"/><Relationship Id="rId3071" Type="http://schemas.openxmlformats.org/officeDocument/2006/relationships/hyperlink" Target="https://youtu.be/BbWcwqNogV8" TargetMode="External"/><Relationship Id="rId3070" Type="http://schemas.openxmlformats.org/officeDocument/2006/relationships/hyperlink" Target="https://youtu.be/TH7CHjufk2U" TargetMode="External"/><Relationship Id="rId307" Type="http://schemas.openxmlformats.org/officeDocument/2006/relationships/hyperlink" Target="https://youtu.be/-7aIqgQ_an0" TargetMode="External"/><Relationship Id="rId3069" Type="http://schemas.openxmlformats.org/officeDocument/2006/relationships/hyperlink" Target="https://youtu.be/v7uC1qo75Is" TargetMode="External"/><Relationship Id="rId3068" Type="http://schemas.openxmlformats.org/officeDocument/2006/relationships/hyperlink" Target="https://youtu.be/drWPuXfVULs" TargetMode="External"/><Relationship Id="rId3067" Type="http://schemas.openxmlformats.org/officeDocument/2006/relationships/hyperlink" Target="https://youtu.be/_y8yfKPrDiQ" TargetMode="External"/><Relationship Id="rId3066" Type="http://schemas.openxmlformats.org/officeDocument/2006/relationships/hyperlink" Target="https://youtu.be/X-ieJKwytgI" TargetMode="External"/><Relationship Id="rId3065" Type="http://schemas.openxmlformats.org/officeDocument/2006/relationships/hyperlink" Target="https://youtu.be/Uxz7u5LDRUo" TargetMode="External"/><Relationship Id="rId3064" Type="http://schemas.openxmlformats.org/officeDocument/2006/relationships/hyperlink" Target="https://youtu.be/wkSSxjch1cM" TargetMode="External"/><Relationship Id="rId3063" Type="http://schemas.openxmlformats.org/officeDocument/2006/relationships/hyperlink" Target="https://youtu.be/cvUEr50Cos8" TargetMode="External"/><Relationship Id="rId3062" Type="http://schemas.openxmlformats.org/officeDocument/2006/relationships/hyperlink" Target="https://youtu.be/3swQ5j4ngZ8" TargetMode="External"/><Relationship Id="rId3061" Type="http://schemas.openxmlformats.org/officeDocument/2006/relationships/hyperlink" Target="https://youtu.be/qHrBhgwq__Q" TargetMode="External"/><Relationship Id="rId3060" Type="http://schemas.openxmlformats.org/officeDocument/2006/relationships/hyperlink" Target="https://youtu.be/yhetymMo_e8" TargetMode="External"/><Relationship Id="rId306" Type="http://schemas.openxmlformats.org/officeDocument/2006/relationships/hyperlink" Target="https://youtu.be/j4Z1TcQjA0Q" TargetMode="External"/><Relationship Id="rId3059" Type="http://schemas.openxmlformats.org/officeDocument/2006/relationships/hyperlink" Target="https://youtu.be/ltWsu2BhmTQ" TargetMode="External"/><Relationship Id="rId3058" Type="http://schemas.openxmlformats.org/officeDocument/2006/relationships/hyperlink" Target="https://youtu.be/hBhYneN0iAk" TargetMode="External"/><Relationship Id="rId3057" Type="http://schemas.openxmlformats.org/officeDocument/2006/relationships/hyperlink" Target="https://youtu.be/0wAKC4WRc-s" TargetMode="External"/><Relationship Id="rId3056" Type="http://schemas.openxmlformats.org/officeDocument/2006/relationships/hyperlink" Target="https://youtu.be/B0RJwEWQl88" TargetMode="External"/><Relationship Id="rId3055" Type="http://schemas.openxmlformats.org/officeDocument/2006/relationships/hyperlink" Target="https://youtu.be/IRxlYTsHwMo" TargetMode="External"/><Relationship Id="rId3054" Type="http://schemas.openxmlformats.org/officeDocument/2006/relationships/hyperlink" Target="https://youtu.be/GYopLI23Iy8" TargetMode="External"/><Relationship Id="rId3053" Type="http://schemas.openxmlformats.org/officeDocument/2006/relationships/hyperlink" Target="https://youtu.be/wXx3OGKY0IA" TargetMode="External"/><Relationship Id="rId3052" Type="http://schemas.openxmlformats.org/officeDocument/2006/relationships/hyperlink" Target="https://youtu.be/upPBd-QppA8" TargetMode="External"/><Relationship Id="rId3051" Type="http://schemas.openxmlformats.org/officeDocument/2006/relationships/hyperlink" Target="https://youtu.be/sv-qVYlp9hA" TargetMode="External"/><Relationship Id="rId3050" Type="http://schemas.openxmlformats.org/officeDocument/2006/relationships/hyperlink" Target="https://youtu.be/ttkxJ1un4sE" TargetMode="External"/><Relationship Id="rId305" Type="http://schemas.openxmlformats.org/officeDocument/2006/relationships/hyperlink" Target="https://youtu.be/NFnvR4TYg70" TargetMode="External"/><Relationship Id="rId3049" Type="http://schemas.openxmlformats.org/officeDocument/2006/relationships/hyperlink" Target="https://youtu.be/-2dGxJRzPJs" TargetMode="External"/><Relationship Id="rId3048" Type="http://schemas.openxmlformats.org/officeDocument/2006/relationships/hyperlink" Target="https://youtu.be/TIjY95sLOrU" TargetMode="External"/><Relationship Id="rId3047" Type="http://schemas.openxmlformats.org/officeDocument/2006/relationships/hyperlink" Target="https://youtu.be/Z-cc6rb1wXI" TargetMode="External"/><Relationship Id="rId3046" Type="http://schemas.openxmlformats.org/officeDocument/2006/relationships/hyperlink" Target="https://youtu.be/oNCJg1EmPjw" TargetMode="External"/><Relationship Id="rId3045" Type="http://schemas.openxmlformats.org/officeDocument/2006/relationships/hyperlink" Target="https://youtu.be/kigptp3T05E" TargetMode="External"/><Relationship Id="rId3044" Type="http://schemas.openxmlformats.org/officeDocument/2006/relationships/hyperlink" Target="https://youtu.be/f5t7NoAKqG4" TargetMode="External"/><Relationship Id="rId3043" Type="http://schemas.openxmlformats.org/officeDocument/2006/relationships/hyperlink" Target="https://youtu.be/F3I1D14GBFU" TargetMode="External"/><Relationship Id="rId3042" Type="http://schemas.openxmlformats.org/officeDocument/2006/relationships/hyperlink" Target="https://youtu.be/_NqbD71p25E" TargetMode="External"/><Relationship Id="rId3041" Type="http://schemas.openxmlformats.org/officeDocument/2006/relationships/hyperlink" Target="https://youtu.be/U3DAOF34r34" TargetMode="External"/><Relationship Id="rId3040" Type="http://schemas.openxmlformats.org/officeDocument/2006/relationships/hyperlink" Target="https://youtu.be/RCq-RPNBsIA" TargetMode="External"/><Relationship Id="rId304" Type="http://schemas.openxmlformats.org/officeDocument/2006/relationships/hyperlink" Target="https://youtu.be/3VoeRAR0YgE" TargetMode="External"/><Relationship Id="rId3039" Type="http://schemas.openxmlformats.org/officeDocument/2006/relationships/hyperlink" Target="https://youtu.be/ckp48-Ymv7k" TargetMode="External"/><Relationship Id="rId3038" Type="http://schemas.openxmlformats.org/officeDocument/2006/relationships/hyperlink" Target="https://youtu.be/ZvCbB_vGI1Y" TargetMode="External"/><Relationship Id="rId3037" Type="http://schemas.openxmlformats.org/officeDocument/2006/relationships/hyperlink" Target="https://youtu.be/7cgdlRIdZgk" TargetMode="External"/><Relationship Id="rId3036" Type="http://schemas.openxmlformats.org/officeDocument/2006/relationships/hyperlink" Target="https://youtu.be/S9pXzASpKIM" TargetMode="External"/><Relationship Id="rId3035" Type="http://schemas.openxmlformats.org/officeDocument/2006/relationships/hyperlink" Target="https://youtu.be/grieVTdxsNI" TargetMode="External"/><Relationship Id="rId3034" Type="http://schemas.openxmlformats.org/officeDocument/2006/relationships/hyperlink" Target="https://youtu.be/zruqSXVM1OY" TargetMode="External"/><Relationship Id="rId3033" Type="http://schemas.openxmlformats.org/officeDocument/2006/relationships/hyperlink" Target="https://youtu.be/czzaxkYCu54" TargetMode="External"/><Relationship Id="rId3032" Type="http://schemas.openxmlformats.org/officeDocument/2006/relationships/hyperlink" Target="https://youtu.be/rXadFVbtEkI" TargetMode="External"/><Relationship Id="rId3031" Type="http://schemas.openxmlformats.org/officeDocument/2006/relationships/hyperlink" Target="https://youtu.be/iV9WalIV91s" TargetMode="External"/><Relationship Id="rId3030" Type="http://schemas.openxmlformats.org/officeDocument/2006/relationships/hyperlink" Target="https://youtu.be/plxsW6-9DIU" TargetMode="External"/><Relationship Id="rId303" Type="http://schemas.openxmlformats.org/officeDocument/2006/relationships/hyperlink" Target="https://youtu.be/AUwg13FvkX8" TargetMode="External"/><Relationship Id="rId3029" Type="http://schemas.openxmlformats.org/officeDocument/2006/relationships/hyperlink" Target="https://youtu.be/NUkoGY4Mf68" TargetMode="External"/><Relationship Id="rId3028" Type="http://schemas.openxmlformats.org/officeDocument/2006/relationships/hyperlink" Target="https://youtu.be/Q8qolIHh4zU" TargetMode="External"/><Relationship Id="rId3027" Type="http://schemas.openxmlformats.org/officeDocument/2006/relationships/hyperlink" Target="https://youtu.be/PK78GB5UkFQ" TargetMode="External"/><Relationship Id="rId3026" Type="http://schemas.openxmlformats.org/officeDocument/2006/relationships/hyperlink" Target="https://youtu.be/ZJABYfMfA_c" TargetMode="External"/><Relationship Id="rId3025" Type="http://schemas.openxmlformats.org/officeDocument/2006/relationships/hyperlink" Target="https://youtu.be/U6eeiEQLTEg" TargetMode="External"/><Relationship Id="rId3024" Type="http://schemas.openxmlformats.org/officeDocument/2006/relationships/hyperlink" Target="https://youtu.be/NJ3Mv0w7G5A" TargetMode="External"/><Relationship Id="rId3023" Type="http://schemas.openxmlformats.org/officeDocument/2006/relationships/hyperlink" Target="https://youtu.be/mlL22pcFxPw" TargetMode="External"/><Relationship Id="rId3022" Type="http://schemas.openxmlformats.org/officeDocument/2006/relationships/hyperlink" Target="https://youtu.be/rSQ-V4QFcLk" TargetMode="External"/><Relationship Id="rId3021" Type="http://schemas.openxmlformats.org/officeDocument/2006/relationships/hyperlink" Target="https://youtu.be/q6Hrz2xXi6s" TargetMode="External"/><Relationship Id="rId3020" Type="http://schemas.openxmlformats.org/officeDocument/2006/relationships/hyperlink" Target="https://youtu.be/q1k9njdSVE0" TargetMode="External"/><Relationship Id="rId302" Type="http://schemas.openxmlformats.org/officeDocument/2006/relationships/hyperlink" Target="https://youtu.be/KnZRf5B29Bk" TargetMode="External"/><Relationship Id="rId3019" Type="http://schemas.openxmlformats.org/officeDocument/2006/relationships/hyperlink" Target="https://youtu.be/nOkUx7KG12I" TargetMode="External"/><Relationship Id="rId3018" Type="http://schemas.openxmlformats.org/officeDocument/2006/relationships/hyperlink" Target="https://youtu.be/d__xlXqYFZc" TargetMode="External"/><Relationship Id="rId3017" Type="http://schemas.openxmlformats.org/officeDocument/2006/relationships/hyperlink" Target="https://youtu.be/MH93FSS8ZOQ" TargetMode="External"/><Relationship Id="rId3016" Type="http://schemas.openxmlformats.org/officeDocument/2006/relationships/hyperlink" Target="https://youtu.be/o35D_6pcp90" TargetMode="External"/><Relationship Id="rId3015" Type="http://schemas.openxmlformats.org/officeDocument/2006/relationships/hyperlink" Target="https://youtu.be/e7DEw70LVWs" TargetMode="External"/><Relationship Id="rId3014" Type="http://schemas.openxmlformats.org/officeDocument/2006/relationships/hyperlink" Target="https://youtu.be/DRf_QY_r82M" TargetMode="External"/><Relationship Id="rId3013" Type="http://schemas.openxmlformats.org/officeDocument/2006/relationships/hyperlink" Target="https://youtu.be/SdbFn9DOzRg" TargetMode="External"/><Relationship Id="rId3012" Type="http://schemas.openxmlformats.org/officeDocument/2006/relationships/hyperlink" Target="https://youtu.be/za3999pxjI4" TargetMode="External"/><Relationship Id="rId3011" Type="http://schemas.openxmlformats.org/officeDocument/2006/relationships/hyperlink" Target="https://youtu.be/lWE5BPy3NIQ" TargetMode="External"/><Relationship Id="rId3010" Type="http://schemas.openxmlformats.org/officeDocument/2006/relationships/hyperlink" Target="https://youtu.be/gkEzvQEN70k" TargetMode="External"/><Relationship Id="rId301" Type="http://schemas.openxmlformats.org/officeDocument/2006/relationships/hyperlink" Target="https://youtu.be/XFivJfn2Ys4" TargetMode="External"/><Relationship Id="rId3009" Type="http://schemas.openxmlformats.org/officeDocument/2006/relationships/hyperlink" Target="https://youtu.be/bSyS73kwVEk" TargetMode="External"/><Relationship Id="rId3008" Type="http://schemas.openxmlformats.org/officeDocument/2006/relationships/hyperlink" Target="https://youtu.be/MEH8GXXiZnE" TargetMode="External"/><Relationship Id="rId3007" Type="http://schemas.openxmlformats.org/officeDocument/2006/relationships/hyperlink" Target="https://youtu.be/tsCAsL5581Q" TargetMode="External"/><Relationship Id="rId3006" Type="http://schemas.openxmlformats.org/officeDocument/2006/relationships/hyperlink" Target="https://youtu.be/dUyWHkE7qeU" TargetMode="External"/><Relationship Id="rId3005" Type="http://schemas.openxmlformats.org/officeDocument/2006/relationships/hyperlink" Target="https://youtu.be/ByTWL5W6NLk" TargetMode="External"/><Relationship Id="rId3004" Type="http://schemas.openxmlformats.org/officeDocument/2006/relationships/hyperlink" Target="https://youtu.be/A70ci9rY9pc" TargetMode="External"/><Relationship Id="rId3003" Type="http://schemas.openxmlformats.org/officeDocument/2006/relationships/hyperlink" Target="https://youtu.be/uQA-K9MyQ3A" TargetMode="External"/><Relationship Id="rId3002" Type="http://schemas.openxmlformats.org/officeDocument/2006/relationships/hyperlink" Target="https://youtu.be/YvF6grBY3D4" TargetMode="External"/><Relationship Id="rId3001" Type="http://schemas.openxmlformats.org/officeDocument/2006/relationships/hyperlink" Target="https://youtu.be/Uddz-3RwA_Y" TargetMode="External"/><Relationship Id="rId3000" Type="http://schemas.openxmlformats.org/officeDocument/2006/relationships/hyperlink" Target="https://youtu.be/ZD0ODZnPivc" TargetMode="External"/><Relationship Id="rId300" Type="http://schemas.openxmlformats.org/officeDocument/2006/relationships/hyperlink" Target="https://youtu.be/w5jOK3ealFE" TargetMode="External"/><Relationship Id="rId30" Type="http://schemas.openxmlformats.org/officeDocument/2006/relationships/hyperlink" Target="https://youtu.be/7wJvq_dEl4A" TargetMode="External"/><Relationship Id="rId3" Type="http://schemas.openxmlformats.org/officeDocument/2006/relationships/hyperlink" Target="https://youtu.be/kfffvezaQQI" TargetMode="External"/><Relationship Id="rId2999" Type="http://schemas.openxmlformats.org/officeDocument/2006/relationships/hyperlink" Target="https://youtu.be/kDIDNHgfkNc" TargetMode="External"/><Relationship Id="rId2998" Type="http://schemas.openxmlformats.org/officeDocument/2006/relationships/hyperlink" Target="https://youtu.be/jEl25QSruSs" TargetMode="External"/><Relationship Id="rId2997" Type="http://schemas.openxmlformats.org/officeDocument/2006/relationships/hyperlink" Target="https://youtu.be/fwxuO_Zpme8" TargetMode="External"/><Relationship Id="rId2996" Type="http://schemas.openxmlformats.org/officeDocument/2006/relationships/hyperlink" Target="https://youtu.be/8kfL-tyeFhA" TargetMode="External"/><Relationship Id="rId2995" Type="http://schemas.openxmlformats.org/officeDocument/2006/relationships/hyperlink" Target="https://youtu.be/_tpZmPlAaOo" TargetMode="External"/><Relationship Id="rId2994" Type="http://schemas.openxmlformats.org/officeDocument/2006/relationships/hyperlink" Target="https://youtu.be/HLXz1h0Uukg" TargetMode="External"/><Relationship Id="rId2993" Type="http://schemas.openxmlformats.org/officeDocument/2006/relationships/hyperlink" Target="https://youtu.be/smKA4K8iz80" TargetMode="External"/><Relationship Id="rId2992" Type="http://schemas.openxmlformats.org/officeDocument/2006/relationships/hyperlink" Target="https://youtu.be/yx8Xv6sj1u8" TargetMode="External"/><Relationship Id="rId2991" Type="http://schemas.openxmlformats.org/officeDocument/2006/relationships/hyperlink" Target="https://youtu.be/730yoTrzFpc" TargetMode="External"/><Relationship Id="rId2990" Type="http://schemas.openxmlformats.org/officeDocument/2006/relationships/hyperlink" Target="https://youtu.be/iDeMOJSt0xI" TargetMode="External"/><Relationship Id="rId299" Type="http://schemas.openxmlformats.org/officeDocument/2006/relationships/hyperlink" Target="https://youtu.be/gEfqbmexgq0" TargetMode="External"/><Relationship Id="rId2989" Type="http://schemas.openxmlformats.org/officeDocument/2006/relationships/hyperlink" Target="https://youtu.be/c1kxPclgMgo" TargetMode="External"/><Relationship Id="rId2988" Type="http://schemas.openxmlformats.org/officeDocument/2006/relationships/hyperlink" Target="https://youtu.be/exm2YAP8r4g" TargetMode="External"/><Relationship Id="rId2987" Type="http://schemas.openxmlformats.org/officeDocument/2006/relationships/hyperlink" Target="https://youtu.be/rVuOlpImsSQ" TargetMode="External"/><Relationship Id="rId2986" Type="http://schemas.openxmlformats.org/officeDocument/2006/relationships/hyperlink" Target="https://youtu.be/JRDEF7dE_K0" TargetMode="External"/><Relationship Id="rId2985" Type="http://schemas.openxmlformats.org/officeDocument/2006/relationships/hyperlink" Target="https://youtu.be/U00oAvnVp0M" TargetMode="External"/><Relationship Id="rId2984" Type="http://schemas.openxmlformats.org/officeDocument/2006/relationships/hyperlink" Target="https://youtu.be/e2VRE_0nWo8" TargetMode="External"/><Relationship Id="rId2983" Type="http://schemas.openxmlformats.org/officeDocument/2006/relationships/hyperlink" Target="https://youtu.be/C1HikbcO9aY" TargetMode="External"/><Relationship Id="rId2982" Type="http://schemas.openxmlformats.org/officeDocument/2006/relationships/hyperlink" Target="https://youtu.be/RpAUuOCmMO0" TargetMode="External"/><Relationship Id="rId2981" Type="http://schemas.openxmlformats.org/officeDocument/2006/relationships/hyperlink" Target="https://youtu.be/5GjiDj5nffA" TargetMode="External"/><Relationship Id="rId2980" Type="http://schemas.openxmlformats.org/officeDocument/2006/relationships/hyperlink" Target="https://youtu.be/arNkaEhEuWk" TargetMode="External"/><Relationship Id="rId298" Type="http://schemas.openxmlformats.org/officeDocument/2006/relationships/hyperlink" Target="https://youtu.be/u8L66TSXSxY" TargetMode="External"/><Relationship Id="rId2979" Type="http://schemas.openxmlformats.org/officeDocument/2006/relationships/hyperlink" Target="https://youtu.be/l6x3JlSQViE" TargetMode="External"/><Relationship Id="rId2978" Type="http://schemas.openxmlformats.org/officeDocument/2006/relationships/hyperlink" Target="https://youtu.be/uDjjUaeqZtw" TargetMode="External"/><Relationship Id="rId2977" Type="http://schemas.openxmlformats.org/officeDocument/2006/relationships/hyperlink" Target="https://youtu.be/zezha14MNWg" TargetMode="External"/><Relationship Id="rId2976" Type="http://schemas.openxmlformats.org/officeDocument/2006/relationships/hyperlink" Target="https://youtu.be/66YcK7vjD0E" TargetMode="External"/><Relationship Id="rId2975" Type="http://schemas.openxmlformats.org/officeDocument/2006/relationships/hyperlink" Target="https://youtu.be/ObXf1aMwZGQ" TargetMode="External"/><Relationship Id="rId2974" Type="http://schemas.openxmlformats.org/officeDocument/2006/relationships/hyperlink" Target="https://youtu.be/ObHj0QcJZFo" TargetMode="External"/><Relationship Id="rId2973" Type="http://schemas.openxmlformats.org/officeDocument/2006/relationships/hyperlink" Target="https://youtu.be/uYaOcxgCRW8" TargetMode="External"/><Relationship Id="rId2972" Type="http://schemas.openxmlformats.org/officeDocument/2006/relationships/hyperlink" Target="https://youtu.be/ZpuBY0NR3Lw" TargetMode="External"/><Relationship Id="rId2971" Type="http://schemas.openxmlformats.org/officeDocument/2006/relationships/hyperlink" Target="https://youtu.be/MmuiPBFPsfg" TargetMode="External"/><Relationship Id="rId2970" Type="http://schemas.openxmlformats.org/officeDocument/2006/relationships/hyperlink" Target="https://youtu.be/u_tGYxoWuYY" TargetMode="External"/><Relationship Id="rId297" Type="http://schemas.openxmlformats.org/officeDocument/2006/relationships/hyperlink" Target="https://youtu.be/vPkamuLqwM8" TargetMode="External"/><Relationship Id="rId2969" Type="http://schemas.openxmlformats.org/officeDocument/2006/relationships/hyperlink" Target="https://youtu.be/L_q9p0GfFdo" TargetMode="External"/><Relationship Id="rId2968" Type="http://schemas.openxmlformats.org/officeDocument/2006/relationships/hyperlink" Target="https://youtu.be/axKe--vxJUc" TargetMode="External"/><Relationship Id="rId2967" Type="http://schemas.openxmlformats.org/officeDocument/2006/relationships/hyperlink" Target="https://youtu.be/u31iDZ9GUn4" TargetMode="External"/><Relationship Id="rId2966" Type="http://schemas.openxmlformats.org/officeDocument/2006/relationships/hyperlink" Target="https://youtu.be/Ff_N7tYoW_k" TargetMode="External"/><Relationship Id="rId2965" Type="http://schemas.openxmlformats.org/officeDocument/2006/relationships/hyperlink" Target="https://youtu.be/H2Sa5vB_qBE" TargetMode="External"/><Relationship Id="rId2964" Type="http://schemas.openxmlformats.org/officeDocument/2006/relationships/hyperlink" Target="https://youtu.be/RPV0aqdRcBc" TargetMode="External"/><Relationship Id="rId2963" Type="http://schemas.openxmlformats.org/officeDocument/2006/relationships/hyperlink" Target="https://youtu.be/8BaCKePchoY" TargetMode="External"/><Relationship Id="rId2962" Type="http://schemas.openxmlformats.org/officeDocument/2006/relationships/hyperlink" Target="https://youtu.be/DbB1xCF0YOw" TargetMode="External"/><Relationship Id="rId2961" Type="http://schemas.openxmlformats.org/officeDocument/2006/relationships/hyperlink" Target="https://youtu.be/hvRtXld-9cY" TargetMode="External"/><Relationship Id="rId2960" Type="http://schemas.openxmlformats.org/officeDocument/2006/relationships/hyperlink" Target="https://youtu.be/8aN6Jo6-24c" TargetMode="External"/><Relationship Id="rId296" Type="http://schemas.openxmlformats.org/officeDocument/2006/relationships/hyperlink" Target="https://youtu.be/zRUieQ6sSfo" TargetMode="External"/><Relationship Id="rId2959" Type="http://schemas.openxmlformats.org/officeDocument/2006/relationships/hyperlink" Target="https://youtu.be/n0c3ejjii9U" TargetMode="External"/><Relationship Id="rId2958" Type="http://schemas.openxmlformats.org/officeDocument/2006/relationships/hyperlink" Target="https://youtu.be/6c2qNgXQkWE" TargetMode="External"/><Relationship Id="rId2957" Type="http://schemas.openxmlformats.org/officeDocument/2006/relationships/hyperlink" Target="https://youtu.be/qWa380jfeY0" TargetMode="External"/><Relationship Id="rId2956" Type="http://schemas.openxmlformats.org/officeDocument/2006/relationships/hyperlink" Target="https://youtu.be/R5gdAlRPBCU" TargetMode="External"/><Relationship Id="rId2955" Type="http://schemas.openxmlformats.org/officeDocument/2006/relationships/hyperlink" Target="https://youtu.be/1aTiyV5rEVQ" TargetMode="External"/><Relationship Id="rId2954" Type="http://schemas.openxmlformats.org/officeDocument/2006/relationships/hyperlink" Target="https://youtu.be/CrTUpTDyGpI" TargetMode="External"/><Relationship Id="rId2953" Type="http://schemas.openxmlformats.org/officeDocument/2006/relationships/hyperlink" Target="https://youtu.be/barTCHH0IFs" TargetMode="External"/><Relationship Id="rId2952" Type="http://schemas.openxmlformats.org/officeDocument/2006/relationships/hyperlink" Target="https://youtu.be/AdT1f8fvlf4" TargetMode="External"/><Relationship Id="rId2951" Type="http://schemas.openxmlformats.org/officeDocument/2006/relationships/hyperlink" Target="https://youtu.be/8UWJ_vjqP9s" TargetMode="External"/><Relationship Id="rId2950" Type="http://schemas.openxmlformats.org/officeDocument/2006/relationships/hyperlink" Target="https://youtu.be/oFI3Gla2eig" TargetMode="External"/><Relationship Id="rId295" Type="http://schemas.openxmlformats.org/officeDocument/2006/relationships/hyperlink" Target="https://youtu.be/91HFRawNWpA" TargetMode="External"/><Relationship Id="rId2949" Type="http://schemas.openxmlformats.org/officeDocument/2006/relationships/hyperlink" Target="https://youtu.be/QBvfEm2Ab5g" TargetMode="External"/><Relationship Id="rId2948" Type="http://schemas.openxmlformats.org/officeDocument/2006/relationships/hyperlink" Target="https://youtu.be/sTm-uBIKHEs" TargetMode="External"/><Relationship Id="rId2947" Type="http://schemas.openxmlformats.org/officeDocument/2006/relationships/hyperlink" Target="https://youtu.be/3UUMQ_uzv3Q" TargetMode="External"/><Relationship Id="rId2946" Type="http://schemas.openxmlformats.org/officeDocument/2006/relationships/hyperlink" Target="https://youtu.be/_qn9IcQKAwQ" TargetMode="External"/><Relationship Id="rId2945" Type="http://schemas.openxmlformats.org/officeDocument/2006/relationships/hyperlink" Target="https://youtu.be/iPekDRPIt_U" TargetMode="External"/><Relationship Id="rId2944" Type="http://schemas.openxmlformats.org/officeDocument/2006/relationships/hyperlink" Target="https://youtu.be/Iz2w0QOz7UE" TargetMode="External"/><Relationship Id="rId2943" Type="http://schemas.openxmlformats.org/officeDocument/2006/relationships/hyperlink" Target="https://youtu.be/7e4cmU5fbxA" TargetMode="External"/><Relationship Id="rId2942" Type="http://schemas.openxmlformats.org/officeDocument/2006/relationships/hyperlink" Target="https://youtu.be/rrU0jvZoAlk" TargetMode="External"/><Relationship Id="rId2941" Type="http://schemas.openxmlformats.org/officeDocument/2006/relationships/hyperlink" Target="https://youtu.be/nJdWUifhkbE" TargetMode="External"/><Relationship Id="rId2940" Type="http://schemas.openxmlformats.org/officeDocument/2006/relationships/hyperlink" Target="https://youtu.be/NdyjtXn3YdQ" TargetMode="External"/><Relationship Id="rId294" Type="http://schemas.openxmlformats.org/officeDocument/2006/relationships/hyperlink" Target="https://youtu.be/_BQOPYNvr98" TargetMode="External"/><Relationship Id="rId2939" Type="http://schemas.openxmlformats.org/officeDocument/2006/relationships/hyperlink" Target="https://youtu.be/IrazH3I6KWg" TargetMode="External"/><Relationship Id="rId2938" Type="http://schemas.openxmlformats.org/officeDocument/2006/relationships/hyperlink" Target="https://youtu.be/5vP8DS-yre0" TargetMode="External"/><Relationship Id="rId2937" Type="http://schemas.openxmlformats.org/officeDocument/2006/relationships/hyperlink" Target="https://youtu.be/rf9zgz834kQ" TargetMode="External"/><Relationship Id="rId2936" Type="http://schemas.openxmlformats.org/officeDocument/2006/relationships/hyperlink" Target="https://youtu.be/-snynzc0hAs" TargetMode="External"/><Relationship Id="rId2935" Type="http://schemas.openxmlformats.org/officeDocument/2006/relationships/hyperlink" Target="https://youtu.be/kDf4QJb0WCU" TargetMode="External"/><Relationship Id="rId2934" Type="http://schemas.openxmlformats.org/officeDocument/2006/relationships/hyperlink" Target="https://youtu.be/czyjjarl31Q" TargetMode="External"/><Relationship Id="rId2933" Type="http://schemas.openxmlformats.org/officeDocument/2006/relationships/hyperlink" Target="https://youtu.be/3PWPTqvPc6s" TargetMode="External"/><Relationship Id="rId2932" Type="http://schemas.openxmlformats.org/officeDocument/2006/relationships/hyperlink" Target="https://youtu.be/CyG0IzEzvBE" TargetMode="External"/><Relationship Id="rId2931" Type="http://schemas.openxmlformats.org/officeDocument/2006/relationships/hyperlink" Target="https://youtu.be/OJeubyDL2dI" TargetMode="External"/><Relationship Id="rId2930" Type="http://schemas.openxmlformats.org/officeDocument/2006/relationships/hyperlink" Target="https://youtu.be/yy2H5QbYnQQ" TargetMode="External"/><Relationship Id="rId293" Type="http://schemas.openxmlformats.org/officeDocument/2006/relationships/hyperlink" Target="https://youtu.be/o8utu2W8v_0" TargetMode="External"/><Relationship Id="rId2929" Type="http://schemas.openxmlformats.org/officeDocument/2006/relationships/hyperlink" Target="https://youtu.be/2iq_zWQemmQ" TargetMode="External"/><Relationship Id="rId2928" Type="http://schemas.openxmlformats.org/officeDocument/2006/relationships/hyperlink" Target="https://youtu.be/lvBa5Oiej_U" TargetMode="External"/><Relationship Id="rId2927" Type="http://schemas.openxmlformats.org/officeDocument/2006/relationships/hyperlink" Target="https://youtu.be/Ddll2RB00Eg" TargetMode="External"/><Relationship Id="rId2926" Type="http://schemas.openxmlformats.org/officeDocument/2006/relationships/hyperlink" Target="https://youtu.be/vsUbTXSJWWM" TargetMode="External"/><Relationship Id="rId2925" Type="http://schemas.openxmlformats.org/officeDocument/2006/relationships/hyperlink" Target="https://youtu.be/qd7meVJ7_fQ" TargetMode="External"/><Relationship Id="rId2924" Type="http://schemas.openxmlformats.org/officeDocument/2006/relationships/hyperlink" Target="https://youtu.be/4qM7O5fctK4" TargetMode="External"/><Relationship Id="rId2923" Type="http://schemas.openxmlformats.org/officeDocument/2006/relationships/hyperlink" Target="https://youtu.be/0E0Du7aSTss" TargetMode="External"/><Relationship Id="rId2922" Type="http://schemas.openxmlformats.org/officeDocument/2006/relationships/hyperlink" Target="https://youtu.be/lKaRRVt7a48" TargetMode="External"/><Relationship Id="rId2921" Type="http://schemas.openxmlformats.org/officeDocument/2006/relationships/hyperlink" Target="https://youtu.be/a3nge7WcpzM" TargetMode="External"/><Relationship Id="rId2920" Type="http://schemas.openxmlformats.org/officeDocument/2006/relationships/hyperlink" Target="https://youtu.be/5WblS6Gn-sY" TargetMode="External"/><Relationship Id="rId292" Type="http://schemas.openxmlformats.org/officeDocument/2006/relationships/hyperlink" Target="https://youtu.be/ngfUbxrRnuU" TargetMode="External"/><Relationship Id="rId2919" Type="http://schemas.openxmlformats.org/officeDocument/2006/relationships/hyperlink" Target="https://youtu.be/PE5itvVLWsg" TargetMode="External"/><Relationship Id="rId2918" Type="http://schemas.openxmlformats.org/officeDocument/2006/relationships/hyperlink" Target="https://youtu.be/SnPQb10rFw4" TargetMode="External"/><Relationship Id="rId2917" Type="http://schemas.openxmlformats.org/officeDocument/2006/relationships/hyperlink" Target="https://youtu.be/WdzKlmMFGA8" TargetMode="External"/><Relationship Id="rId2916" Type="http://schemas.openxmlformats.org/officeDocument/2006/relationships/hyperlink" Target="https://youtu.be/hmJU--0tckc" TargetMode="External"/><Relationship Id="rId2915" Type="http://schemas.openxmlformats.org/officeDocument/2006/relationships/hyperlink" Target="https://youtu.be/9mxHskEK_Os" TargetMode="External"/><Relationship Id="rId2914" Type="http://schemas.openxmlformats.org/officeDocument/2006/relationships/hyperlink" Target="https://youtu.be/zP8wRbWAzYY" TargetMode="External"/><Relationship Id="rId2913" Type="http://schemas.openxmlformats.org/officeDocument/2006/relationships/hyperlink" Target="https://youtu.be/9EnQ3KOJ8iM" TargetMode="External"/><Relationship Id="rId2912" Type="http://schemas.openxmlformats.org/officeDocument/2006/relationships/hyperlink" Target="https://youtu.be/S7eMODqLBrQ" TargetMode="External"/><Relationship Id="rId2911" Type="http://schemas.openxmlformats.org/officeDocument/2006/relationships/hyperlink" Target="https://youtu.be/t4I3ZRTefEo" TargetMode="External"/><Relationship Id="rId2910" Type="http://schemas.openxmlformats.org/officeDocument/2006/relationships/hyperlink" Target="https://youtu.be/HuXbXSJfCEs" TargetMode="External"/><Relationship Id="rId291" Type="http://schemas.openxmlformats.org/officeDocument/2006/relationships/hyperlink" Target="https://youtu.be/pBa4mjXUW_o" TargetMode="External"/><Relationship Id="rId2909" Type="http://schemas.openxmlformats.org/officeDocument/2006/relationships/hyperlink" Target="https://youtu.be/CQ2lFUJUMIk" TargetMode="External"/><Relationship Id="rId2908" Type="http://schemas.openxmlformats.org/officeDocument/2006/relationships/hyperlink" Target="https://youtu.be/YasuPf09rrs" TargetMode="External"/><Relationship Id="rId2907" Type="http://schemas.openxmlformats.org/officeDocument/2006/relationships/hyperlink" Target="https://youtu.be/hWz5ltE_I4c" TargetMode="External"/><Relationship Id="rId2906" Type="http://schemas.openxmlformats.org/officeDocument/2006/relationships/hyperlink" Target="https://youtu.be/3pz-Xm5r-X8" TargetMode="External"/><Relationship Id="rId2905" Type="http://schemas.openxmlformats.org/officeDocument/2006/relationships/hyperlink" Target="https://youtu.be/7pjboLP3IGw" TargetMode="External"/><Relationship Id="rId2904" Type="http://schemas.openxmlformats.org/officeDocument/2006/relationships/hyperlink" Target="https://youtu.be/ySEWSCoCvdg" TargetMode="External"/><Relationship Id="rId2903" Type="http://schemas.openxmlformats.org/officeDocument/2006/relationships/hyperlink" Target="https://youtu.be/qbDSusHrvZ0" TargetMode="External"/><Relationship Id="rId2902" Type="http://schemas.openxmlformats.org/officeDocument/2006/relationships/hyperlink" Target="https://youtu.be/R9rqNX-U39g" TargetMode="External"/><Relationship Id="rId2901" Type="http://schemas.openxmlformats.org/officeDocument/2006/relationships/hyperlink" Target="https://youtu.be/R157tS9t52Q" TargetMode="External"/><Relationship Id="rId2900" Type="http://schemas.openxmlformats.org/officeDocument/2006/relationships/hyperlink" Target="https://youtu.be/YfCws6c6_Tw" TargetMode="External"/><Relationship Id="rId290" Type="http://schemas.openxmlformats.org/officeDocument/2006/relationships/hyperlink" Target="https://youtu.be/bBKe3cuw-b8" TargetMode="External"/><Relationship Id="rId29" Type="http://schemas.openxmlformats.org/officeDocument/2006/relationships/hyperlink" Target="https://youtu.be/7nMlsS4-Lko" TargetMode="External"/><Relationship Id="rId2899" Type="http://schemas.openxmlformats.org/officeDocument/2006/relationships/hyperlink" Target="https://youtu.be/Su0I0T43aPg" TargetMode="External"/><Relationship Id="rId2898" Type="http://schemas.openxmlformats.org/officeDocument/2006/relationships/hyperlink" Target="https://youtu.be/rJcV_kWIR2A" TargetMode="External"/><Relationship Id="rId2897" Type="http://schemas.openxmlformats.org/officeDocument/2006/relationships/hyperlink" Target="https://youtu.be/pXoaiZMcKn8" TargetMode="External"/><Relationship Id="rId2896" Type="http://schemas.openxmlformats.org/officeDocument/2006/relationships/hyperlink" Target="https://youtu.be/L_NrzD5_D3E" TargetMode="External"/><Relationship Id="rId2895" Type="http://schemas.openxmlformats.org/officeDocument/2006/relationships/hyperlink" Target="https://youtu.be/KPpWRXmEnR8" TargetMode="External"/><Relationship Id="rId2894" Type="http://schemas.openxmlformats.org/officeDocument/2006/relationships/hyperlink" Target="https://youtu.be/PbLHgGbzTZI" TargetMode="External"/><Relationship Id="rId2893" Type="http://schemas.openxmlformats.org/officeDocument/2006/relationships/hyperlink" Target="https://youtu.be/0JnLhJhl_00" TargetMode="External"/><Relationship Id="rId2892" Type="http://schemas.openxmlformats.org/officeDocument/2006/relationships/hyperlink" Target="https://youtu.be/LhdCeiiAGjY" TargetMode="External"/><Relationship Id="rId2891" Type="http://schemas.openxmlformats.org/officeDocument/2006/relationships/hyperlink" Target="https://youtu.be/U9VFwGYRZQg" TargetMode="External"/><Relationship Id="rId2890" Type="http://schemas.openxmlformats.org/officeDocument/2006/relationships/hyperlink" Target="https://youtu.be/3m8hTq0xtkw" TargetMode="External"/><Relationship Id="rId289" Type="http://schemas.openxmlformats.org/officeDocument/2006/relationships/hyperlink" Target="https://youtu.be/ZSa5C8gX_IY" TargetMode="External"/><Relationship Id="rId2889" Type="http://schemas.openxmlformats.org/officeDocument/2006/relationships/hyperlink" Target="https://youtu.be/iiyK9_tgek0" TargetMode="External"/><Relationship Id="rId2888" Type="http://schemas.openxmlformats.org/officeDocument/2006/relationships/hyperlink" Target="https://youtu.be/CNSmfxriT80" TargetMode="External"/><Relationship Id="rId2887" Type="http://schemas.openxmlformats.org/officeDocument/2006/relationships/hyperlink" Target="https://youtu.be/vZO27PSZbrc" TargetMode="External"/><Relationship Id="rId2886" Type="http://schemas.openxmlformats.org/officeDocument/2006/relationships/hyperlink" Target="https://youtu.be/dwxBC0n2SNI" TargetMode="External"/><Relationship Id="rId2885" Type="http://schemas.openxmlformats.org/officeDocument/2006/relationships/hyperlink" Target="https://youtu.be/0gEuzdgir2w" TargetMode="External"/><Relationship Id="rId2884" Type="http://schemas.openxmlformats.org/officeDocument/2006/relationships/hyperlink" Target="https://youtu.be/RGDkmkX1f94" TargetMode="External"/><Relationship Id="rId2883" Type="http://schemas.openxmlformats.org/officeDocument/2006/relationships/hyperlink" Target="https://youtu.be/M85C7BsEP_g" TargetMode="External"/><Relationship Id="rId2882" Type="http://schemas.openxmlformats.org/officeDocument/2006/relationships/hyperlink" Target="https://youtu.be/w2fdRww2A14" TargetMode="External"/><Relationship Id="rId2881" Type="http://schemas.openxmlformats.org/officeDocument/2006/relationships/hyperlink" Target="https://youtu.be/tOXJgYnyGoM" TargetMode="External"/><Relationship Id="rId2880" Type="http://schemas.openxmlformats.org/officeDocument/2006/relationships/hyperlink" Target="https://youtu.be/yFGz3EjaFjA" TargetMode="External"/><Relationship Id="rId288" Type="http://schemas.openxmlformats.org/officeDocument/2006/relationships/hyperlink" Target="https://youtu.be/HXs-OtvIyxw" TargetMode="External"/><Relationship Id="rId2879" Type="http://schemas.openxmlformats.org/officeDocument/2006/relationships/hyperlink" Target="https://youtu.be/F1iQyFFX63o" TargetMode="External"/><Relationship Id="rId2878" Type="http://schemas.openxmlformats.org/officeDocument/2006/relationships/hyperlink" Target="https://youtu.be/kHI9bTsn7ds" TargetMode="External"/><Relationship Id="rId2877" Type="http://schemas.openxmlformats.org/officeDocument/2006/relationships/hyperlink" Target="https://youtu.be/GPrd9hM4WFU" TargetMode="External"/><Relationship Id="rId2876" Type="http://schemas.openxmlformats.org/officeDocument/2006/relationships/hyperlink" Target="https://youtu.be/U0rl_-z1YwQ" TargetMode="External"/><Relationship Id="rId2875" Type="http://schemas.openxmlformats.org/officeDocument/2006/relationships/hyperlink" Target="https://youtu.be/0BkR6JPCSvA" TargetMode="External"/><Relationship Id="rId2874" Type="http://schemas.openxmlformats.org/officeDocument/2006/relationships/hyperlink" Target="https://youtu.be/Jn7MdfdRFr0" TargetMode="External"/><Relationship Id="rId2873" Type="http://schemas.openxmlformats.org/officeDocument/2006/relationships/hyperlink" Target="https://youtu.be/xKTN0CHq7sk" TargetMode="External"/><Relationship Id="rId2872" Type="http://schemas.openxmlformats.org/officeDocument/2006/relationships/hyperlink" Target="https://youtu.be/5F412sXS6pA" TargetMode="External"/><Relationship Id="rId2871" Type="http://schemas.openxmlformats.org/officeDocument/2006/relationships/hyperlink" Target="https://youtu.be/zW8-HKTB9tY" TargetMode="External"/><Relationship Id="rId2870" Type="http://schemas.openxmlformats.org/officeDocument/2006/relationships/hyperlink" Target="https://youtu.be/lSrmxAy8BwE" TargetMode="External"/><Relationship Id="rId287" Type="http://schemas.openxmlformats.org/officeDocument/2006/relationships/hyperlink" Target="https://youtu.be/bPOfgiArkbI" TargetMode="External"/><Relationship Id="rId2869" Type="http://schemas.openxmlformats.org/officeDocument/2006/relationships/hyperlink" Target="https://youtu.be/Eb8MfkgDFTA" TargetMode="External"/><Relationship Id="rId2868" Type="http://schemas.openxmlformats.org/officeDocument/2006/relationships/hyperlink" Target="https://youtu.be/0g9nZRNjAAM" TargetMode="External"/><Relationship Id="rId2867" Type="http://schemas.openxmlformats.org/officeDocument/2006/relationships/hyperlink" Target="https://youtu.be/9hO6I8ybLCA" TargetMode="External"/><Relationship Id="rId2866" Type="http://schemas.openxmlformats.org/officeDocument/2006/relationships/hyperlink" Target="https://youtu.be/BJ293OyB84M" TargetMode="External"/><Relationship Id="rId2865" Type="http://schemas.openxmlformats.org/officeDocument/2006/relationships/hyperlink" Target="https://youtu.be/GNbW9F4tr_I" TargetMode="External"/><Relationship Id="rId2864" Type="http://schemas.openxmlformats.org/officeDocument/2006/relationships/hyperlink" Target="https://youtu.be/qnFNZGdKn7U" TargetMode="External"/><Relationship Id="rId2863" Type="http://schemas.openxmlformats.org/officeDocument/2006/relationships/hyperlink" Target="https://youtu.be/qYXVWGnr4kY" TargetMode="External"/><Relationship Id="rId2862" Type="http://schemas.openxmlformats.org/officeDocument/2006/relationships/hyperlink" Target="https://youtu.be/Tt2ayBSnexo" TargetMode="External"/><Relationship Id="rId2861" Type="http://schemas.openxmlformats.org/officeDocument/2006/relationships/hyperlink" Target="https://youtu.be/dXcrRyo1yS4" TargetMode="External"/><Relationship Id="rId2860" Type="http://schemas.openxmlformats.org/officeDocument/2006/relationships/hyperlink" Target="https://youtu.be/nWHbDib7spI" TargetMode="External"/><Relationship Id="rId286" Type="http://schemas.openxmlformats.org/officeDocument/2006/relationships/hyperlink" Target="https://youtu.be/jEyiHgRPEJc" TargetMode="External"/><Relationship Id="rId2859" Type="http://schemas.openxmlformats.org/officeDocument/2006/relationships/hyperlink" Target="https://youtu.be/WGY2v_Ge3d0" TargetMode="External"/><Relationship Id="rId2858" Type="http://schemas.openxmlformats.org/officeDocument/2006/relationships/hyperlink" Target="https://youtu.be/VYtRIRNbPHo" TargetMode="External"/><Relationship Id="rId2857" Type="http://schemas.openxmlformats.org/officeDocument/2006/relationships/hyperlink" Target="https://youtu.be/1GfAAokC4YY" TargetMode="External"/><Relationship Id="rId2856" Type="http://schemas.openxmlformats.org/officeDocument/2006/relationships/hyperlink" Target="https://youtu.be/1edR-eqo7bg" TargetMode="External"/><Relationship Id="rId2855" Type="http://schemas.openxmlformats.org/officeDocument/2006/relationships/hyperlink" Target="https://youtu.be/PXsd5lnb0WM" TargetMode="External"/><Relationship Id="rId2854" Type="http://schemas.openxmlformats.org/officeDocument/2006/relationships/hyperlink" Target="https://youtu.be/hK_iJTP8tLk" TargetMode="External"/><Relationship Id="rId2853" Type="http://schemas.openxmlformats.org/officeDocument/2006/relationships/hyperlink" Target="https://youtu.be/Rat8vk1ZqN8" TargetMode="External"/><Relationship Id="rId2852" Type="http://schemas.openxmlformats.org/officeDocument/2006/relationships/hyperlink" Target="https://youtu.be/bA9PXqX_L4Y" TargetMode="External"/><Relationship Id="rId2851" Type="http://schemas.openxmlformats.org/officeDocument/2006/relationships/hyperlink" Target="https://youtu.be/3GZy4EK6Tic" TargetMode="External"/><Relationship Id="rId2850" Type="http://schemas.openxmlformats.org/officeDocument/2006/relationships/hyperlink" Target="https://youtu.be/KRLCJ14tULQ" TargetMode="External"/><Relationship Id="rId285" Type="http://schemas.openxmlformats.org/officeDocument/2006/relationships/hyperlink" Target="https://youtu.be/sXFtMoJDM18" TargetMode="External"/><Relationship Id="rId2849" Type="http://schemas.openxmlformats.org/officeDocument/2006/relationships/hyperlink" Target="https://youtu.be/Ohs8TQxDuX8" TargetMode="External"/><Relationship Id="rId2848" Type="http://schemas.openxmlformats.org/officeDocument/2006/relationships/hyperlink" Target="https://youtu.be/HUIPjYqbMIA" TargetMode="External"/><Relationship Id="rId2847" Type="http://schemas.openxmlformats.org/officeDocument/2006/relationships/hyperlink" Target="https://youtu.be/DhuxwKfi8IY" TargetMode="External"/><Relationship Id="rId2846" Type="http://schemas.openxmlformats.org/officeDocument/2006/relationships/hyperlink" Target="https://youtu.be/kd4cHe9-iME" TargetMode="External"/><Relationship Id="rId2845" Type="http://schemas.openxmlformats.org/officeDocument/2006/relationships/hyperlink" Target="https://youtu.be/8LUMvJD8tX8" TargetMode="External"/><Relationship Id="rId2844" Type="http://schemas.openxmlformats.org/officeDocument/2006/relationships/hyperlink" Target="https://youtu.be/2VHCxltC91g" TargetMode="External"/><Relationship Id="rId2843" Type="http://schemas.openxmlformats.org/officeDocument/2006/relationships/hyperlink" Target="https://youtu.be/7nniQacLdfw" TargetMode="External"/><Relationship Id="rId2842" Type="http://schemas.openxmlformats.org/officeDocument/2006/relationships/hyperlink" Target="https://youtu.be/eQaCFrjWSBo" TargetMode="External"/><Relationship Id="rId2841" Type="http://schemas.openxmlformats.org/officeDocument/2006/relationships/hyperlink" Target="https://youtu.be/fCWT563ckpE" TargetMode="External"/><Relationship Id="rId2840" Type="http://schemas.openxmlformats.org/officeDocument/2006/relationships/hyperlink" Target="https://youtu.be/kFcXLNpVO90" TargetMode="External"/><Relationship Id="rId284" Type="http://schemas.openxmlformats.org/officeDocument/2006/relationships/hyperlink" Target="https://youtu.be/sH0hz7Z0JPc" TargetMode="External"/><Relationship Id="rId2839" Type="http://schemas.openxmlformats.org/officeDocument/2006/relationships/hyperlink" Target="https://youtu.be/lOSOfZCs2qQ" TargetMode="External"/><Relationship Id="rId2838" Type="http://schemas.openxmlformats.org/officeDocument/2006/relationships/hyperlink" Target="https://youtu.be/YOuz7rTUP7M" TargetMode="External"/><Relationship Id="rId2837" Type="http://schemas.openxmlformats.org/officeDocument/2006/relationships/hyperlink" Target="https://youtu.be/sBpFdbqWoNI" TargetMode="External"/><Relationship Id="rId2836" Type="http://schemas.openxmlformats.org/officeDocument/2006/relationships/hyperlink" Target="https://youtu.be/Lg5vd_Gs0G4" TargetMode="External"/><Relationship Id="rId2835" Type="http://schemas.openxmlformats.org/officeDocument/2006/relationships/hyperlink" Target="https://youtu.be/bGoJ66WNapE" TargetMode="External"/><Relationship Id="rId2834" Type="http://schemas.openxmlformats.org/officeDocument/2006/relationships/hyperlink" Target="https://youtu.be/9T0Sk1JV_oc" TargetMode="External"/><Relationship Id="rId2833" Type="http://schemas.openxmlformats.org/officeDocument/2006/relationships/hyperlink" Target="https://youtu.be/FZavdmhmuRI" TargetMode="External"/><Relationship Id="rId2832" Type="http://schemas.openxmlformats.org/officeDocument/2006/relationships/hyperlink" Target="https://youtu.be/V1QhuWFWHIk" TargetMode="External"/><Relationship Id="rId2831" Type="http://schemas.openxmlformats.org/officeDocument/2006/relationships/hyperlink" Target="https://youtu.be/xttzy1YDehM" TargetMode="External"/><Relationship Id="rId2830" Type="http://schemas.openxmlformats.org/officeDocument/2006/relationships/hyperlink" Target="https://youtu.be/xyNEnBqBxuM" TargetMode="External"/><Relationship Id="rId283" Type="http://schemas.openxmlformats.org/officeDocument/2006/relationships/hyperlink" Target="https://youtu.be/NBdKcIbHBj0" TargetMode="External"/><Relationship Id="rId2829" Type="http://schemas.openxmlformats.org/officeDocument/2006/relationships/hyperlink" Target="https://youtu.be/YcHUlVMKy5o" TargetMode="External"/><Relationship Id="rId2828" Type="http://schemas.openxmlformats.org/officeDocument/2006/relationships/hyperlink" Target="https://youtu.be/AQx9GRwHD74" TargetMode="External"/><Relationship Id="rId2827" Type="http://schemas.openxmlformats.org/officeDocument/2006/relationships/hyperlink" Target="https://youtu.be/ANRgfnTcM2o" TargetMode="External"/><Relationship Id="rId2826" Type="http://schemas.openxmlformats.org/officeDocument/2006/relationships/hyperlink" Target="https://youtu.be/dKSbZQX4sSw" TargetMode="External"/><Relationship Id="rId2825" Type="http://schemas.openxmlformats.org/officeDocument/2006/relationships/hyperlink" Target="https://youtu.be/KYgmShdAUdk" TargetMode="External"/><Relationship Id="rId2824" Type="http://schemas.openxmlformats.org/officeDocument/2006/relationships/hyperlink" Target="https://youtu.be/nbHj4P81voA" TargetMode="External"/><Relationship Id="rId2823" Type="http://schemas.openxmlformats.org/officeDocument/2006/relationships/hyperlink" Target="https://youtu.be/C-w2oyGKEEg" TargetMode="External"/><Relationship Id="rId2822" Type="http://schemas.openxmlformats.org/officeDocument/2006/relationships/hyperlink" Target="https://youtu.be/mpIBhSXPEbo" TargetMode="External"/><Relationship Id="rId2821" Type="http://schemas.openxmlformats.org/officeDocument/2006/relationships/hyperlink" Target="https://youtu.be/P6P7xhuLd84" TargetMode="External"/><Relationship Id="rId2820" Type="http://schemas.openxmlformats.org/officeDocument/2006/relationships/hyperlink" Target="https://youtu.be/57YGgtb9Ktg" TargetMode="External"/><Relationship Id="rId282" Type="http://schemas.openxmlformats.org/officeDocument/2006/relationships/hyperlink" Target="https://youtu.be/-zhili_b_Bw" TargetMode="External"/><Relationship Id="rId2819" Type="http://schemas.openxmlformats.org/officeDocument/2006/relationships/hyperlink" Target="https://youtu.be/XJklKnUsyEw" TargetMode="External"/><Relationship Id="rId2818" Type="http://schemas.openxmlformats.org/officeDocument/2006/relationships/hyperlink" Target="https://youtu.be/w6fOS2H0oBM" TargetMode="External"/><Relationship Id="rId2817" Type="http://schemas.openxmlformats.org/officeDocument/2006/relationships/hyperlink" Target="https://youtu.be/05v8YtGIWvo" TargetMode="External"/><Relationship Id="rId2816" Type="http://schemas.openxmlformats.org/officeDocument/2006/relationships/hyperlink" Target="https://youtu.be/GvFlYC_9le0" TargetMode="External"/><Relationship Id="rId2815" Type="http://schemas.openxmlformats.org/officeDocument/2006/relationships/hyperlink" Target="https://youtu.be/NUqm_-0P7y8" TargetMode="External"/><Relationship Id="rId2814" Type="http://schemas.openxmlformats.org/officeDocument/2006/relationships/hyperlink" Target="https://youtu.be/Hte9L5BXlDU" TargetMode="External"/><Relationship Id="rId2813" Type="http://schemas.openxmlformats.org/officeDocument/2006/relationships/hyperlink" Target="https://youtu.be/gvQkqhDdhE4" TargetMode="External"/><Relationship Id="rId2812" Type="http://schemas.openxmlformats.org/officeDocument/2006/relationships/hyperlink" Target="https://youtu.be/53dWeDNsTF0" TargetMode="External"/><Relationship Id="rId2811" Type="http://schemas.openxmlformats.org/officeDocument/2006/relationships/hyperlink" Target="https://youtu.be/Vi5N-bBHBLE" TargetMode="External"/><Relationship Id="rId2810" Type="http://schemas.openxmlformats.org/officeDocument/2006/relationships/hyperlink" Target="https://youtu.be/dJ5EJs-KLGI" TargetMode="External"/><Relationship Id="rId281" Type="http://schemas.openxmlformats.org/officeDocument/2006/relationships/hyperlink" Target="https://youtu.be/WJUdH3uWkFI" TargetMode="External"/><Relationship Id="rId2809" Type="http://schemas.openxmlformats.org/officeDocument/2006/relationships/hyperlink" Target="https://youtu.be/GNSdLjZdp7M" TargetMode="External"/><Relationship Id="rId2808" Type="http://schemas.openxmlformats.org/officeDocument/2006/relationships/hyperlink" Target="https://youtu.be/yasf5CjByZ0" TargetMode="External"/><Relationship Id="rId2807" Type="http://schemas.openxmlformats.org/officeDocument/2006/relationships/hyperlink" Target="https://youtu.be/Z8KJOcN--HM" TargetMode="External"/><Relationship Id="rId2806" Type="http://schemas.openxmlformats.org/officeDocument/2006/relationships/hyperlink" Target="https://youtu.be/NrCmcdxrBI4" TargetMode="External"/><Relationship Id="rId2805" Type="http://schemas.openxmlformats.org/officeDocument/2006/relationships/hyperlink" Target="https://youtu.be/F2k3EOvwAhE" TargetMode="External"/><Relationship Id="rId2804" Type="http://schemas.openxmlformats.org/officeDocument/2006/relationships/hyperlink" Target="https://youtu.be/quHss1puIdc" TargetMode="External"/><Relationship Id="rId2803" Type="http://schemas.openxmlformats.org/officeDocument/2006/relationships/hyperlink" Target="https://youtu.be/5fOmqFndsg0" TargetMode="External"/><Relationship Id="rId2802" Type="http://schemas.openxmlformats.org/officeDocument/2006/relationships/hyperlink" Target="https://youtu.be/fMIQSfqlLd4" TargetMode="External"/><Relationship Id="rId2801" Type="http://schemas.openxmlformats.org/officeDocument/2006/relationships/hyperlink" Target="https://youtu.be/uFd9Xw18yfk" TargetMode="External"/><Relationship Id="rId2800" Type="http://schemas.openxmlformats.org/officeDocument/2006/relationships/hyperlink" Target="https://youtu.be/J0A7OJ7ZJes" TargetMode="External"/><Relationship Id="rId280" Type="http://schemas.openxmlformats.org/officeDocument/2006/relationships/hyperlink" Target="https://youtu.be/Hzhxyt87yBk" TargetMode="External"/><Relationship Id="rId28" Type="http://schemas.openxmlformats.org/officeDocument/2006/relationships/hyperlink" Target="https://youtu.be/ciWAQlH2nu0" TargetMode="External"/><Relationship Id="rId2799" Type="http://schemas.openxmlformats.org/officeDocument/2006/relationships/hyperlink" Target="https://youtu.be/d5lbBIJQKCw" TargetMode="External"/><Relationship Id="rId2798" Type="http://schemas.openxmlformats.org/officeDocument/2006/relationships/hyperlink" Target="https://youtu.be/QiWPIf7CuKQ" TargetMode="External"/><Relationship Id="rId2797" Type="http://schemas.openxmlformats.org/officeDocument/2006/relationships/hyperlink" Target="https://youtu.be/XCH59iKxU8Q" TargetMode="External"/><Relationship Id="rId2796" Type="http://schemas.openxmlformats.org/officeDocument/2006/relationships/hyperlink" Target="https://youtu.be/YP_ZbRY9vIY" TargetMode="External"/><Relationship Id="rId2795" Type="http://schemas.openxmlformats.org/officeDocument/2006/relationships/hyperlink" Target="https://youtu.be/s_M_Flv5-IA" TargetMode="External"/><Relationship Id="rId2794" Type="http://schemas.openxmlformats.org/officeDocument/2006/relationships/hyperlink" Target="https://youtu.be/hZudNSm1oZs" TargetMode="External"/><Relationship Id="rId2793" Type="http://schemas.openxmlformats.org/officeDocument/2006/relationships/hyperlink" Target="https://youtu.be/Kp9XKP-8YfI" TargetMode="External"/><Relationship Id="rId2792" Type="http://schemas.openxmlformats.org/officeDocument/2006/relationships/hyperlink" Target="https://youtu.be/yftHSsX6vqQ" TargetMode="External"/><Relationship Id="rId2791" Type="http://schemas.openxmlformats.org/officeDocument/2006/relationships/hyperlink" Target="https://youtu.be/dyxcXxcQb4o" TargetMode="External"/><Relationship Id="rId2790" Type="http://schemas.openxmlformats.org/officeDocument/2006/relationships/hyperlink" Target="https://youtu.be/PwlEzRgnGNI" TargetMode="External"/><Relationship Id="rId279" Type="http://schemas.openxmlformats.org/officeDocument/2006/relationships/hyperlink" Target="https://youtu.be/QDALsVmNqJg" TargetMode="External"/><Relationship Id="rId2789" Type="http://schemas.openxmlformats.org/officeDocument/2006/relationships/hyperlink" Target="https://youtu.be/-dPYiyRiI4c" TargetMode="External"/><Relationship Id="rId2788" Type="http://schemas.openxmlformats.org/officeDocument/2006/relationships/hyperlink" Target="https://youtu.be/hL0sCT_mt5E" TargetMode="External"/><Relationship Id="rId2787" Type="http://schemas.openxmlformats.org/officeDocument/2006/relationships/hyperlink" Target="https://youtu.be/HyAvYcYSSUg" TargetMode="External"/><Relationship Id="rId2786" Type="http://schemas.openxmlformats.org/officeDocument/2006/relationships/hyperlink" Target="https://youtu.be/JvZ1sYs0kuo" TargetMode="External"/><Relationship Id="rId2785" Type="http://schemas.openxmlformats.org/officeDocument/2006/relationships/hyperlink" Target="https://youtu.be/WDZ95AU9HcU" TargetMode="External"/><Relationship Id="rId2784" Type="http://schemas.openxmlformats.org/officeDocument/2006/relationships/hyperlink" Target="https://youtu.be/t_BGIBYSl0A" TargetMode="External"/><Relationship Id="rId2783" Type="http://schemas.openxmlformats.org/officeDocument/2006/relationships/hyperlink" Target="https://youtu.be/ANbqks1Z-gE" TargetMode="External"/><Relationship Id="rId2782" Type="http://schemas.openxmlformats.org/officeDocument/2006/relationships/hyperlink" Target="https://youtu.be/NTkiO3IvWEQ" TargetMode="External"/><Relationship Id="rId2781" Type="http://schemas.openxmlformats.org/officeDocument/2006/relationships/hyperlink" Target="https://youtu.be/A3Bosj8BFoQ" TargetMode="External"/><Relationship Id="rId2780" Type="http://schemas.openxmlformats.org/officeDocument/2006/relationships/hyperlink" Target="https://youtu.be/TlQDUe9l-xU" TargetMode="External"/><Relationship Id="rId278" Type="http://schemas.openxmlformats.org/officeDocument/2006/relationships/hyperlink" Target="https://youtu.be/dYINlVcCV8w" TargetMode="External"/><Relationship Id="rId2779" Type="http://schemas.openxmlformats.org/officeDocument/2006/relationships/hyperlink" Target="https://youtu.be/RWo4heFn83k" TargetMode="External"/><Relationship Id="rId2778" Type="http://schemas.openxmlformats.org/officeDocument/2006/relationships/hyperlink" Target="https://youtu.be/WIsydeu7ZTo" TargetMode="External"/><Relationship Id="rId2777" Type="http://schemas.openxmlformats.org/officeDocument/2006/relationships/hyperlink" Target="https://youtu.be/_dRV021ogqk" TargetMode="External"/><Relationship Id="rId2776" Type="http://schemas.openxmlformats.org/officeDocument/2006/relationships/hyperlink" Target="https://youtu.be/FQS_qy9MIp8" TargetMode="External"/><Relationship Id="rId2775" Type="http://schemas.openxmlformats.org/officeDocument/2006/relationships/hyperlink" Target="https://youtu.be/FRwSH_u0Ll0" TargetMode="External"/><Relationship Id="rId2774" Type="http://schemas.openxmlformats.org/officeDocument/2006/relationships/hyperlink" Target="https://youtu.be/iO9ghFLHts8" TargetMode="External"/><Relationship Id="rId2773" Type="http://schemas.openxmlformats.org/officeDocument/2006/relationships/hyperlink" Target="https://youtu.be/66QFmmkct7k" TargetMode="External"/><Relationship Id="rId2772" Type="http://schemas.openxmlformats.org/officeDocument/2006/relationships/hyperlink" Target="https://youtu.be/pUPo_lfiDR4" TargetMode="External"/><Relationship Id="rId2771" Type="http://schemas.openxmlformats.org/officeDocument/2006/relationships/hyperlink" Target="https://youtu.be/kxUhayaPyKY" TargetMode="External"/><Relationship Id="rId2770" Type="http://schemas.openxmlformats.org/officeDocument/2006/relationships/hyperlink" Target="https://youtu.be/vwmlD9Qsm0k" TargetMode="External"/><Relationship Id="rId277" Type="http://schemas.openxmlformats.org/officeDocument/2006/relationships/hyperlink" Target="https://youtu.be/KSv_Y8uGwFQ" TargetMode="External"/><Relationship Id="rId2769" Type="http://schemas.openxmlformats.org/officeDocument/2006/relationships/hyperlink" Target="https://youtu.be/ATDATnaDhD4" TargetMode="External"/><Relationship Id="rId2768" Type="http://schemas.openxmlformats.org/officeDocument/2006/relationships/hyperlink" Target="https://youtu.be/o_ynJ8UvC-E" TargetMode="External"/><Relationship Id="rId2767" Type="http://schemas.openxmlformats.org/officeDocument/2006/relationships/hyperlink" Target="https://youtu.be/nvLKAFDPaBM" TargetMode="External"/><Relationship Id="rId2766" Type="http://schemas.openxmlformats.org/officeDocument/2006/relationships/hyperlink" Target="https://youtu.be/QDBsq5kWwiA" TargetMode="External"/><Relationship Id="rId2765" Type="http://schemas.openxmlformats.org/officeDocument/2006/relationships/hyperlink" Target="https://youtu.be/pP8D5M7-enk" TargetMode="External"/><Relationship Id="rId2764" Type="http://schemas.openxmlformats.org/officeDocument/2006/relationships/hyperlink" Target="https://youtu.be/PSvDg6PRSd8" TargetMode="External"/><Relationship Id="rId2763" Type="http://schemas.openxmlformats.org/officeDocument/2006/relationships/hyperlink" Target="https://youtu.be/XcKq3YjQSXE" TargetMode="External"/><Relationship Id="rId2762" Type="http://schemas.openxmlformats.org/officeDocument/2006/relationships/hyperlink" Target="https://youtu.be/-ttFW4MEjhg" TargetMode="External"/><Relationship Id="rId2761" Type="http://schemas.openxmlformats.org/officeDocument/2006/relationships/hyperlink" Target="https://youtu.be/v3hiGch1FRM" TargetMode="External"/><Relationship Id="rId2760" Type="http://schemas.openxmlformats.org/officeDocument/2006/relationships/hyperlink" Target="https://youtu.be/M3g_WPsAeQY" TargetMode="External"/><Relationship Id="rId276" Type="http://schemas.openxmlformats.org/officeDocument/2006/relationships/hyperlink" Target="https://youtu.be/xFK7gkj6yN8" TargetMode="External"/><Relationship Id="rId2759" Type="http://schemas.openxmlformats.org/officeDocument/2006/relationships/hyperlink" Target="https://youtu.be/to04NU9eCNg" TargetMode="External"/><Relationship Id="rId2758" Type="http://schemas.openxmlformats.org/officeDocument/2006/relationships/hyperlink" Target="https://youtu.be/igM-2qegJWo" TargetMode="External"/><Relationship Id="rId2757" Type="http://schemas.openxmlformats.org/officeDocument/2006/relationships/hyperlink" Target="https://youtu.be/MZCtSqx_LXk" TargetMode="External"/><Relationship Id="rId2756" Type="http://schemas.openxmlformats.org/officeDocument/2006/relationships/hyperlink" Target="https://youtu.be/sLXvw-hIpsQ" TargetMode="External"/><Relationship Id="rId2755" Type="http://schemas.openxmlformats.org/officeDocument/2006/relationships/hyperlink" Target="https://youtu.be/h-IYHJhQolk" TargetMode="External"/><Relationship Id="rId2754" Type="http://schemas.openxmlformats.org/officeDocument/2006/relationships/hyperlink" Target="https://youtu.be/VWeucf-BjSU" TargetMode="External"/><Relationship Id="rId2753" Type="http://schemas.openxmlformats.org/officeDocument/2006/relationships/hyperlink" Target="https://youtu.be/P0H2Qhzv5vs" TargetMode="External"/><Relationship Id="rId2752" Type="http://schemas.openxmlformats.org/officeDocument/2006/relationships/hyperlink" Target="https://youtu.be/MxMk5q-W92Y" TargetMode="External"/><Relationship Id="rId2751" Type="http://schemas.openxmlformats.org/officeDocument/2006/relationships/hyperlink" Target="https://youtu.be/JvQp2TVsM74" TargetMode="External"/><Relationship Id="rId2750" Type="http://schemas.openxmlformats.org/officeDocument/2006/relationships/hyperlink" Target="https://youtu.be/66qSNb481rM" TargetMode="External"/><Relationship Id="rId275" Type="http://schemas.openxmlformats.org/officeDocument/2006/relationships/hyperlink" Target="https://youtu.be/rFwqXnCDPJU" TargetMode="External"/><Relationship Id="rId2749" Type="http://schemas.openxmlformats.org/officeDocument/2006/relationships/hyperlink" Target="https://youtu.be/DoNJwnDlQQ8" TargetMode="External"/><Relationship Id="rId2748" Type="http://schemas.openxmlformats.org/officeDocument/2006/relationships/hyperlink" Target="https://youtu.be/j4AEXtsJxp4" TargetMode="External"/><Relationship Id="rId2747" Type="http://schemas.openxmlformats.org/officeDocument/2006/relationships/hyperlink" Target="https://youtu.be/k7XJNGKWF10" TargetMode="External"/><Relationship Id="rId2746" Type="http://schemas.openxmlformats.org/officeDocument/2006/relationships/hyperlink" Target="https://youtu.be/l9Ap8vnd2dQ" TargetMode="External"/><Relationship Id="rId2745" Type="http://schemas.openxmlformats.org/officeDocument/2006/relationships/hyperlink" Target="https://youtu.be/aYGN1Y2bfIs" TargetMode="External"/><Relationship Id="rId2744" Type="http://schemas.openxmlformats.org/officeDocument/2006/relationships/hyperlink" Target="https://youtu.be/sG4AMaGiqog" TargetMode="External"/><Relationship Id="rId2743" Type="http://schemas.openxmlformats.org/officeDocument/2006/relationships/hyperlink" Target="https://youtu.be/48PVtI3lJGE" TargetMode="External"/><Relationship Id="rId2742" Type="http://schemas.openxmlformats.org/officeDocument/2006/relationships/hyperlink" Target="https://youtu.be/hV9rQKbnBEc" TargetMode="External"/><Relationship Id="rId2741" Type="http://schemas.openxmlformats.org/officeDocument/2006/relationships/hyperlink" Target="https://youtu.be/ckjF1V3E3wk" TargetMode="External"/><Relationship Id="rId2740" Type="http://schemas.openxmlformats.org/officeDocument/2006/relationships/hyperlink" Target="https://youtu.be/fturU0u5KJo" TargetMode="External"/><Relationship Id="rId274" Type="http://schemas.openxmlformats.org/officeDocument/2006/relationships/hyperlink" Target="https://youtu.be/TGkkY-Gr-Nc" TargetMode="External"/><Relationship Id="rId2739" Type="http://schemas.openxmlformats.org/officeDocument/2006/relationships/hyperlink" Target="https://youtu.be/XKZgoSKLU4I" TargetMode="External"/><Relationship Id="rId2738" Type="http://schemas.openxmlformats.org/officeDocument/2006/relationships/hyperlink" Target="https://youtu.be/GPSUHMPcW6U" TargetMode="External"/><Relationship Id="rId2737" Type="http://schemas.openxmlformats.org/officeDocument/2006/relationships/hyperlink" Target="https://youtu.be/gM_27HhWJTM" TargetMode="External"/><Relationship Id="rId2736" Type="http://schemas.openxmlformats.org/officeDocument/2006/relationships/hyperlink" Target="https://youtu.be/mUBWQA-Oywc" TargetMode="External"/><Relationship Id="rId2735" Type="http://schemas.openxmlformats.org/officeDocument/2006/relationships/hyperlink" Target="https://youtu.be/XREomzrhC2I" TargetMode="External"/><Relationship Id="rId2734" Type="http://schemas.openxmlformats.org/officeDocument/2006/relationships/hyperlink" Target="https://youtu.be/L2uEOrA28yw" TargetMode="External"/><Relationship Id="rId2733" Type="http://schemas.openxmlformats.org/officeDocument/2006/relationships/hyperlink" Target="https://youtu.be/T9g1x6HqeRY" TargetMode="External"/><Relationship Id="rId2732" Type="http://schemas.openxmlformats.org/officeDocument/2006/relationships/hyperlink" Target="https://youtu.be/vJXTOnUBTjA" TargetMode="External"/><Relationship Id="rId2731" Type="http://schemas.openxmlformats.org/officeDocument/2006/relationships/hyperlink" Target="https://youtu.be/sCjfDU5GLLg" TargetMode="External"/><Relationship Id="rId2730" Type="http://schemas.openxmlformats.org/officeDocument/2006/relationships/hyperlink" Target="https://youtu.be/uSpsjodaKw0" TargetMode="External"/><Relationship Id="rId273" Type="http://schemas.openxmlformats.org/officeDocument/2006/relationships/hyperlink" Target="https://youtu.be/sJwtuycs3Mg" TargetMode="External"/><Relationship Id="rId2729" Type="http://schemas.openxmlformats.org/officeDocument/2006/relationships/hyperlink" Target="https://youtu.be/zQJ_TMdi2xM" TargetMode="External"/><Relationship Id="rId2728" Type="http://schemas.openxmlformats.org/officeDocument/2006/relationships/hyperlink" Target="https://youtu.be/LmNfJVHEIbw" TargetMode="External"/><Relationship Id="rId2727" Type="http://schemas.openxmlformats.org/officeDocument/2006/relationships/hyperlink" Target="https://youtu.be/e6Faq1AmISI" TargetMode="External"/><Relationship Id="rId2726" Type="http://schemas.openxmlformats.org/officeDocument/2006/relationships/hyperlink" Target="https://youtu.be/G95UmbKKKf8" TargetMode="External"/><Relationship Id="rId2725" Type="http://schemas.openxmlformats.org/officeDocument/2006/relationships/hyperlink" Target="https://youtu.be/eA4JXl7OPOw" TargetMode="External"/><Relationship Id="rId2724" Type="http://schemas.openxmlformats.org/officeDocument/2006/relationships/hyperlink" Target="https://youtu.be/xXAy-IjCxrw" TargetMode="External"/><Relationship Id="rId2723" Type="http://schemas.openxmlformats.org/officeDocument/2006/relationships/hyperlink" Target="https://youtu.be/WSY4W93XVC8" TargetMode="External"/><Relationship Id="rId2722" Type="http://schemas.openxmlformats.org/officeDocument/2006/relationships/hyperlink" Target="https://youtu.be/U-r3HLYvCsQ" TargetMode="External"/><Relationship Id="rId2721" Type="http://schemas.openxmlformats.org/officeDocument/2006/relationships/hyperlink" Target="https://youtu.be/Bh-ZoDUXY48" TargetMode="External"/><Relationship Id="rId2720" Type="http://schemas.openxmlformats.org/officeDocument/2006/relationships/hyperlink" Target="https://youtu.be/eXwR0iXC0YU" TargetMode="External"/><Relationship Id="rId272" Type="http://schemas.openxmlformats.org/officeDocument/2006/relationships/hyperlink" Target="https://youtu.be/OCaviw4a5pk" TargetMode="External"/><Relationship Id="rId2719" Type="http://schemas.openxmlformats.org/officeDocument/2006/relationships/hyperlink" Target="https://youtu.be/pVdE5v2w8Pk" TargetMode="External"/><Relationship Id="rId2718" Type="http://schemas.openxmlformats.org/officeDocument/2006/relationships/hyperlink" Target="https://youtu.be/W1gzqLUQGrc" TargetMode="External"/><Relationship Id="rId2717" Type="http://schemas.openxmlformats.org/officeDocument/2006/relationships/hyperlink" Target="https://youtu.be/SIILhXOQAvM" TargetMode="External"/><Relationship Id="rId2716" Type="http://schemas.openxmlformats.org/officeDocument/2006/relationships/hyperlink" Target="https://youtu.be/YHvLIl-FV98" TargetMode="External"/><Relationship Id="rId2715" Type="http://schemas.openxmlformats.org/officeDocument/2006/relationships/hyperlink" Target="https://youtu.be/QlN71PH8q3w" TargetMode="External"/><Relationship Id="rId2714" Type="http://schemas.openxmlformats.org/officeDocument/2006/relationships/hyperlink" Target="https://youtu.be/n0mWwqB3rEw" TargetMode="External"/><Relationship Id="rId2713" Type="http://schemas.openxmlformats.org/officeDocument/2006/relationships/hyperlink" Target="https://youtu.be/ZurKkfSCJJE" TargetMode="External"/><Relationship Id="rId2712" Type="http://schemas.openxmlformats.org/officeDocument/2006/relationships/hyperlink" Target="https://youtu.be/SAkh3EaZ9-E" TargetMode="External"/><Relationship Id="rId2711" Type="http://schemas.openxmlformats.org/officeDocument/2006/relationships/hyperlink" Target="https://youtu.be/aRKxoB1EFLE" TargetMode="External"/><Relationship Id="rId2710" Type="http://schemas.openxmlformats.org/officeDocument/2006/relationships/hyperlink" Target="https://youtu.be/Dm2PK3wJVaI" TargetMode="External"/><Relationship Id="rId271" Type="http://schemas.openxmlformats.org/officeDocument/2006/relationships/hyperlink" Target="https://youtu.be/_6Jm2JUD5hM" TargetMode="External"/><Relationship Id="rId2709" Type="http://schemas.openxmlformats.org/officeDocument/2006/relationships/hyperlink" Target="https://youtu.be/Ooo9ezYVePc" TargetMode="External"/><Relationship Id="rId2708" Type="http://schemas.openxmlformats.org/officeDocument/2006/relationships/hyperlink" Target="https://youtu.be/Iu-WBaso8xI" TargetMode="External"/><Relationship Id="rId2707" Type="http://schemas.openxmlformats.org/officeDocument/2006/relationships/hyperlink" Target="https://youtu.be/r7UfMq-b0Uo" TargetMode="External"/><Relationship Id="rId2706" Type="http://schemas.openxmlformats.org/officeDocument/2006/relationships/hyperlink" Target="https://youtu.be/WVCTaxWIoRU" TargetMode="External"/><Relationship Id="rId2705" Type="http://schemas.openxmlformats.org/officeDocument/2006/relationships/hyperlink" Target="https://youtu.be/HKZ4PzIZFKs" TargetMode="External"/><Relationship Id="rId2704" Type="http://schemas.openxmlformats.org/officeDocument/2006/relationships/hyperlink" Target="https://youtu.be/Ibdz9Zdjy5c" TargetMode="External"/><Relationship Id="rId2703" Type="http://schemas.openxmlformats.org/officeDocument/2006/relationships/hyperlink" Target="https://youtu.be/VoLf3lgCU_Q" TargetMode="External"/><Relationship Id="rId2702" Type="http://schemas.openxmlformats.org/officeDocument/2006/relationships/hyperlink" Target="https://youtu.be/kFS8G3kPbcs" TargetMode="External"/><Relationship Id="rId2701" Type="http://schemas.openxmlformats.org/officeDocument/2006/relationships/hyperlink" Target="https://youtu.be/l3ycSKfENcE" TargetMode="External"/><Relationship Id="rId2700" Type="http://schemas.openxmlformats.org/officeDocument/2006/relationships/hyperlink" Target="https://youtu.be/ng28PbQPHAw" TargetMode="External"/><Relationship Id="rId270" Type="http://schemas.openxmlformats.org/officeDocument/2006/relationships/hyperlink" Target="https://youtu.be/EVkl4qmzewY" TargetMode="External"/><Relationship Id="rId27" Type="http://schemas.openxmlformats.org/officeDocument/2006/relationships/hyperlink" Target="https://youtu.be/0vUA3XCpZIE" TargetMode="External"/><Relationship Id="rId2699" Type="http://schemas.openxmlformats.org/officeDocument/2006/relationships/hyperlink" Target="https://youtu.be/SXzum814CZA" TargetMode="External"/><Relationship Id="rId2698" Type="http://schemas.openxmlformats.org/officeDocument/2006/relationships/hyperlink" Target="https://youtu.be/DHGsIxpqS0M" TargetMode="External"/><Relationship Id="rId2697" Type="http://schemas.openxmlformats.org/officeDocument/2006/relationships/hyperlink" Target="https://youtu.be/hVbs4X-7Gg0" TargetMode="External"/><Relationship Id="rId2696" Type="http://schemas.openxmlformats.org/officeDocument/2006/relationships/hyperlink" Target="https://youtu.be/WpWxH4_IF7E" TargetMode="External"/><Relationship Id="rId2695" Type="http://schemas.openxmlformats.org/officeDocument/2006/relationships/hyperlink" Target="https://youtu.be/mCjKxuGKpRI" TargetMode="External"/><Relationship Id="rId2694" Type="http://schemas.openxmlformats.org/officeDocument/2006/relationships/hyperlink" Target="https://youtu.be/y8tb5g6NQ2Q" TargetMode="External"/><Relationship Id="rId2693" Type="http://schemas.openxmlformats.org/officeDocument/2006/relationships/hyperlink" Target="https://youtu.be/g7eHeU-_a0U" TargetMode="External"/><Relationship Id="rId2692" Type="http://schemas.openxmlformats.org/officeDocument/2006/relationships/hyperlink" Target="https://youtu.be/R1pvZQSLynI" TargetMode="External"/><Relationship Id="rId2691" Type="http://schemas.openxmlformats.org/officeDocument/2006/relationships/hyperlink" Target="https://youtu.be/QOPhB5xQprc" TargetMode="External"/><Relationship Id="rId2690" Type="http://schemas.openxmlformats.org/officeDocument/2006/relationships/hyperlink" Target="https://youtu.be/4-fUFVeS_Hs" TargetMode="External"/><Relationship Id="rId269" Type="http://schemas.openxmlformats.org/officeDocument/2006/relationships/hyperlink" Target="https://youtu.be/zqCE8WvxWYk" TargetMode="External"/><Relationship Id="rId2689" Type="http://schemas.openxmlformats.org/officeDocument/2006/relationships/hyperlink" Target="https://youtu.be/zQbE_JvX384" TargetMode="External"/><Relationship Id="rId2688" Type="http://schemas.openxmlformats.org/officeDocument/2006/relationships/hyperlink" Target="https://youtu.be/85rsymSLSE4" TargetMode="External"/><Relationship Id="rId2687" Type="http://schemas.openxmlformats.org/officeDocument/2006/relationships/hyperlink" Target="https://youtu.be/Zb2_Rm57L_A" TargetMode="External"/><Relationship Id="rId2686" Type="http://schemas.openxmlformats.org/officeDocument/2006/relationships/hyperlink" Target="https://youtu.be/1q7ykN5O_fM" TargetMode="External"/><Relationship Id="rId2685" Type="http://schemas.openxmlformats.org/officeDocument/2006/relationships/hyperlink" Target="https://youtu.be/OIq7Rt7BI38" TargetMode="External"/><Relationship Id="rId2684" Type="http://schemas.openxmlformats.org/officeDocument/2006/relationships/hyperlink" Target="https://youtu.be/l7rLv9C6cfg" TargetMode="External"/><Relationship Id="rId2683" Type="http://schemas.openxmlformats.org/officeDocument/2006/relationships/hyperlink" Target="https://youtu.be/pxu3zm4qiC4" TargetMode="External"/><Relationship Id="rId2682" Type="http://schemas.openxmlformats.org/officeDocument/2006/relationships/hyperlink" Target="https://youtu.be/7miMbf3DGtA" TargetMode="External"/><Relationship Id="rId2681" Type="http://schemas.openxmlformats.org/officeDocument/2006/relationships/hyperlink" Target="https://youtu.be/qRPdhgeke7g" TargetMode="External"/><Relationship Id="rId2680" Type="http://schemas.openxmlformats.org/officeDocument/2006/relationships/hyperlink" Target="https://youtu.be/L91zu1IF1Vk" TargetMode="External"/><Relationship Id="rId268" Type="http://schemas.openxmlformats.org/officeDocument/2006/relationships/hyperlink" Target="https://youtu.be/NSWU82UHaWE" TargetMode="External"/><Relationship Id="rId2679" Type="http://schemas.openxmlformats.org/officeDocument/2006/relationships/hyperlink" Target="https://youtu.be/L6DhsHP3IDM" TargetMode="External"/><Relationship Id="rId2678" Type="http://schemas.openxmlformats.org/officeDocument/2006/relationships/hyperlink" Target="https://youtu.be/B9M_bT4PeAk" TargetMode="External"/><Relationship Id="rId2677" Type="http://schemas.openxmlformats.org/officeDocument/2006/relationships/hyperlink" Target="https://youtu.be/jG5snBinOKQ" TargetMode="External"/><Relationship Id="rId2676" Type="http://schemas.openxmlformats.org/officeDocument/2006/relationships/hyperlink" Target="https://youtu.be/SmoNDJObvkw" TargetMode="External"/><Relationship Id="rId2675" Type="http://schemas.openxmlformats.org/officeDocument/2006/relationships/hyperlink" Target="https://youtu.be/EXRiblU54E8" TargetMode="External"/><Relationship Id="rId2674" Type="http://schemas.openxmlformats.org/officeDocument/2006/relationships/hyperlink" Target="https://youtu.be/9KQ52MgLloQ" TargetMode="External"/><Relationship Id="rId2673" Type="http://schemas.openxmlformats.org/officeDocument/2006/relationships/hyperlink" Target="https://youtu.be/GTZjdETqvVQ" TargetMode="External"/><Relationship Id="rId2672" Type="http://schemas.openxmlformats.org/officeDocument/2006/relationships/hyperlink" Target="https://youtu.be/AMXLDfQLENc" TargetMode="External"/><Relationship Id="rId2671" Type="http://schemas.openxmlformats.org/officeDocument/2006/relationships/hyperlink" Target="https://youtu.be/jUAAWx28r9I" TargetMode="External"/><Relationship Id="rId2670" Type="http://schemas.openxmlformats.org/officeDocument/2006/relationships/hyperlink" Target="https://youtu.be/53jq03WCpkQ" TargetMode="External"/><Relationship Id="rId267" Type="http://schemas.openxmlformats.org/officeDocument/2006/relationships/hyperlink" Target="https://youtu.be/BXVK57CV4c4" TargetMode="External"/><Relationship Id="rId2669" Type="http://schemas.openxmlformats.org/officeDocument/2006/relationships/hyperlink" Target="https://youtu.be/okLa9oIgk0U" TargetMode="External"/><Relationship Id="rId2668" Type="http://schemas.openxmlformats.org/officeDocument/2006/relationships/hyperlink" Target="https://youtu.be/D-l_YrEY2Kk" TargetMode="External"/><Relationship Id="rId2667" Type="http://schemas.openxmlformats.org/officeDocument/2006/relationships/hyperlink" Target="https://youtu.be/VOMiCIU45JA" TargetMode="External"/><Relationship Id="rId2666" Type="http://schemas.openxmlformats.org/officeDocument/2006/relationships/hyperlink" Target="https://youtu.be/iYJ7RwxhBCQ" TargetMode="External"/><Relationship Id="rId2665" Type="http://schemas.openxmlformats.org/officeDocument/2006/relationships/hyperlink" Target="https://youtu.be/khivVK2_QCk" TargetMode="External"/><Relationship Id="rId2664" Type="http://schemas.openxmlformats.org/officeDocument/2006/relationships/hyperlink" Target="https://youtu.be/d37yEa-L2eM" TargetMode="External"/><Relationship Id="rId2663" Type="http://schemas.openxmlformats.org/officeDocument/2006/relationships/hyperlink" Target="https://youtu.be/Ov_FPngIn64" TargetMode="External"/><Relationship Id="rId2662" Type="http://schemas.openxmlformats.org/officeDocument/2006/relationships/hyperlink" Target="https://youtu.be/_7pxJs5Td2s" TargetMode="External"/><Relationship Id="rId2661" Type="http://schemas.openxmlformats.org/officeDocument/2006/relationships/hyperlink" Target="https://youtu.be/0fj-pZauThs" TargetMode="External"/><Relationship Id="rId2660" Type="http://schemas.openxmlformats.org/officeDocument/2006/relationships/hyperlink" Target="https://youtu.be/PP2-NCe9EmQ" TargetMode="External"/><Relationship Id="rId266" Type="http://schemas.openxmlformats.org/officeDocument/2006/relationships/hyperlink" Target="https://youtu.be/DwJ-4zpJWHs" TargetMode="External"/><Relationship Id="rId2659" Type="http://schemas.openxmlformats.org/officeDocument/2006/relationships/hyperlink" Target="https://youtu.be/4xqPCa-Y6xo" TargetMode="External"/><Relationship Id="rId2658" Type="http://schemas.openxmlformats.org/officeDocument/2006/relationships/hyperlink" Target="https://youtu.be/MlvKG5X7ARU" TargetMode="External"/><Relationship Id="rId2657" Type="http://schemas.openxmlformats.org/officeDocument/2006/relationships/hyperlink" Target="https://youtu.be/eKrFowKvWao" TargetMode="External"/><Relationship Id="rId2656" Type="http://schemas.openxmlformats.org/officeDocument/2006/relationships/hyperlink" Target="https://youtu.be/UrnNS9zCk2g" TargetMode="External"/><Relationship Id="rId2655" Type="http://schemas.openxmlformats.org/officeDocument/2006/relationships/hyperlink" Target="https://youtu.be/oBegeMCqPtY" TargetMode="External"/><Relationship Id="rId2654" Type="http://schemas.openxmlformats.org/officeDocument/2006/relationships/hyperlink" Target="https://youtu.be/M2NHU_R8ngk" TargetMode="External"/><Relationship Id="rId2653" Type="http://schemas.openxmlformats.org/officeDocument/2006/relationships/hyperlink" Target="https://youtu.be/TB9Q0K-1B8E" TargetMode="External"/><Relationship Id="rId2652" Type="http://schemas.openxmlformats.org/officeDocument/2006/relationships/hyperlink" Target="https://youtu.be/gW-gOleCuLQ" TargetMode="External"/><Relationship Id="rId2651" Type="http://schemas.openxmlformats.org/officeDocument/2006/relationships/hyperlink" Target="https://youtu.be/jBSdHCvpl1k" TargetMode="External"/><Relationship Id="rId2650" Type="http://schemas.openxmlformats.org/officeDocument/2006/relationships/hyperlink" Target="https://youtu.be/-tDuwIu_b9g" TargetMode="External"/><Relationship Id="rId265" Type="http://schemas.openxmlformats.org/officeDocument/2006/relationships/hyperlink" Target="https://youtu.be/0I75L_O_iu4" TargetMode="External"/><Relationship Id="rId2649" Type="http://schemas.openxmlformats.org/officeDocument/2006/relationships/hyperlink" Target="https://youtu.be/X_TPpCReclc" TargetMode="External"/><Relationship Id="rId2648" Type="http://schemas.openxmlformats.org/officeDocument/2006/relationships/hyperlink" Target="https://youtu.be/AHaDrVvokNo" TargetMode="External"/><Relationship Id="rId2647" Type="http://schemas.openxmlformats.org/officeDocument/2006/relationships/hyperlink" Target="https://youtu.be/yFxecbe8XA8" TargetMode="External"/><Relationship Id="rId2646" Type="http://schemas.openxmlformats.org/officeDocument/2006/relationships/hyperlink" Target="https://youtu.be/a6LvSTZEvys" TargetMode="External"/><Relationship Id="rId2645" Type="http://schemas.openxmlformats.org/officeDocument/2006/relationships/hyperlink" Target="https://youtu.be/4lABhbdKBVY" TargetMode="External"/><Relationship Id="rId2644" Type="http://schemas.openxmlformats.org/officeDocument/2006/relationships/hyperlink" Target="https://youtu.be/L4-RL4HwrKE" TargetMode="External"/><Relationship Id="rId2643" Type="http://schemas.openxmlformats.org/officeDocument/2006/relationships/hyperlink" Target="https://youtu.be/GWh35PwTdOo" TargetMode="External"/><Relationship Id="rId2642" Type="http://schemas.openxmlformats.org/officeDocument/2006/relationships/hyperlink" Target="https://youtu.be/kYRKf_JBe3k" TargetMode="External"/><Relationship Id="rId2641" Type="http://schemas.openxmlformats.org/officeDocument/2006/relationships/hyperlink" Target="https://youtu.be/P0_6XEx0_kA" TargetMode="External"/><Relationship Id="rId2640" Type="http://schemas.openxmlformats.org/officeDocument/2006/relationships/hyperlink" Target="https://youtu.be/nt3sAAUQk9g" TargetMode="External"/><Relationship Id="rId264" Type="http://schemas.openxmlformats.org/officeDocument/2006/relationships/hyperlink" Target="https://youtu.be/XKmtwwu7X6M" TargetMode="External"/><Relationship Id="rId2639" Type="http://schemas.openxmlformats.org/officeDocument/2006/relationships/hyperlink" Target="https://youtu.be/I03AFoafmV4" TargetMode="External"/><Relationship Id="rId2638" Type="http://schemas.openxmlformats.org/officeDocument/2006/relationships/hyperlink" Target="https://youtu.be/9UaHd89lQnk" TargetMode="External"/><Relationship Id="rId2637" Type="http://schemas.openxmlformats.org/officeDocument/2006/relationships/hyperlink" Target="https://youtu.be/Kh9j4cXbWLE" TargetMode="External"/><Relationship Id="rId2636" Type="http://schemas.openxmlformats.org/officeDocument/2006/relationships/hyperlink" Target="https://youtu.be/ywPn7MMr4Yo" TargetMode="External"/><Relationship Id="rId2635" Type="http://schemas.openxmlformats.org/officeDocument/2006/relationships/hyperlink" Target="https://youtu.be/IoNSlxWgnuU" TargetMode="External"/><Relationship Id="rId2634" Type="http://schemas.openxmlformats.org/officeDocument/2006/relationships/hyperlink" Target="https://youtu.be/Nq6-OZyV4wE" TargetMode="External"/><Relationship Id="rId2633" Type="http://schemas.openxmlformats.org/officeDocument/2006/relationships/hyperlink" Target="https://youtu.be/rLwW4o5vacs" TargetMode="External"/><Relationship Id="rId2632" Type="http://schemas.openxmlformats.org/officeDocument/2006/relationships/hyperlink" Target="https://youtu.be/QNli_cJt6YY" TargetMode="External"/><Relationship Id="rId2631" Type="http://schemas.openxmlformats.org/officeDocument/2006/relationships/hyperlink" Target="https://youtu.be/LOqI32AhNs4" TargetMode="External"/><Relationship Id="rId2630" Type="http://schemas.openxmlformats.org/officeDocument/2006/relationships/hyperlink" Target="https://youtu.be/hIDeOJNVzjE" TargetMode="External"/><Relationship Id="rId263" Type="http://schemas.openxmlformats.org/officeDocument/2006/relationships/hyperlink" Target="https://youtu.be/HJcu-46ufmc" TargetMode="External"/><Relationship Id="rId2629" Type="http://schemas.openxmlformats.org/officeDocument/2006/relationships/hyperlink" Target="https://youtu.be/3WdXNaYszys" TargetMode="External"/><Relationship Id="rId2628" Type="http://schemas.openxmlformats.org/officeDocument/2006/relationships/hyperlink" Target="https://youtu.be/hYtOWxu4UFo" TargetMode="External"/><Relationship Id="rId2627" Type="http://schemas.openxmlformats.org/officeDocument/2006/relationships/hyperlink" Target="https://youtu.be/1CO5sgMxbGI" TargetMode="External"/><Relationship Id="rId2626" Type="http://schemas.openxmlformats.org/officeDocument/2006/relationships/hyperlink" Target="https://youtu.be/h8n0_w5CnTw" TargetMode="External"/><Relationship Id="rId2625" Type="http://schemas.openxmlformats.org/officeDocument/2006/relationships/hyperlink" Target="https://youtu.be/7FdYeNIzJr0" TargetMode="External"/><Relationship Id="rId2624" Type="http://schemas.openxmlformats.org/officeDocument/2006/relationships/hyperlink" Target="https://youtu.be/fyLNkzc79Z8" TargetMode="External"/><Relationship Id="rId2623" Type="http://schemas.openxmlformats.org/officeDocument/2006/relationships/hyperlink" Target="https://youtu.be/kI21JD_x-cA" TargetMode="External"/><Relationship Id="rId2622" Type="http://schemas.openxmlformats.org/officeDocument/2006/relationships/hyperlink" Target="https://youtu.be/IWWtvzaKRXw" TargetMode="External"/><Relationship Id="rId2621" Type="http://schemas.openxmlformats.org/officeDocument/2006/relationships/hyperlink" Target="https://youtu.be/9vZCz_90n3g" TargetMode="External"/><Relationship Id="rId2620" Type="http://schemas.openxmlformats.org/officeDocument/2006/relationships/hyperlink" Target="https://youtu.be/im-XGJB2ygw" TargetMode="External"/><Relationship Id="rId262" Type="http://schemas.openxmlformats.org/officeDocument/2006/relationships/hyperlink" Target="https://youtu.be/BT2F8cWP6q8" TargetMode="External"/><Relationship Id="rId2619" Type="http://schemas.openxmlformats.org/officeDocument/2006/relationships/hyperlink" Target="https://youtu.be/lGvxVKr04VY" TargetMode="External"/><Relationship Id="rId2618" Type="http://schemas.openxmlformats.org/officeDocument/2006/relationships/hyperlink" Target="https://youtu.be/Hi-fBxxBmek" TargetMode="External"/><Relationship Id="rId2617" Type="http://schemas.openxmlformats.org/officeDocument/2006/relationships/hyperlink" Target="https://youtu.be/FKBmO4Qsrv4" TargetMode="External"/><Relationship Id="rId2616" Type="http://schemas.openxmlformats.org/officeDocument/2006/relationships/hyperlink" Target="https://youtu.be/fx05H-wPizE" TargetMode="External"/><Relationship Id="rId2615" Type="http://schemas.openxmlformats.org/officeDocument/2006/relationships/hyperlink" Target="https://youtu.be/k9CWIh81Umo" TargetMode="External"/><Relationship Id="rId2614" Type="http://schemas.openxmlformats.org/officeDocument/2006/relationships/hyperlink" Target="https://youtu.be/eHIpTCbmk8A" TargetMode="External"/><Relationship Id="rId2613" Type="http://schemas.openxmlformats.org/officeDocument/2006/relationships/hyperlink" Target="https://youtu.be/hsT_U3B5DHg" TargetMode="External"/><Relationship Id="rId2612" Type="http://schemas.openxmlformats.org/officeDocument/2006/relationships/hyperlink" Target="https://youtu.be/WacisRqYiCM" TargetMode="External"/><Relationship Id="rId2611" Type="http://schemas.openxmlformats.org/officeDocument/2006/relationships/hyperlink" Target="https://youtu.be/-o7KoAVHvqs" TargetMode="External"/><Relationship Id="rId2610" Type="http://schemas.openxmlformats.org/officeDocument/2006/relationships/hyperlink" Target="https://youtu.be/FxAR1cZprZc" TargetMode="External"/><Relationship Id="rId261" Type="http://schemas.openxmlformats.org/officeDocument/2006/relationships/hyperlink" Target="https://youtu.be/nn2b7re9XLA" TargetMode="External"/><Relationship Id="rId2609" Type="http://schemas.openxmlformats.org/officeDocument/2006/relationships/hyperlink" Target="https://youtu.be/bNiM2oLLAqI" TargetMode="External"/><Relationship Id="rId2608" Type="http://schemas.openxmlformats.org/officeDocument/2006/relationships/hyperlink" Target="https://youtu.be/Rmpcr8cWdKk" TargetMode="External"/><Relationship Id="rId2607" Type="http://schemas.openxmlformats.org/officeDocument/2006/relationships/hyperlink" Target="https://youtu.be/QT-fyF-aSkI" TargetMode="External"/><Relationship Id="rId2606" Type="http://schemas.openxmlformats.org/officeDocument/2006/relationships/hyperlink" Target="https://youtu.be/Z_h6kCG3-zk" TargetMode="External"/><Relationship Id="rId2605" Type="http://schemas.openxmlformats.org/officeDocument/2006/relationships/hyperlink" Target="https://youtu.be/3g934mXdK8c" TargetMode="External"/><Relationship Id="rId2604" Type="http://schemas.openxmlformats.org/officeDocument/2006/relationships/hyperlink" Target="https://youtu.be/uk-a4LeUEZc" TargetMode="External"/><Relationship Id="rId2603" Type="http://schemas.openxmlformats.org/officeDocument/2006/relationships/hyperlink" Target="https://youtu.be/R46sj822Xvo" TargetMode="External"/><Relationship Id="rId2602" Type="http://schemas.openxmlformats.org/officeDocument/2006/relationships/hyperlink" Target="https://youtu.be/uDWYr1q51x4" TargetMode="External"/><Relationship Id="rId2601" Type="http://schemas.openxmlformats.org/officeDocument/2006/relationships/hyperlink" Target="https://youtu.be/pczVqGr-A3Y" TargetMode="External"/><Relationship Id="rId2600" Type="http://schemas.openxmlformats.org/officeDocument/2006/relationships/hyperlink" Target="https://youtu.be/FRyHrvkhkJo" TargetMode="External"/><Relationship Id="rId260" Type="http://schemas.openxmlformats.org/officeDocument/2006/relationships/hyperlink" Target="https://youtu.be/eAByh5rcH2k" TargetMode="External"/><Relationship Id="rId26" Type="http://schemas.openxmlformats.org/officeDocument/2006/relationships/hyperlink" Target="https://youtu.be/4HLIQWwrrzg" TargetMode="External"/><Relationship Id="rId2599" Type="http://schemas.openxmlformats.org/officeDocument/2006/relationships/hyperlink" Target="https://youtu.be/h5EckrNyGFk" TargetMode="External"/><Relationship Id="rId2598" Type="http://schemas.openxmlformats.org/officeDocument/2006/relationships/hyperlink" Target="https://youtu.be/surnSwajScc" TargetMode="External"/><Relationship Id="rId2597" Type="http://schemas.openxmlformats.org/officeDocument/2006/relationships/hyperlink" Target="https://youtu.be/b8OTeh80Er0" TargetMode="External"/><Relationship Id="rId2596" Type="http://schemas.openxmlformats.org/officeDocument/2006/relationships/hyperlink" Target="https://youtu.be/aLYn0vAwRVs" TargetMode="External"/><Relationship Id="rId2595" Type="http://schemas.openxmlformats.org/officeDocument/2006/relationships/hyperlink" Target="https://youtu.be/Atxa1LKyZAc" TargetMode="External"/><Relationship Id="rId2594" Type="http://schemas.openxmlformats.org/officeDocument/2006/relationships/hyperlink" Target="https://youtu.be/BqrfsdGENgA" TargetMode="External"/><Relationship Id="rId2593" Type="http://schemas.openxmlformats.org/officeDocument/2006/relationships/hyperlink" Target="https://youtu.be/IUS-WCbnULQ" TargetMode="External"/><Relationship Id="rId2592" Type="http://schemas.openxmlformats.org/officeDocument/2006/relationships/hyperlink" Target="https://youtu.be/s5WslVtLo1U" TargetMode="External"/><Relationship Id="rId2591" Type="http://schemas.openxmlformats.org/officeDocument/2006/relationships/hyperlink" Target="https://youtu.be/mCd1wFp-1Sk" TargetMode="External"/><Relationship Id="rId2590" Type="http://schemas.openxmlformats.org/officeDocument/2006/relationships/hyperlink" Target="https://youtu.be/Gi9JaLp0iSc" TargetMode="External"/><Relationship Id="rId259" Type="http://schemas.openxmlformats.org/officeDocument/2006/relationships/hyperlink" Target="https://youtu.be/L08sOD0hYTk" TargetMode="External"/><Relationship Id="rId2589" Type="http://schemas.openxmlformats.org/officeDocument/2006/relationships/hyperlink" Target="https://youtu.be/nP2M7HtnAKk" TargetMode="External"/><Relationship Id="rId2588" Type="http://schemas.openxmlformats.org/officeDocument/2006/relationships/hyperlink" Target="https://youtu.be/BhU2a4RydlQ" TargetMode="External"/><Relationship Id="rId2587" Type="http://schemas.openxmlformats.org/officeDocument/2006/relationships/hyperlink" Target="https://youtu.be/EHf9Gy-hVAw" TargetMode="External"/><Relationship Id="rId2586" Type="http://schemas.openxmlformats.org/officeDocument/2006/relationships/hyperlink" Target="https://youtu.be/BHuh4xoCziY" TargetMode="External"/><Relationship Id="rId2585" Type="http://schemas.openxmlformats.org/officeDocument/2006/relationships/hyperlink" Target="https://youtu.be/mpXcdOQeSHg" TargetMode="External"/><Relationship Id="rId2584" Type="http://schemas.openxmlformats.org/officeDocument/2006/relationships/hyperlink" Target="https://youtu.be/ECwir9-jhoI" TargetMode="External"/><Relationship Id="rId2583" Type="http://schemas.openxmlformats.org/officeDocument/2006/relationships/hyperlink" Target="https://youtu.be/KfAluCg8Qb4" TargetMode="External"/><Relationship Id="rId2582" Type="http://schemas.openxmlformats.org/officeDocument/2006/relationships/hyperlink" Target="https://youtu.be/z5yxS7Wqd7A" TargetMode="External"/><Relationship Id="rId2581" Type="http://schemas.openxmlformats.org/officeDocument/2006/relationships/hyperlink" Target="https://youtu.be/9J-xkMH558E" TargetMode="External"/><Relationship Id="rId2580" Type="http://schemas.openxmlformats.org/officeDocument/2006/relationships/hyperlink" Target="https://youtu.be/CpLvIxrBEx0" TargetMode="External"/><Relationship Id="rId258" Type="http://schemas.openxmlformats.org/officeDocument/2006/relationships/hyperlink" Target="https://youtu.be/Y4XlPUvYC1s" TargetMode="External"/><Relationship Id="rId2579" Type="http://schemas.openxmlformats.org/officeDocument/2006/relationships/hyperlink" Target="https://youtu.be/HX9l_DtrhIQ" TargetMode="External"/><Relationship Id="rId2578" Type="http://schemas.openxmlformats.org/officeDocument/2006/relationships/hyperlink" Target="https://youtu.be/L2Wx5w9-KnQ" TargetMode="External"/><Relationship Id="rId2577" Type="http://schemas.openxmlformats.org/officeDocument/2006/relationships/hyperlink" Target="https://youtu.be/esbzReqv4ts" TargetMode="External"/><Relationship Id="rId2576" Type="http://schemas.openxmlformats.org/officeDocument/2006/relationships/hyperlink" Target="https://youtu.be/d777X1E1ga8" TargetMode="External"/><Relationship Id="rId2575" Type="http://schemas.openxmlformats.org/officeDocument/2006/relationships/hyperlink" Target="https://youtu.be/15hN0cmoaYU" TargetMode="External"/><Relationship Id="rId2574" Type="http://schemas.openxmlformats.org/officeDocument/2006/relationships/hyperlink" Target="https://youtu.be/TVFy0OTPsuQ" TargetMode="External"/><Relationship Id="rId2573" Type="http://schemas.openxmlformats.org/officeDocument/2006/relationships/hyperlink" Target="https://youtu.be/aY84PEAZETE" TargetMode="External"/><Relationship Id="rId2572" Type="http://schemas.openxmlformats.org/officeDocument/2006/relationships/hyperlink" Target="https://youtu.be/xZCpL50SyIE" TargetMode="External"/><Relationship Id="rId2571" Type="http://schemas.openxmlformats.org/officeDocument/2006/relationships/hyperlink" Target="https://youtu.be/K758hr-hxGw" TargetMode="External"/><Relationship Id="rId2570" Type="http://schemas.openxmlformats.org/officeDocument/2006/relationships/hyperlink" Target="https://youtu.be/ofTSZR3dC4g" TargetMode="External"/><Relationship Id="rId257" Type="http://schemas.openxmlformats.org/officeDocument/2006/relationships/hyperlink" Target="https://youtu.be/9ER4vvRv1UM" TargetMode="External"/><Relationship Id="rId2569" Type="http://schemas.openxmlformats.org/officeDocument/2006/relationships/hyperlink" Target="https://youtu.be/tBVUTFPate0" TargetMode="External"/><Relationship Id="rId2568" Type="http://schemas.openxmlformats.org/officeDocument/2006/relationships/hyperlink" Target="https://youtu.be/ntYP7cRozhk" TargetMode="External"/><Relationship Id="rId2567" Type="http://schemas.openxmlformats.org/officeDocument/2006/relationships/hyperlink" Target="https://youtu.be/IJT0FMN_Ua0" TargetMode="External"/><Relationship Id="rId2566" Type="http://schemas.openxmlformats.org/officeDocument/2006/relationships/hyperlink" Target="https://youtu.be/jbZ7lDlVeIo" TargetMode="External"/><Relationship Id="rId2565" Type="http://schemas.openxmlformats.org/officeDocument/2006/relationships/hyperlink" Target="https://youtu.be/mRkI2vorhD8" TargetMode="External"/><Relationship Id="rId2564" Type="http://schemas.openxmlformats.org/officeDocument/2006/relationships/hyperlink" Target="https://youtu.be/rbnipg_DsJk" TargetMode="External"/><Relationship Id="rId2563" Type="http://schemas.openxmlformats.org/officeDocument/2006/relationships/hyperlink" Target="https://youtu.be/SMJ8wb4-uz8" TargetMode="External"/><Relationship Id="rId2562" Type="http://schemas.openxmlformats.org/officeDocument/2006/relationships/hyperlink" Target="https://youtu.be/bzb0r_KHYYo" TargetMode="External"/><Relationship Id="rId2561" Type="http://schemas.openxmlformats.org/officeDocument/2006/relationships/hyperlink" Target="https://youtu.be/UodoCmLxK7g" TargetMode="External"/><Relationship Id="rId2560" Type="http://schemas.openxmlformats.org/officeDocument/2006/relationships/hyperlink" Target="https://youtu.be/QVK_TWXgPMA" TargetMode="External"/><Relationship Id="rId256" Type="http://schemas.openxmlformats.org/officeDocument/2006/relationships/hyperlink" Target="https://youtu.be/-luKN6mad5w" TargetMode="External"/><Relationship Id="rId2559" Type="http://schemas.openxmlformats.org/officeDocument/2006/relationships/hyperlink" Target="https://youtu.be/IQZU5BITfj8" TargetMode="External"/><Relationship Id="rId2558" Type="http://schemas.openxmlformats.org/officeDocument/2006/relationships/hyperlink" Target="https://youtu.be/FOPZVavOHPo" TargetMode="External"/><Relationship Id="rId2557" Type="http://schemas.openxmlformats.org/officeDocument/2006/relationships/hyperlink" Target="https://youtu.be/I8q4ZVg6Nbw" TargetMode="External"/><Relationship Id="rId2556" Type="http://schemas.openxmlformats.org/officeDocument/2006/relationships/hyperlink" Target="https://youtu.be/2oc1avweaeY" TargetMode="External"/><Relationship Id="rId2555" Type="http://schemas.openxmlformats.org/officeDocument/2006/relationships/hyperlink" Target="https://youtu.be/H1NRIs7M-DE" TargetMode="External"/><Relationship Id="rId2554" Type="http://schemas.openxmlformats.org/officeDocument/2006/relationships/hyperlink" Target="https://youtu.be/lpQjwlCnw7k" TargetMode="External"/><Relationship Id="rId2553" Type="http://schemas.openxmlformats.org/officeDocument/2006/relationships/hyperlink" Target="https://youtu.be/BDJbOkGI3Y8" TargetMode="External"/><Relationship Id="rId2552" Type="http://schemas.openxmlformats.org/officeDocument/2006/relationships/hyperlink" Target="https://youtu.be/PBA0lIkBhtQ" TargetMode="External"/><Relationship Id="rId2551" Type="http://schemas.openxmlformats.org/officeDocument/2006/relationships/hyperlink" Target="https://youtu.be/HsFzBhIpqII" TargetMode="External"/><Relationship Id="rId2550" Type="http://schemas.openxmlformats.org/officeDocument/2006/relationships/hyperlink" Target="https://youtu.be/GCLnpUiNUVw" TargetMode="External"/><Relationship Id="rId255" Type="http://schemas.openxmlformats.org/officeDocument/2006/relationships/hyperlink" Target="https://youtu.be/3ElOSYwXmxg" TargetMode="External"/><Relationship Id="rId2549" Type="http://schemas.openxmlformats.org/officeDocument/2006/relationships/hyperlink" Target="https://youtu.be/kEr08rxpvoo" TargetMode="External"/><Relationship Id="rId2548" Type="http://schemas.openxmlformats.org/officeDocument/2006/relationships/hyperlink" Target="https://youtu.be/yxgxUOuq9jo" TargetMode="External"/><Relationship Id="rId2547" Type="http://schemas.openxmlformats.org/officeDocument/2006/relationships/hyperlink" Target="https://youtu.be/FuAtgQGSzL8" TargetMode="External"/><Relationship Id="rId2546" Type="http://schemas.openxmlformats.org/officeDocument/2006/relationships/hyperlink" Target="https://youtu.be/9LbZYdwJ1AQ" TargetMode="External"/><Relationship Id="rId2545" Type="http://schemas.openxmlformats.org/officeDocument/2006/relationships/hyperlink" Target="https://youtu.be/erwprCm_WCE" TargetMode="External"/><Relationship Id="rId2544" Type="http://schemas.openxmlformats.org/officeDocument/2006/relationships/hyperlink" Target="https://youtu.be/oU-A5NPZiQw" TargetMode="External"/><Relationship Id="rId2543" Type="http://schemas.openxmlformats.org/officeDocument/2006/relationships/hyperlink" Target="https://youtu.be/9fYOcspAxPI" TargetMode="External"/><Relationship Id="rId2542" Type="http://schemas.openxmlformats.org/officeDocument/2006/relationships/hyperlink" Target="https://youtu.be/8-KaQ0TtebI" TargetMode="External"/><Relationship Id="rId2541" Type="http://schemas.openxmlformats.org/officeDocument/2006/relationships/hyperlink" Target="https://youtu.be/UqCeche3Mqw" TargetMode="External"/><Relationship Id="rId2540" Type="http://schemas.openxmlformats.org/officeDocument/2006/relationships/hyperlink" Target="https://youtu.be/7__bPjpgmJA" TargetMode="External"/><Relationship Id="rId254" Type="http://schemas.openxmlformats.org/officeDocument/2006/relationships/hyperlink" Target="https://youtu.be/lbdsp3U3sAI" TargetMode="External"/><Relationship Id="rId2539" Type="http://schemas.openxmlformats.org/officeDocument/2006/relationships/hyperlink" Target="https://youtu.be/Fsdis4DRxDA" TargetMode="External"/><Relationship Id="rId2538" Type="http://schemas.openxmlformats.org/officeDocument/2006/relationships/hyperlink" Target="https://youtu.be/8sWDEmYuiRQ" TargetMode="External"/><Relationship Id="rId2537" Type="http://schemas.openxmlformats.org/officeDocument/2006/relationships/hyperlink" Target="https://youtu.be/lD3YK5W_GEE" TargetMode="External"/><Relationship Id="rId2536" Type="http://schemas.openxmlformats.org/officeDocument/2006/relationships/hyperlink" Target="https://youtu.be/2Sar5WT76kE" TargetMode="External"/><Relationship Id="rId2535" Type="http://schemas.openxmlformats.org/officeDocument/2006/relationships/hyperlink" Target="https://youtu.be/xEaPpLW_ybY" TargetMode="External"/><Relationship Id="rId2534" Type="http://schemas.openxmlformats.org/officeDocument/2006/relationships/hyperlink" Target="https://youtu.be/scO2FD-Ku2o" TargetMode="External"/><Relationship Id="rId2533" Type="http://schemas.openxmlformats.org/officeDocument/2006/relationships/hyperlink" Target="https://youtu.be/vPHM-rR4wN4" TargetMode="External"/><Relationship Id="rId2532" Type="http://schemas.openxmlformats.org/officeDocument/2006/relationships/hyperlink" Target="https://youtu.be/Nzm3aaxTXUs" TargetMode="External"/><Relationship Id="rId2531" Type="http://schemas.openxmlformats.org/officeDocument/2006/relationships/hyperlink" Target="https://youtu.be/uIL9CStXN0c" TargetMode="External"/><Relationship Id="rId2530" Type="http://schemas.openxmlformats.org/officeDocument/2006/relationships/hyperlink" Target="https://youtu.be/EbQrLoFiutk" TargetMode="External"/><Relationship Id="rId253" Type="http://schemas.openxmlformats.org/officeDocument/2006/relationships/hyperlink" Target="https://youtu.be/IF9tB0m6qF4" TargetMode="External"/><Relationship Id="rId2529" Type="http://schemas.openxmlformats.org/officeDocument/2006/relationships/hyperlink" Target="https://youtu.be/jl2LgoCwypg" TargetMode="External"/><Relationship Id="rId2528" Type="http://schemas.openxmlformats.org/officeDocument/2006/relationships/hyperlink" Target="https://youtu.be/HfuUFBQIdfg" TargetMode="External"/><Relationship Id="rId2527" Type="http://schemas.openxmlformats.org/officeDocument/2006/relationships/hyperlink" Target="https://youtu.be/wxDbL81pW70" TargetMode="External"/><Relationship Id="rId2526" Type="http://schemas.openxmlformats.org/officeDocument/2006/relationships/hyperlink" Target="https://youtu.be/U_e7lbeAv9Q" TargetMode="External"/><Relationship Id="rId2525" Type="http://schemas.openxmlformats.org/officeDocument/2006/relationships/hyperlink" Target="https://youtu.be/ROzCgKtsGTQ" TargetMode="External"/><Relationship Id="rId2524" Type="http://schemas.openxmlformats.org/officeDocument/2006/relationships/hyperlink" Target="https://youtu.be/gKlL4ohKaDU" TargetMode="External"/><Relationship Id="rId2523" Type="http://schemas.openxmlformats.org/officeDocument/2006/relationships/hyperlink" Target="https://youtu.be/NIIuweV1JYw" TargetMode="External"/><Relationship Id="rId2522" Type="http://schemas.openxmlformats.org/officeDocument/2006/relationships/hyperlink" Target="https://youtu.be/xLYeZKDv0Ig" TargetMode="External"/><Relationship Id="rId2521" Type="http://schemas.openxmlformats.org/officeDocument/2006/relationships/hyperlink" Target="https://youtu.be/tng5OEkw9mE" TargetMode="External"/><Relationship Id="rId2520" Type="http://schemas.openxmlformats.org/officeDocument/2006/relationships/hyperlink" Target="https://youtu.be/ll9i9pI1kbg" TargetMode="External"/><Relationship Id="rId252" Type="http://schemas.openxmlformats.org/officeDocument/2006/relationships/hyperlink" Target="https://youtu.be/2E3ufO03FWw" TargetMode="External"/><Relationship Id="rId2519" Type="http://schemas.openxmlformats.org/officeDocument/2006/relationships/hyperlink" Target="https://youtu.be/zCgdN-rraFo" TargetMode="External"/><Relationship Id="rId2518" Type="http://schemas.openxmlformats.org/officeDocument/2006/relationships/hyperlink" Target="https://youtu.be/eWliKjdsvoU" TargetMode="External"/><Relationship Id="rId2517" Type="http://schemas.openxmlformats.org/officeDocument/2006/relationships/hyperlink" Target="https://youtu.be/PfQsFMRCrBQ" TargetMode="External"/><Relationship Id="rId2516" Type="http://schemas.openxmlformats.org/officeDocument/2006/relationships/hyperlink" Target="https://youtu.be/7BeyCjpB3_Y" TargetMode="External"/><Relationship Id="rId2515" Type="http://schemas.openxmlformats.org/officeDocument/2006/relationships/hyperlink" Target="https://youtu.be/pzEGn-P-id0" TargetMode="External"/><Relationship Id="rId2514" Type="http://schemas.openxmlformats.org/officeDocument/2006/relationships/hyperlink" Target="https://youtu.be/j-j3RjQmmZ0" TargetMode="External"/><Relationship Id="rId2513" Type="http://schemas.openxmlformats.org/officeDocument/2006/relationships/hyperlink" Target="https://youtu.be/yCZew8p9O0Y" TargetMode="External"/><Relationship Id="rId2512" Type="http://schemas.openxmlformats.org/officeDocument/2006/relationships/hyperlink" Target="https://youtu.be/MI8W0HS2I70" TargetMode="External"/><Relationship Id="rId2511" Type="http://schemas.openxmlformats.org/officeDocument/2006/relationships/hyperlink" Target="https://youtu.be/HksVhjBHvI8" TargetMode="External"/><Relationship Id="rId2510" Type="http://schemas.openxmlformats.org/officeDocument/2006/relationships/hyperlink" Target="https://youtu.be/52ANeHXvKPQ" TargetMode="External"/><Relationship Id="rId251" Type="http://schemas.openxmlformats.org/officeDocument/2006/relationships/hyperlink" Target="https://youtu.be/ElxVZL526o8" TargetMode="External"/><Relationship Id="rId2509" Type="http://schemas.openxmlformats.org/officeDocument/2006/relationships/hyperlink" Target="https://youtu.be/UVWLpx5IDcA" TargetMode="External"/><Relationship Id="rId2508" Type="http://schemas.openxmlformats.org/officeDocument/2006/relationships/hyperlink" Target="https://youtu.be/cykQ1vtyPkA" TargetMode="External"/><Relationship Id="rId2507" Type="http://schemas.openxmlformats.org/officeDocument/2006/relationships/hyperlink" Target="https://youtu.be/8ZqLNMGSRjY" TargetMode="External"/><Relationship Id="rId2506" Type="http://schemas.openxmlformats.org/officeDocument/2006/relationships/hyperlink" Target="https://youtu.be/Uy6ScRS3XC0" TargetMode="External"/><Relationship Id="rId2505" Type="http://schemas.openxmlformats.org/officeDocument/2006/relationships/hyperlink" Target="https://youtu.be/J2286bF4CG0" TargetMode="External"/><Relationship Id="rId2504" Type="http://schemas.openxmlformats.org/officeDocument/2006/relationships/hyperlink" Target="https://youtu.be/lCJilxVH8e4" TargetMode="External"/><Relationship Id="rId2503" Type="http://schemas.openxmlformats.org/officeDocument/2006/relationships/hyperlink" Target="https://youtu.be/NBPe-XSSACk" TargetMode="External"/><Relationship Id="rId2502" Type="http://schemas.openxmlformats.org/officeDocument/2006/relationships/hyperlink" Target="https://youtu.be/CYl87KeObYo" TargetMode="External"/><Relationship Id="rId2501" Type="http://schemas.openxmlformats.org/officeDocument/2006/relationships/hyperlink" Target="https://youtu.be/mWr0pUYyODM" TargetMode="External"/><Relationship Id="rId2500" Type="http://schemas.openxmlformats.org/officeDocument/2006/relationships/hyperlink" Target="https://youtu.be/z4pg_edw2_A" TargetMode="External"/><Relationship Id="rId250" Type="http://schemas.openxmlformats.org/officeDocument/2006/relationships/hyperlink" Target="https://youtu.be/3uUJlNshAvk" TargetMode="External"/><Relationship Id="rId25" Type="http://schemas.openxmlformats.org/officeDocument/2006/relationships/hyperlink" Target="https://youtu.be/HLI-TNbyyTE" TargetMode="External"/><Relationship Id="rId2499" Type="http://schemas.openxmlformats.org/officeDocument/2006/relationships/hyperlink" Target="https://youtu.be/4ZdGkeL2rhg" TargetMode="External"/><Relationship Id="rId2498" Type="http://schemas.openxmlformats.org/officeDocument/2006/relationships/hyperlink" Target="https://youtu.be/87oRyH52q3g" TargetMode="External"/><Relationship Id="rId2497" Type="http://schemas.openxmlformats.org/officeDocument/2006/relationships/hyperlink" Target="https://youtu.be/zkgeELUO_2w" TargetMode="External"/><Relationship Id="rId2496" Type="http://schemas.openxmlformats.org/officeDocument/2006/relationships/hyperlink" Target="https://youtu.be/iVDpESbzyLQ" TargetMode="External"/><Relationship Id="rId2495" Type="http://schemas.openxmlformats.org/officeDocument/2006/relationships/hyperlink" Target="https://youtu.be/aPkMf56YXtc" TargetMode="External"/><Relationship Id="rId2494" Type="http://schemas.openxmlformats.org/officeDocument/2006/relationships/hyperlink" Target="https://youtu.be/wjfoDC_6Qsg" TargetMode="External"/><Relationship Id="rId2493" Type="http://schemas.openxmlformats.org/officeDocument/2006/relationships/hyperlink" Target="https://youtu.be/ZNhuIedTTqI" TargetMode="External"/><Relationship Id="rId2492" Type="http://schemas.openxmlformats.org/officeDocument/2006/relationships/hyperlink" Target="https://youtu.be/JVp0mY7JNOE" TargetMode="External"/><Relationship Id="rId2491" Type="http://schemas.openxmlformats.org/officeDocument/2006/relationships/hyperlink" Target="https://youtu.be/YUsdUvER8tM" TargetMode="External"/><Relationship Id="rId2490" Type="http://schemas.openxmlformats.org/officeDocument/2006/relationships/hyperlink" Target="https://youtu.be/QYv5nhKUBs8" TargetMode="External"/><Relationship Id="rId249" Type="http://schemas.openxmlformats.org/officeDocument/2006/relationships/hyperlink" Target="https://youtu.be/kSzO79H9i8s" TargetMode="External"/><Relationship Id="rId2489" Type="http://schemas.openxmlformats.org/officeDocument/2006/relationships/hyperlink" Target="https://youtu.be/2yM-TIcZ8mo" TargetMode="External"/><Relationship Id="rId2488" Type="http://schemas.openxmlformats.org/officeDocument/2006/relationships/hyperlink" Target="https://youtu.be/wPCM623dutM" TargetMode="External"/><Relationship Id="rId2487" Type="http://schemas.openxmlformats.org/officeDocument/2006/relationships/hyperlink" Target="https://youtu.be/JmXZgaMpDPw" TargetMode="External"/><Relationship Id="rId2486" Type="http://schemas.openxmlformats.org/officeDocument/2006/relationships/hyperlink" Target="https://youtu.be/j7e16ECtZgY" TargetMode="External"/><Relationship Id="rId2485" Type="http://schemas.openxmlformats.org/officeDocument/2006/relationships/hyperlink" Target="https://youtu.be/T9GqT6oZu6Y" TargetMode="External"/><Relationship Id="rId2484" Type="http://schemas.openxmlformats.org/officeDocument/2006/relationships/hyperlink" Target="https://youtu.be/_5XOoqxb6g8" TargetMode="External"/><Relationship Id="rId2483" Type="http://schemas.openxmlformats.org/officeDocument/2006/relationships/hyperlink" Target="https://youtu.be/jABL6bqdVzc" TargetMode="External"/><Relationship Id="rId2482" Type="http://schemas.openxmlformats.org/officeDocument/2006/relationships/hyperlink" Target="https://youtu.be/d7NiO4PEi2A" TargetMode="External"/><Relationship Id="rId2481" Type="http://schemas.openxmlformats.org/officeDocument/2006/relationships/hyperlink" Target="https://youtu.be/2X6goDUNoiM" TargetMode="External"/><Relationship Id="rId2480" Type="http://schemas.openxmlformats.org/officeDocument/2006/relationships/hyperlink" Target="https://youtu.be/8rpjoSlMGYg" TargetMode="External"/><Relationship Id="rId248" Type="http://schemas.openxmlformats.org/officeDocument/2006/relationships/hyperlink" Target="https://youtu.be/eJG6bdGlDK4" TargetMode="External"/><Relationship Id="rId2479" Type="http://schemas.openxmlformats.org/officeDocument/2006/relationships/hyperlink" Target="https://youtu.be/sLIUV2k57oo" TargetMode="External"/><Relationship Id="rId2478" Type="http://schemas.openxmlformats.org/officeDocument/2006/relationships/hyperlink" Target="https://youtu.be/re2Uztpr6Hc" TargetMode="External"/><Relationship Id="rId2477" Type="http://schemas.openxmlformats.org/officeDocument/2006/relationships/hyperlink" Target="https://youtu.be/K-PQE-VEdhc" TargetMode="External"/><Relationship Id="rId2476" Type="http://schemas.openxmlformats.org/officeDocument/2006/relationships/hyperlink" Target="https://youtu.be/H66DDimfd8o" TargetMode="External"/><Relationship Id="rId2475" Type="http://schemas.openxmlformats.org/officeDocument/2006/relationships/hyperlink" Target="https://youtu.be/VuVBXJbgfPY" TargetMode="External"/><Relationship Id="rId2474" Type="http://schemas.openxmlformats.org/officeDocument/2006/relationships/hyperlink" Target="https://youtu.be/juVkvcjE10o" TargetMode="External"/><Relationship Id="rId2473" Type="http://schemas.openxmlformats.org/officeDocument/2006/relationships/hyperlink" Target="https://youtu.be/Ybsq1KA274s" TargetMode="External"/><Relationship Id="rId2472" Type="http://schemas.openxmlformats.org/officeDocument/2006/relationships/hyperlink" Target="https://youtu.be/ZDAR4v3VDqw" TargetMode="External"/><Relationship Id="rId2471" Type="http://schemas.openxmlformats.org/officeDocument/2006/relationships/hyperlink" Target="https://youtu.be/HeQa8KCC3h8" TargetMode="External"/><Relationship Id="rId2470" Type="http://schemas.openxmlformats.org/officeDocument/2006/relationships/hyperlink" Target="https://youtu.be/nGb-ZW0frGU" TargetMode="External"/><Relationship Id="rId247" Type="http://schemas.openxmlformats.org/officeDocument/2006/relationships/hyperlink" Target="https://youtu.be/4ERV9n_VnW8" TargetMode="External"/><Relationship Id="rId2469" Type="http://schemas.openxmlformats.org/officeDocument/2006/relationships/hyperlink" Target="https://youtu.be/EGX0cNd0ue0" TargetMode="External"/><Relationship Id="rId2468" Type="http://schemas.openxmlformats.org/officeDocument/2006/relationships/hyperlink" Target="https://youtu.be/Sky0FG6jBAM" TargetMode="External"/><Relationship Id="rId2467" Type="http://schemas.openxmlformats.org/officeDocument/2006/relationships/hyperlink" Target="https://youtu.be/dWi0Y1lfNBg" TargetMode="External"/><Relationship Id="rId2466" Type="http://schemas.openxmlformats.org/officeDocument/2006/relationships/hyperlink" Target="https://youtu.be/yCqh_fc3lQk" TargetMode="External"/><Relationship Id="rId2465" Type="http://schemas.openxmlformats.org/officeDocument/2006/relationships/hyperlink" Target="https://youtu.be/SgGYBOjlny4" TargetMode="External"/><Relationship Id="rId2464" Type="http://schemas.openxmlformats.org/officeDocument/2006/relationships/hyperlink" Target="https://youtu.be/8uy1-26JIj4" TargetMode="External"/><Relationship Id="rId2463" Type="http://schemas.openxmlformats.org/officeDocument/2006/relationships/hyperlink" Target="https://youtu.be/UnacW5KV2I4" TargetMode="External"/><Relationship Id="rId2462" Type="http://schemas.openxmlformats.org/officeDocument/2006/relationships/hyperlink" Target="https://youtu.be/c1zdm7DipQs" TargetMode="External"/><Relationship Id="rId2461" Type="http://schemas.openxmlformats.org/officeDocument/2006/relationships/hyperlink" Target="https://youtu.be/qjyGnv8rYrA" TargetMode="External"/><Relationship Id="rId2460" Type="http://schemas.openxmlformats.org/officeDocument/2006/relationships/hyperlink" Target="https://youtu.be/wliA3ZGv9Ic" TargetMode="External"/><Relationship Id="rId246" Type="http://schemas.openxmlformats.org/officeDocument/2006/relationships/hyperlink" Target="https://youtu.be/EMUyaIH7HaI" TargetMode="External"/><Relationship Id="rId2459" Type="http://schemas.openxmlformats.org/officeDocument/2006/relationships/hyperlink" Target="https://youtu.be/TQEWlZRQQcM" TargetMode="External"/><Relationship Id="rId2458" Type="http://schemas.openxmlformats.org/officeDocument/2006/relationships/hyperlink" Target="https://youtu.be/ta1uPWcFpT0" TargetMode="External"/><Relationship Id="rId2457" Type="http://schemas.openxmlformats.org/officeDocument/2006/relationships/hyperlink" Target="https://youtu.be/B_R48zlvCwA" TargetMode="External"/><Relationship Id="rId2456" Type="http://schemas.openxmlformats.org/officeDocument/2006/relationships/hyperlink" Target="https://youtu.be/h-r1cMDhoKc" TargetMode="External"/><Relationship Id="rId2455" Type="http://schemas.openxmlformats.org/officeDocument/2006/relationships/hyperlink" Target="https://youtu.be/gIKb_rT_sV8" TargetMode="External"/><Relationship Id="rId2454" Type="http://schemas.openxmlformats.org/officeDocument/2006/relationships/hyperlink" Target="https://youtu.be/WfOt8EFXO9M" TargetMode="External"/><Relationship Id="rId2453" Type="http://schemas.openxmlformats.org/officeDocument/2006/relationships/hyperlink" Target="https://youtu.be/6J27cK4-KMY" TargetMode="External"/><Relationship Id="rId2452" Type="http://schemas.openxmlformats.org/officeDocument/2006/relationships/hyperlink" Target="https://youtu.be/ghR2TxhnDb4" TargetMode="External"/><Relationship Id="rId2451" Type="http://schemas.openxmlformats.org/officeDocument/2006/relationships/hyperlink" Target="https://youtu.be/92uMIgfcs5Q" TargetMode="External"/><Relationship Id="rId2450" Type="http://schemas.openxmlformats.org/officeDocument/2006/relationships/hyperlink" Target="https://youtu.be/hxSXcIAFymA" TargetMode="External"/><Relationship Id="rId245" Type="http://schemas.openxmlformats.org/officeDocument/2006/relationships/hyperlink" Target="https://youtu.be/Ds1cUlPEfv8" TargetMode="External"/><Relationship Id="rId2449" Type="http://schemas.openxmlformats.org/officeDocument/2006/relationships/hyperlink" Target="https://youtu.be/rkP9n_Me3eY" TargetMode="External"/><Relationship Id="rId2448" Type="http://schemas.openxmlformats.org/officeDocument/2006/relationships/hyperlink" Target="https://youtu.be/I8xCyURa7K0" TargetMode="External"/><Relationship Id="rId2447" Type="http://schemas.openxmlformats.org/officeDocument/2006/relationships/hyperlink" Target="https://youtu.be/Vaa3Qm9PBj8" TargetMode="External"/><Relationship Id="rId2446" Type="http://schemas.openxmlformats.org/officeDocument/2006/relationships/hyperlink" Target="https://youtu.be/fmo_K4Ztq6M" TargetMode="External"/><Relationship Id="rId2445" Type="http://schemas.openxmlformats.org/officeDocument/2006/relationships/hyperlink" Target="https://youtu.be/eP36uID1_FY" TargetMode="External"/><Relationship Id="rId2444" Type="http://schemas.openxmlformats.org/officeDocument/2006/relationships/hyperlink" Target="https://youtu.be/sQ0IsRY1XPY" TargetMode="External"/><Relationship Id="rId2443" Type="http://schemas.openxmlformats.org/officeDocument/2006/relationships/hyperlink" Target="https://youtu.be/ZdMRoMi8F0I" TargetMode="External"/><Relationship Id="rId2442" Type="http://schemas.openxmlformats.org/officeDocument/2006/relationships/hyperlink" Target="https://youtu.be/qsDHbxhufO8" TargetMode="External"/><Relationship Id="rId2441" Type="http://schemas.openxmlformats.org/officeDocument/2006/relationships/hyperlink" Target="https://youtu.be/nNnDR_sQdsA" TargetMode="External"/><Relationship Id="rId2440" Type="http://schemas.openxmlformats.org/officeDocument/2006/relationships/hyperlink" Target="https://youtu.be/ZVErKaF6J30" TargetMode="External"/><Relationship Id="rId244" Type="http://schemas.openxmlformats.org/officeDocument/2006/relationships/hyperlink" Target="https://youtu.be/JRk4LGSekXA" TargetMode="External"/><Relationship Id="rId2439" Type="http://schemas.openxmlformats.org/officeDocument/2006/relationships/hyperlink" Target="https://youtu.be/Y1bDwYWpLPI" TargetMode="External"/><Relationship Id="rId2438" Type="http://schemas.openxmlformats.org/officeDocument/2006/relationships/hyperlink" Target="https://youtu.be/oES7QpePqMo" TargetMode="External"/><Relationship Id="rId2437" Type="http://schemas.openxmlformats.org/officeDocument/2006/relationships/hyperlink" Target="https://youtu.be/gPxEyWFIoj4" TargetMode="External"/><Relationship Id="rId2436" Type="http://schemas.openxmlformats.org/officeDocument/2006/relationships/hyperlink" Target="https://youtu.be/flDAxWxK984" TargetMode="External"/><Relationship Id="rId2435" Type="http://schemas.openxmlformats.org/officeDocument/2006/relationships/hyperlink" Target="https://youtu.be/FIfrN698g0Y" TargetMode="External"/><Relationship Id="rId2434" Type="http://schemas.openxmlformats.org/officeDocument/2006/relationships/hyperlink" Target="https://youtu.be/mscH1UEXsdg" TargetMode="External"/><Relationship Id="rId2433" Type="http://schemas.openxmlformats.org/officeDocument/2006/relationships/hyperlink" Target="https://youtu.be/Im2hEma_a1E" TargetMode="External"/><Relationship Id="rId2432" Type="http://schemas.openxmlformats.org/officeDocument/2006/relationships/hyperlink" Target="https://youtu.be/0bOC00wkBmY" TargetMode="External"/><Relationship Id="rId2431" Type="http://schemas.openxmlformats.org/officeDocument/2006/relationships/hyperlink" Target="https://youtu.be/rxE_EkaGbDg" TargetMode="External"/><Relationship Id="rId2430" Type="http://schemas.openxmlformats.org/officeDocument/2006/relationships/hyperlink" Target="https://youtu.be/CZMEMoxrjKY" TargetMode="External"/><Relationship Id="rId243" Type="http://schemas.openxmlformats.org/officeDocument/2006/relationships/hyperlink" Target="https://youtu.be/5o-h9gx8U3Y" TargetMode="External"/><Relationship Id="rId2429" Type="http://schemas.openxmlformats.org/officeDocument/2006/relationships/hyperlink" Target="https://youtu.be/wtG78LgX-NE" TargetMode="External"/><Relationship Id="rId2428" Type="http://schemas.openxmlformats.org/officeDocument/2006/relationships/hyperlink" Target="https://youtu.be/9yJD1VjtJgc" TargetMode="External"/><Relationship Id="rId2427" Type="http://schemas.openxmlformats.org/officeDocument/2006/relationships/hyperlink" Target="https://youtu.be/efgtXVjKzuw" TargetMode="External"/><Relationship Id="rId2426" Type="http://schemas.openxmlformats.org/officeDocument/2006/relationships/hyperlink" Target="https://youtu.be/2jbgzU6n_r0" TargetMode="External"/><Relationship Id="rId2425" Type="http://schemas.openxmlformats.org/officeDocument/2006/relationships/hyperlink" Target="https://youtu.be/_lXuGTJO6C0" TargetMode="External"/><Relationship Id="rId2424" Type="http://schemas.openxmlformats.org/officeDocument/2006/relationships/hyperlink" Target="https://youtu.be/c9qH3c-0vzU" TargetMode="External"/><Relationship Id="rId2423" Type="http://schemas.openxmlformats.org/officeDocument/2006/relationships/hyperlink" Target="https://youtu.be/Sv0XiI6qJH4" TargetMode="External"/><Relationship Id="rId2422" Type="http://schemas.openxmlformats.org/officeDocument/2006/relationships/hyperlink" Target="https://youtu.be/PB10DQmRFAE" TargetMode="External"/><Relationship Id="rId2421" Type="http://schemas.openxmlformats.org/officeDocument/2006/relationships/hyperlink" Target="https://youtu.be/oNLxqvYkgik" TargetMode="External"/><Relationship Id="rId2420" Type="http://schemas.openxmlformats.org/officeDocument/2006/relationships/hyperlink" Target="https://youtu.be/bGBSQMTiaa4" TargetMode="External"/><Relationship Id="rId242" Type="http://schemas.openxmlformats.org/officeDocument/2006/relationships/hyperlink" Target="https://youtu.be/SK8Pb5EjsrA" TargetMode="External"/><Relationship Id="rId2419" Type="http://schemas.openxmlformats.org/officeDocument/2006/relationships/hyperlink" Target="https://youtu.be/h7P6vL5vIsA" TargetMode="External"/><Relationship Id="rId2418" Type="http://schemas.openxmlformats.org/officeDocument/2006/relationships/hyperlink" Target="https://youtu.be/YdwHrdzRhrk" TargetMode="External"/><Relationship Id="rId2417" Type="http://schemas.openxmlformats.org/officeDocument/2006/relationships/hyperlink" Target="https://youtu.be/ejZmvJQwy0c" TargetMode="External"/><Relationship Id="rId2416" Type="http://schemas.openxmlformats.org/officeDocument/2006/relationships/hyperlink" Target="https://youtu.be/K8H6Uk2UDh0" TargetMode="External"/><Relationship Id="rId2415" Type="http://schemas.openxmlformats.org/officeDocument/2006/relationships/hyperlink" Target="https://youtu.be/sr9kMfLQnys" TargetMode="External"/><Relationship Id="rId2414" Type="http://schemas.openxmlformats.org/officeDocument/2006/relationships/hyperlink" Target="https://youtu.be/149ij147DCo" TargetMode="External"/><Relationship Id="rId2413" Type="http://schemas.openxmlformats.org/officeDocument/2006/relationships/hyperlink" Target="https://youtu.be/ofbbTf7Ihtc" TargetMode="External"/><Relationship Id="rId2412" Type="http://schemas.openxmlformats.org/officeDocument/2006/relationships/hyperlink" Target="https://youtu.be/VyaMw0dmfGM" TargetMode="External"/><Relationship Id="rId2411" Type="http://schemas.openxmlformats.org/officeDocument/2006/relationships/hyperlink" Target="https://youtu.be/THCL6ByyWzs" TargetMode="External"/><Relationship Id="rId2410" Type="http://schemas.openxmlformats.org/officeDocument/2006/relationships/hyperlink" Target="https://youtu.be/PBZ4a-dvf0w" TargetMode="External"/><Relationship Id="rId241" Type="http://schemas.openxmlformats.org/officeDocument/2006/relationships/hyperlink" Target="https://youtu.be/yeWVZWgU4bQ" TargetMode="External"/><Relationship Id="rId2409" Type="http://schemas.openxmlformats.org/officeDocument/2006/relationships/hyperlink" Target="https://youtu.be/enR1xA5VM5w" TargetMode="External"/><Relationship Id="rId2408" Type="http://schemas.openxmlformats.org/officeDocument/2006/relationships/hyperlink" Target="https://youtu.be/d4fGW2pm3AI" TargetMode="External"/><Relationship Id="rId2407" Type="http://schemas.openxmlformats.org/officeDocument/2006/relationships/hyperlink" Target="https://youtu.be/hy-kKBHkO9s" TargetMode="External"/><Relationship Id="rId2406" Type="http://schemas.openxmlformats.org/officeDocument/2006/relationships/hyperlink" Target="https://youtu.be/8RVfoKS0XCA" TargetMode="External"/><Relationship Id="rId2405" Type="http://schemas.openxmlformats.org/officeDocument/2006/relationships/hyperlink" Target="https://youtu.be/NOwnd2JOuD4" TargetMode="External"/><Relationship Id="rId2404" Type="http://schemas.openxmlformats.org/officeDocument/2006/relationships/hyperlink" Target="https://youtu.be/R8J5xfc661w" TargetMode="External"/><Relationship Id="rId2403" Type="http://schemas.openxmlformats.org/officeDocument/2006/relationships/hyperlink" Target="https://youtu.be/Ky1mQfAmXsc" TargetMode="External"/><Relationship Id="rId2402" Type="http://schemas.openxmlformats.org/officeDocument/2006/relationships/hyperlink" Target="https://youtu.be/fvvIg7ttoLA" TargetMode="External"/><Relationship Id="rId2401" Type="http://schemas.openxmlformats.org/officeDocument/2006/relationships/hyperlink" Target="https://youtu.be/R588TXrn_nc" TargetMode="External"/><Relationship Id="rId2400" Type="http://schemas.openxmlformats.org/officeDocument/2006/relationships/hyperlink" Target="https://youtu.be/Rqxt5sQWgDc" TargetMode="External"/><Relationship Id="rId240" Type="http://schemas.openxmlformats.org/officeDocument/2006/relationships/hyperlink" Target="https://youtu.be/vNGyfB8ex60" TargetMode="External"/><Relationship Id="rId24" Type="http://schemas.openxmlformats.org/officeDocument/2006/relationships/hyperlink" Target="https://youtu.be/tIP-gnyIga0" TargetMode="External"/><Relationship Id="rId2399" Type="http://schemas.openxmlformats.org/officeDocument/2006/relationships/hyperlink" Target="https://youtu.be/54pvHhahPxg" TargetMode="External"/><Relationship Id="rId2398" Type="http://schemas.openxmlformats.org/officeDocument/2006/relationships/hyperlink" Target="https://youtu.be/ILG9Xkiv5Y8" TargetMode="External"/><Relationship Id="rId2397" Type="http://schemas.openxmlformats.org/officeDocument/2006/relationships/hyperlink" Target="https://youtu.be/KjnTZiYYIzg" TargetMode="External"/><Relationship Id="rId2396" Type="http://schemas.openxmlformats.org/officeDocument/2006/relationships/hyperlink" Target="https://youtu.be/vVDzGF5Z4AY" TargetMode="External"/><Relationship Id="rId2395" Type="http://schemas.openxmlformats.org/officeDocument/2006/relationships/hyperlink" Target="https://youtu.be/aYPvBVVGe9w" TargetMode="External"/><Relationship Id="rId2394" Type="http://schemas.openxmlformats.org/officeDocument/2006/relationships/hyperlink" Target="https://youtu.be/8PL0vLwjraE" TargetMode="External"/><Relationship Id="rId2393" Type="http://schemas.openxmlformats.org/officeDocument/2006/relationships/hyperlink" Target="https://youtu.be/V5K1CKuMH94" TargetMode="External"/><Relationship Id="rId2392" Type="http://schemas.openxmlformats.org/officeDocument/2006/relationships/hyperlink" Target="https://youtu.be/ro0QTHD_wqc" TargetMode="External"/><Relationship Id="rId2391" Type="http://schemas.openxmlformats.org/officeDocument/2006/relationships/hyperlink" Target="https://youtu.be/DZLASbCEDKM" TargetMode="External"/><Relationship Id="rId2390" Type="http://schemas.openxmlformats.org/officeDocument/2006/relationships/hyperlink" Target="https://youtu.be/3UG8mYtSW2I" TargetMode="External"/><Relationship Id="rId239" Type="http://schemas.openxmlformats.org/officeDocument/2006/relationships/hyperlink" Target="https://youtu.be/7pqZWhpvfGI" TargetMode="External"/><Relationship Id="rId2389" Type="http://schemas.openxmlformats.org/officeDocument/2006/relationships/hyperlink" Target="https://youtu.be/zny8BLEfong" TargetMode="External"/><Relationship Id="rId2388" Type="http://schemas.openxmlformats.org/officeDocument/2006/relationships/hyperlink" Target="https://youtu.be/n2cDAxv0NT4" TargetMode="External"/><Relationship Id="rId2387" Type="http://schemas.openxmlformats.org/officeDocument/2006/relationships/hyperlink" Target="https://youtu.be/tclDxFY5kjU" TargetMode="External"/><Relationship Id="rId2386" Type="http://schemas.openxmlformats.org/officeDocument/2006/relationships/hyperlink" Target="https://youtu.be/cCJsw3INeic" TargetMode="External"/><Relationship Id="rId2385" Type="http://schemas.openxmlformats.org/officeDocument/2006/relationships/hyperlink" Target="https://youtu.be/YFua31-_cVQ" TargetMode="External"/><Relationship Id="rId2384" Type="http://schemas.openxmlformats.org/officeDocument/2006/relationships/hyperlink" Target="https://youtu.be/LCY3UrxvBkY" TargetMode="External"/><Relationship Id="rId2383" Type="http://schemas.openxmlformats.org/officeDocument/2006/relationships/hyperlink" Target="https://youtu.be/JS64JfzjtEk" TargetMode="External"/><Relationship Id="rId2382" Type="http://schemas.openxmlformats.org/officeDocument/2006/relationships/hyperlink" Target="https://youtu.be/hCVJrXVtrnM" TargetMode="External"/><Relationship Id="rId2381" Type="http://schemas.openxmlformats.org/officeDocument/2006/relationships/hyperlink" Target="https://youtu.be/wG1z7JRYMSQ" TargetMode="External"/><Relationship Id="rId2380" Type="http://schemas.openxmlformats.org/officeDocument/2006/relationships/hyperlink" Target="https://youtu.be/wjahMmjb1b0" TargetMode="External"/><Relationship Id="rId238" Type="http://schemas.openxmlformats.org/officeDocument/2006/relationships/hyperlink" Target="https://youtu.be/NqeC0AnU-Ng" TargetMode="External"/><Relationship Id="rId2379" Type="http://schemas.openxmlformats.org/officeDocument/2006/relationships/hyperlink" Target="https://youtu.be/-ZB3-6uR4nA" TargetMode="External"/><Relationship Id="rId2378" Type="http://schemas.openxmlformats.org/officeDocument/2006/relationships/hyperlink" Target="https://youtu.be/yKiY2AduNJA" TargetMode="External"/><Relationship Id="rId2377" Type="http://schemas.openxmlformats.org/officeDocument/2006/relationships/hyperlink" Target="https://youtu.be/KlsXaubo05E" TargetMode="External"/><Relationship Id="rId2376" Type="http://schemas.openxmlformats.org/officeDocument/2006/relationships/hyperlink" Target="https://youtu.be/tpCbJc6oR_0" TargetMode="External"/><Relationship Id="rId2375" Type="http://schemas.openxmlformats.org/officeDocument/2006/relationships/hyperlink" Target="https://youtu.be/OlQmktfM_7o" TargetMode="External"/><Relationship Id="rId2374" Type="http://schemas.openxmlformats.org/officeDocument/2006/relationships/hyperlink" Target="https://youtu.be/9JgZWZOok6I" TargetMode="External"/><Relationship Id="rId2373" Type="http://schemas.openxmlformats.org/officeDocument/2006/relationships/hyperlink" Target="https://youtu.be/B2gt6EL9alU" TargetMode="External"/><Relationship Id="rId2372" Type="http://schemas.openxmlformats.org/officeDocument/2006/relationships/hyperlink" Target="https://youtu.be/xLxDlUdhs6s" TargetMode="External"/><Relationship Id="rId2371" Type="http://schemas.openxmlformats.org/officeDocument/2006/relationships/hyperlink" Target="https://youtu.be/Mu4yWaNWK80" TargetMode="External"/><Relationship Id="rId2370" Type="http://schemas.openxmlformats.org/officeDocument/2006/relationships/hyperlink" Target="https://youtu.be/gMwMfI5X1cw" TargetMode="External"/><Relationship Id="rId237" Type="http://schemas.openxmlformats.org/officeDocument/2006/relationships/hyperlink" Target="https://youtu.be/dbq-PoXc6vA" TargetMode="External"/><Relationship Id="rId2369" Type="http://schemas.openxmlformats.org/officeDocument/2006/relationships/hyperlink" Target="https://youtu.be/h9sDCJXTfbw" TargetMode="External"/><Relationship Id="rId2368" Type="http://schemas.openxmlformats.org/officeDocument/2006/relationships/hyperlink" Target="https://youtu.be/GnA-YbdhjoA" TargetMode="External"/><Relationship Id="rId2367" Type="http://schemas.openxmlformats.org/officeDocument/2006/relationships/hyperlink" Target="https://youtu.be/dCESddMJu2U" TargetMode="External"/><Relationship Id="rId2366" Type="http://schemas.openxmlformats.org/officeDocument/2006/relationships/hyperlink" Target="https://youtu.be/VZhyp2bGAJE" TargetMode="External"/><Relationship Id="rId2365" Type="http://schemas.openxmlformats.org/officeDocument/2006/relationships/hyperlink" Target="https://youtu.be/2AlmzF38xz8" TargetMode="External"/><Relationship Id="rId2364" Type="http://schemas.openxmlformats.org/officeDocument/2006/relationships/hyperlink" Target="https://youtu.be/Am2Sj3zRb88" TargetMode="External"/><Relationship Id="rId2363" Type="http://schemas.openxmlformats.org/officeDocument/2006/relationships/hyperlink" Target="https://youtu.be/ftPwwWHpIRk" TargetMode="External"/><Relationship Id="rId2362" Type="http://schemas.openxmlformats.org/officeDocument/2006/relationships/hyperlink" Target="https://youtu.be/u4BLIX-5Ods" TargetMode="External"/><Relationship Id="rId2361" Type="http://schemas.openxmlformats.org/officeDocument/2006/relationships/hyperlink" Target="https://youtu.be/pwJXfiohhUo" TargetMode="External"/><Relationship Id="rId2360" Type="http://schemas.openxmlformats.org/officeDocument/2006/relationships/hyperlink" Target="https://youtu.be/0Dph7KLdQgQ" TargetMode="External"/><Relationship Id="rId236" Type="http://schemas.openxmlformats.org/officeDocument/2006/relationships/hyperlink" Target="https://youtu.be/sIz3rMMAmAM" TargetMode="External"/><Relationship Id="rId2359" Type="http://schemas.openxmlformats.org/officeDocument/2006/relationships/hyperlink" Target="https://youtu.be/LaiBNI2VvOE" TargetMode="External"/><Relationship Id="rId2358" Type="http://schemas.openxmlformats.org/officeDocument/2006/relationships/hyperlink" Target="https://youtu.be/jxcjj4ukpJw" TargetMode="External"/><Relationship Id="rId2357" Type="http://schemas.openxmlformats.org/officeDocument/2006/relationships/hyperlink" Target="https://youtu.be/Gwr6jxxhyjg" TargetMode="External"/><Relationship Id="rId2356" Type="http://schemas.openxmlformats.org/officeDocument/2006/relationships/hyperlink" Target="https://youtu.be/cbum3v8cj7I" TargetMode="External"/><Relationship Id="rId2355" Type="http://schemas.openxmlformats.org/officeDocument/2006/relationships/hyperlink" Target="https://youtu.be/geqpkP4L1fw" TargetMode="External"/><Relationship Id="rId2354" Type="http://schemas.openxmlformats.org/officeDocument/2006/relationships/hyperlink" Target="https://youtu.be/KeBA8LJ5Auo" TargetMode="External"/><Relationship Id="rId2353" Type="http://schemas.openxmlformats.org/officeDocument/2006/relationships/hyperlink" Target="https://youtu.be/l1h36bHQMhE" TargetMode="External"/><Relationship Id="rId2352" Type="http://schemas.openxmlformats.org/officeDocument/2006/relationships/hyperlink" Target="https://youtu.be/SFDQytJWVxQ" TargetMode="External"/><Relationship Id="rId2351" Type="http://schemas.openxmlformats.org/officeDocument/2006/relationships/hyperlink" Target="https://youtu.be/vqJkwhKn-Co" TargetMode="External"/><Relationship Id="rId2350" Type="http://schemas.openxmlformats.org/officeDocument/2006/relationships/hyperlink" Target="https://youtu.be/OGU5Sz1UInE" TargetMode="External"/><Relationship Id="rId235" Type="http://schemas.openxmlformats.org/officeDocument/2006/relationships/hyperlink" Target="https://youtu.be/GSzG_zbrOMk" TargetMode="External"/><Relationship Id="rId2349" Type="http://schemas.openxmlformats.org/officeDocument/2006/relationships/hyperlink" Target="https://youtu.be/JPGraWV7Z08" TargetMode="External"/><Relationship Id="rId2348" Type="http://schemas.openxmlformats.org/officeDocument/2006/relationships/hyperlink" Target="https://youtu.be/UKwFEyZp9gI" TargetMode="External"/><Relationship Id="rId2347" Type="http://schemas.openxmlformats.org/officeDocument/2006/relationships/hyperlink" Target="https://youtu.be/w6XBpiaEkvA" TargetMode="External"/><Relationship Id="rId2346" Type="http://schemas.openxmlformats.org/officeDocument/2006/relationships/hyperlink" Target="https://youtu.be/cjGkYp8fv0o" TargetMode="External"/><Relationship Id="rId2345" Type="http://schemas.openxmlformats.org/officeDocument/2006/relationships/hyperlink" Target="https://youtu.be/qUxSLKDzpaI" TargetMode="External"/><Relationship Id="rId2344" Type="http://schemas.openxmlformats.org/officeDocument/2006/relationships/hyperlink" Target="https://youtu.be/Mpyr_dm8Pho" TargetMode="External"/><Relationship Id="rId2343" Type="http://schemas.openxmlformats.org/officeDocument/2006/relationships/hyperlink" Target="https://youtu.be/t1-avNrh_uY" TargetMode="External"/><Relationship Id="rId2342" Type="http://schemas.openxmlformats.org/officeDocument/2006/relationships/hyperlink" Target="https://youtu.be/mscPhtqc8XQ" TargetMode="External"/><Relationship Id="rId2341" Type="http://schemas.openxmlformats.org/officeDocument/2006/relationships/hyperlink" Target="https://youtu.be/1CucBl5YcI4" TargetMode="External"/><Relationship Id="rId2340" Type="http://schemas.openxmlformats.org/officeDocument/2006/relationships/hyperlink" Target="https://youtu.be/22Q7TyyRqAE" TargetMode="External"/><Relationship Id="rId234" Type="http://schemas.openxmlformats.org/officeDocument/2006/relationships/hyperlink" Target="https://youtu.be/pKAlwrvC44w" TargetMode="External"/><Relationship Id="rId2339" Type="http://schemas.openxmlformats.org/officeDocument/2006/relationships/hyperlink" Target="https://youtu.be/qQhybvzfyJY" TargetMode="External"/><Relationship Id="rId2338" Type="http://schemas.openxmlformats.org/officeDocument/2006/relationships/hyperlink" Target="https://youtu.be/842RBYOhTUQ" TargetMode="External"/><Relationship Id="rId2337" Type="http://schemas.openxmlformats.org/officeDocument/2006/relationships/hyperlink" Target="https://youtu.be/lSGZo2vDbQk" TargetMode="External"/><Relationship Id="rId2336" Type="http://schemas.openxmlformats.org/officeDocument/2006/relationships/hyperlink" Target="https://youtu.be/1XCDErtngO4" TargetMode="External"/><Relationship Id="rId2335" Type="http://schemas.openxmlformats.org/officeDocument/2006/relationships/hyperlink" Target="https://youtu.be/XNQpJlxMR4E" TargetMode="External"/><Relationship Id="rId2334" Type="http://schemas.openxmlformats.org/officeDocument/2006/relationships/hyperlink" Target="https://youtu.be/MRakLLNnpUY" TargetMode="External"/><Relationship Id="rId2333" Type="http://schemas.openxmlformats.org/officeDocument/2006/relationships/hyperlink" Target="https://youtu.be/VlkIffycQWA" TargetMode="External"/><Relationship Id="rId2332" Type="http://schemas.openxmlformats.org/officeDocument/2006/relationships/hyperlink" Target="https://youtu.be/As6wf-D-iZo" TargetMode="External"/><Relationship Id="rId2331" Type="http://schemas.openxmlformats.org/officeDocument/2006/relationships/hyperlink" Target="https://youtu.be/4Cqbc-VVzKs" TargetMode="External"/><Relationship Id="rId2330" Type="http://schemas.openxmlformats.org/officeDocument/2006/relationships/hyperlink" Target="https://youtu.be/P-9mJ45Q1Fw" TargetMode="External"/><Relationship Id="rId233" Type="http://schemas.openxmlformats.org/officeDocument/2006/relationships/hyperlink" Target="https://youtu.be/bc3_IC_5P_I" TargetMode="External"/><Relationship Id="rId2329" Type="http://schemas.openxmlformats.org/officeDocument/2006/relationships/hyperlink" Target="https://youtu.be/bOYHUfEl45U" TargetMode="External"/><Relationship Id="rId2328" Type="http://schemas.openxmlformats.org/officeDocument/2006/relationships/hyperlink" Target="https://youtu.be/KgGcBO6aHhs" TargetMode="External"/><Relationship Id="rId2327" Type="http://schemas.openxmlformats.org/officeDocument/2006/relationships/hyperlink" Target="https://youtu.be/DQREC9-zkY0" TargetMode="External"/><Relationship Id="rId2326" Type="http://schemas.openxmlformats.org/officeDocument/2006/relationships/hyperlink" Target="https://youtu.be/3A0SWg7dC2c" TargetMode="External"/><Relationship Id="rId2325" Type="http://schemas.openxmlformats.org/officeDocument/2006/relationships/hyperlink" Target="https://youtu.be/9FxyAwD4ERI" TargetMode="External"/><Relationship Id="rId2324" Type="http://schemas.openxmlformats.org/officeDocument/2006/relationships/hyperlink" Target="https://youtu.be/qyIc597iit4" TargetMode="External"/><Relationship Id="rId2323" Type="http://schemas.openxmlformats.org/officeDocument/2006/relationships/hyperlink" Target="https://youtu.be/39jeHBFwW7Y" TargetMode="External"/><Relationship Id="rId2322" Type="http://schemas.openxmlformats.org/officeDocument/2006/relationships/hyperlink" Target="https://youtu.be/54I_Qk12OEk" TargetMode="External"/><Relationship Id="rId2321" Type="http://schemas.openxmlformats.org/officeDocument/2006/relationships/hyperlink" Target="https://youtu.be/NDrAnbY0DNE" TargetMode="External"/><Relationship Id="rId2320" Type="http://schemas.openxmlformats.org/officeDocument/2006/relationships/hyperlink" Target="https://youtu.be/ZYBfPJbIG_0" TargetMode="External"/><Relationship Id="rId232" Type="http://schemas.openxmlformats.org/officeDocument/2006/relationships/hyperlink" Target="https://youtu.be/25DlQOwWhk0" TargetMode="External"/><Relationship Id="rId2319" Type="http://schemas.openxmlformats.org/officeDocument/2006/relationships/hyperlink" Target="https://youtu.be/eac6SP7z4VQ" TargetMode="External"/><Relationship Id="rId2318" Type="http://schemas.openxmlformats.org/officeDocument/2006/relationships/hyperlink" Target="https://youtu.be/kdf8ahuHJ0A" TargetMode="External"/><Relationship Id="rId2317" Type="http://schemas.openxmlformats.org/officeDocument/2006/relationships/hyperlink" Target="https://youtu.be/qZSirA-ODuE" TargetMode="External"/><Relationship Id="rId2316" Type="http://schemas.openxmlformats.org/officeDocument/2006/relationships/hyperlink" Target="https://youtu.be/vKYXSm_5Rcs" TargetMode="External"/><Relationship Id="rId2315" Type="http://schemas.openxmlformats.org/officeDocument/2006/relationships/hyperlink" Target="https://youtu.be/F0X6sv3zq6Q" TargetMode="External"/><Relationship Id="rId2314" Type="http://schemas.openxmlformats.org/officeDocument/2006/relationships/hyperlink" Target="https://youtu.be/E5iaZakqkAQ" TargetMode="External"/><Relationship Id="rId2313" Type="http://schemas.openxmlformats.org/officeDocument/2006/relationships/hyperlink" Target="https://youtu.be/0KsetzWBv8g" TargetMode="External"/><Relationship Id="rId2312" Type="http://schemas.openxmlformats.org/officeDocument/2006/relationships/hyperlink" Target="https://youtu.be/cx3Gjjefoy4" TargetMode="External"/><Relationship Id="rId2311" Type="http://schemas.openxmlformats.org/officeDocument/2006/relationships/hyperlink" Target="https://youtu.be/0u5LMNhFl6M" TargetMode="External"/><Relationship Id="rId2310" Type="http://schemas.openxmlformats.org/officeDocument/2006/relationships/hyperlink" Target="https://youtu.be/8vNCp-VTIvE" TargetMode="External"/><Relationship Id="rId231" Type="http://schemas.openxmlformats.org/officeDocument/2006/relationships/hyperlink" Target="https://youtu.be/dmPebTPP1X8" TargetMode="External"/><Relationship Id="rId2309" Type="http://schemas.openxmlformats.org/officeDocument/2006/relationships/hyperlink" Target="https://youtu.be/kU86gaiA6Rc" TargetMode="External"/><Relationship Id="rId2308" Type="http://schemas.openxmlformats.org/officeDocument/2006/relationships/hyperlink" Target="https://youtu.be/XZE84IxzQYo" TargetMode="External"/><Relationship Id="rId2307" Type="http://schemas.openxmlformats.org/officeDocument/2006/relationships/hyperlink" Target="https://youtu.be/GBY2UkRnHPY" TargetMode="External"/><Relationship Id="rId2306" Type="http://schemas.openxmlformats.org/officeDocument/2006/relationships/hyperlink" Target="https://youtu.be/AfI4GSLfQWo" TargetMode="External"/><Relationship Id="rId2305" Type="http://schemas.openxmlformats.org/officeDocument/2006/relationships/hyperlink" Target="https://youtu.be/b_Ot7r-nXRw" TargetMode="External"/><Relationship Id="rId2304" Type="http://schemas.openxmlformats.org/officeDocument/2006/relationships/hyperlink" Target="https://youtu.be/k5Yyc-G5eS8" TargetMode="External"/><Relationship Id="rId2303" Type="http://schemas.openxmlformats.org/officeDocument/2006/relationships/hyperlink" Target="https://youtu.be/DXjuaLKKrgI" TargetMode="External"/><Relationship Id="rId2302" Type="http://schemas.openxmlformats.org/officeDocument/2006/relationships/hyperlink" Target="https://youtu.be/FbEwIVT4Mh8" TargetMode="External"/><Relationship Id="rId2301" Type="http://schemas.openxmlformats.org/officeDocument/2006/relationships/hyperlink" Target="https://youtu.be/PsbS7ZnDM4Y" TargetMode="External"/><Relationship Id="rId2300" Type="http://schemas.openxmlformats.org/officeDocument/2006/relationships/hyperlink" Target="https://youtu.be/eORcSi8YdwA" TargetMode="External"/><Relationship Id="rId230" Type="http://schemas.openxmlformats.org/officeDocument/2006/relationships/hyperlink" Target="https://youtu.be/wRP0D3zV0MQ" TargetMode="External"/><Relationship Id="rId23" Type="http://schemas.openxmlformats.org/officeDocument/2006/relationships/hyperlink" Target="https://youtu.be/YSPdZX6OrL8" TargetMode="External"/><Relationship Id="rId2299" Type="http://schemas.openxmlformats.org/officeDocument/2006/relationships/hyperlink" Target="https://youtu.be/2yQJ868f2kg" TargetMode="External"/><Relationship Id="rId2298" Type="http://schemas.openxmlformats.org/officeDocument/2006/relationships/hyperlink" Target="https://youtu.be/MISZs91u-lI" TargetMode="External"/><Relationship Id="rId2297" Type="http://schemas.openxmlformats.org/officeDocument/2006/relationships/hyperlink" Target="https://youtu.be/F9NogpiAcV8" TargetMode="External"/><Relationship Id="rId2296" Type="http://schemas.openxmlformats.org/officeDocument/2006/relationships/hyperlink" Target="https://youtu.be/26iLssrNAJA" TargetMode="External"/><Relationship Id="rId2295" Type="http://schemas.openxmlformats.org/officeDocument/2006/relationships/hyperlink" Target="https://youtu.be/qYsY1U_pxi4" TargetMode="External"/><Relationship Id="rId2294" Type="http://schemas.openxmlformats.org/officeDocument/2006/relationships/hyperlink" Target="https://youtu.be/8p5XUu21bqA" TargetMode="External"/><Relationship Id="rId2293" Type="http://schemas.openxmlformats.org/officeDocument/2006/relationships/hyperlink" Target="https://youtu.be/Or4Uj9YEi1E" TargetMode="External"/><Relationship Id="rId2292" Type="http://schemas.openxmlformats.org/officeDocument/2006/relationships/hyperlink" Target="https://youtu.be/D72a_H0FDyA" TargetMode="External"/><Relationship Id="rId2291" Type="http://schemas.openxmlformats.org/officeDocument/2006/relationships/hyperlink" Target="https://youtu.be/HzECWKPbCRA" TargetMode="External"/><Relationship Id="rId2290" Type="http://schemas.openxmlformats.org/officeDocument/2006/relationships/hyperlink" Target="https://youtu.be/DvNQI8VwU5w" TargetMode="External"/><Relationship Id="rId229" Type="http://schemas.openxmlformats.org/officeDocument/2006/relationships/hyperlink" Target="https://youtu.be/WKLkbtal_kw" TargetMode="External"/><Relationship Id="rId2289" Type="http://schemas.openxmlformats.org/officeDocument/2006/relationships/hyperlink" Target="https://youtu.be/RjL8JsJ5lLU" TargetMode="External"/><Relationship Id="rId2288" Type="http://schemas.openxmlformats.org/officeDocument/2006/relationships/hyperlink" Target="https://youtu.be/QkdcCU4HKdI" TargetMode="External"/><Relationship Id="rId2287" Type="http://schemas.openxmlformats.org/officeDocument/2006/relationships/hyperlink" Target="https://youtu.be/jgbMvaBdq0M" TargetMode="External"/><Relationship Id="rId2286" Type="http://schemas.openxmlformats.org/officeDocument/2006/relationships/hyperlink" Target="https://youtu.be/LKkI0PxPqaU" TargetMode="External"/><Relationship Id="rId2285" Type="http://schemas.openxmlformats.org/officeDocument/2006/relationships/hyperlink" Target="https://youtu.be/W2eXv3Tr55c" TargetMode="External"/><Relationship Id="rId2284" Type="http://schemas.openxmlformats.org/officeDocument/2006/relationships/hyperlink" Target="https://youtu.be/yiCYoOjCcNw" TargetMode="External"/><Relationship Id="rId2283" Type="http://schemas.openxmlformats.org/officeDocument/2006/relationships/hyperlink" Target="https://youtu.be/RC31jIF8ru0" TargetMode="External"/><Relationship Id="rId2282" Type="http://schemas.openxmlformats.org/officeDocument/2006/relationships/hyperlink" Target="https://youtu.be/SMgaQXQwV5Y" TargetMode="External"/><Relationship Id="rId2281" Type="http://schemas.openxmlformats.org/officeDocument/2006/relationships/hyperlink" Target="https://youtu.be/Ywh035K0NZc" TargetMode="External"/><Relationship Id="rId2280" Type="http://schemas.openxmlformats.org/officeDocument/2006/relationships/hyperlink" Target="https://youtu.be/ZN70uC8PVqs" TargetMode="External"/><Relationship Id="rId228" Type="http://schemas.openxmlformats.org/officeDocument/2006/relationships/hyperlink" Target="https://youtu.be/a4YPLFJCh1U" TargetMode="External"/><Relationship Id="rId2279" Type="http://schemas.openxmlformats.org/officeDocument/2006/relationships/hyperlink" Target="https://youtu.be/x5ZfDVkjJk8" TargetMode="External"/><Relationship Id="rId2278" Type="http://schemas.openxmlformats.org/officeDocument/2006/relationships/hyperlink" Target="https://youtu.be/B4AmwfVHQCw" TargetMode="External"/><Relationship Id="rId2277" Type="http://schemas.openxmlformats.org/officeDocument/2006/relationships/hyperlink" Target="https://youtu.be/htu-48N-gzI" TargetMode="External"/><Relationship Id="rId2276" Type="http://schemas.openxmlformats.org/officeDocument/2006/relationships/hyperlink" Target="https://youtu.be/qtsEFNnYWAU" TargetMode="External"/><Relationship Id="rId2275" Type="http://schemas.openxmlformats.org/officeDocument/2006/relationships/hyperlink" Target="https://youtu.be/vOVghKelWdg" TargetMode="External"/><Relationship Id="rId2274" Type="http://schemas.openxmlformats.org/officeDocument/2006/relationships/hyperlink" Target="https://youtu.be/Z5Bz6L93Gwo" TargetMode="External"/><Relationship Id="rId2273" Type="http://schemas.openxmlformats.org/officeDocument/2006/relationships/hyperlink" Target="https://youtu.be/Gn1IpPbi8T8" TargetMode="External"/><Relationship Id="rId2272" Type="http://schemas.openxmlformats.org/officeDocument/2006/relationships/hyperlink" Target="https://youtu.be/eoZkfI43FPk" TargetMode="External"/><Relationship Id="rId2271" Type="http://schemas.openxmlformats.org/officeDocument/2006/relationships/hyperlink" Target="https://youtu.be/4XnrWT7rqqI" TargetMode="External"/><Relationship Id="rId2270" Type="http://schemas.openxmlformats.org/officeDocument/2006/relationships/hyperlink" Target="https://youtu.be/yCXRLOWSu-I" TargetMode="External"/><Relationship Id="rId227" Type="http://schemas.openxmlformats.org/officeDocument/2006/relationships/hyperlink" Target="https://youtu.be/ChtE0EW6MlY" TargetMode="External"/><Relationship Id="rId2269" Type="http://schemas.openxmlformats.org/officeDocument/2006/relationships/hyperlink" Target="https://youtu.be/U29I7sx5wy8" TargetMode="External"/><Relationship Id="rId2268" Type="http://schemas.openxmlformats.org/officeDocument/2006/relationships/hyperlink" Target="https://youtu.be/qim2Z3SHPTU" TargetMode="External"/><Relationship Id="rId2267" Type="http://schemas.openxmlformats.org/officeDocument/2006/relationships/hyperlink" Target="https://youtu.be/LCjdOn2Lw6I" TargetMode="External"/><Relationship Id="rId2266" Type="http://schemas.openxmlformats.org/officeDocument/2006/relationships/hyperlink" Target="https://youtu.be/bLiPw-AvPUU" TargetMode="External"/><Relationship Id="rId2265" Type="http://schemas.openxmlformats.org/officeDocument/2006/relationships/hyperlink" Target="https://youtu.be/NN_JUv2wTY8" TargetMode="External"/><Relationship Id="rId2264" Type="http://schemas.openxmlformats.org/officeDocument/2006/relationships/hyperlink" Target="https://youtu.be/VLU12e49OZw" TargetMode="External"/><Relationship Id="rId2263" Type="http://schemas.openxmlformats.org/officeDocument/2006/relationships/hyperlink" Target="https://youtu.be/bq76SzR_eEA" TargetMode="External"/><Relationship Id="rId2262" Type="http://schemas.openxmlformats.org/officeDocument/2006/relationships/hyperlink" Target="https://youtu.be/1y-W3H8titY" TargetMode="External"/><Relationship Id="rId2261" Type="http://schemas.openxmlformats.org/officeDocument/2006/relationships/hyperlink" Target="https://youtu.be/xKZXgRHXEhs" TargetMode="External"/><Relationship Id="rId2260" Type="http://schemas.openxmlformats.org/officeDocument/2006/relationships/hyperlink" Target="https://youtu.be/YJkvo_kQV5o" TargetMode="External"/><Relationship Id="rId226" Type="http://schemas.openxmlformats.org/officeDocument/2006/relationships/hyperlink" Target="https://youtu.be/4q8yN1bSsr8" TargetMode="External"/><Relationship Id="rId2259" Type="http://schemas.openxmlformats.org/officeDocument/2006/relationships/hyperlink" Target="https://youtu.be/zXEuaFnFCYk" TargetMode="External"/><Relationship Id="rId2258" Type="http://schemas.openxmlformats.org/officeDocument/2006/relationships/hyperlink" Target="https://youtu.be/Aj6HTM33pBY" TargetMode="External"/><Relationship Id="rId2257" Type="http://schemas.openxmlformats.org/officeDocument/2006/relationships/hyperlink" Target="https://youtu.be/X2IU9d5Nqtk" TargetMode="External"/><Relationship Id="rId2256" Type="http://schemas.openxmlformats.org/officeDocument/2006/relationships/hyperlink" Target="https://youtu.be/iIc8WlhzlS0" TargetMode="External"/><Relationship Id="rId2255" Type="http://schemas.openxmlformats.org/officeDocument/2006/relationships/hyperlink" Target="https://youtu.be/sjuMV7NfZFM" TargetMode="External"/><Relationship Id="rId2254" Type="http://schemas.openxmlformats.org/officeDocument/2006/relationships/hyperlink" Target="https://youtu.be/RI-dNUGNMSY" TargetMode="External"/><Relationship Id="rId2253" Type="http://schemas.openxmlformats.org/officeDocument/2006/relationships/hyperlink" Target="https://youtu.be/_F5LAxgmvGs" TargetMode="External"/><Relationship Id="rId2252" Type="http://schemas.openxmlformats.org/officeDocument/2006/relationships/hyperlink" Target="https://youtu.be/pkWb7tHmm2s" TargetMode="External"/><Relationship Id="rId2251" Type="http://schemas.openxmlformats.org/officeDocument/2006/relationships/hyperlink" Target="https://youtu.be/FqePoACqnuA" TargetMode="External"/><Relationship Id="rId2250" Type="http://schemas.openxmlformats.org/officeDocument/2006/relationships/hyperlink" Target="https://youtu.be/B-0uhbDej7M" TargetMode="External"/><Relationship Id="rId225" Type="http://schemas.openxmlformats.org/officeDocument/2006/relationships/hyperlink" Target="https://youtu.be/QObPAufIJwQ" TargetMode="External"/><Relationship Id="rId2249" Type="http://schemas.openxmlformats.org/officeDocument/2006/relationships/hyperlink" Target="https://youtu.be/-LdHmDXyeQ8" TargetMode="External"/><Relationship Id="rId2248" Type="http://schemas.openxmlformats.org/officeDocument/2006/relationships/hyperlink" Target="https://youtu.be/13U-3etjMY0" TargetMode="External"/><Relationship Id="rId2247" Type="http://schemas.openxmlformats.org/officeDocument/2006/relationships/hyperlink" Target="https://youtu.be/rqRcPAlc6no" TargetMode="External"/><Relationship Id="rId2246" Type="http://schemas.openxmlformats.org/officeDocument/2006/relationships/hyperlink" Target="https://youtu.be/JyAvVKxR8Ac" TargetMode="External"/><Relationship Id="rId2245" Type="http://schemas.openxmlformats.org/officeDocument/2006/relationships/hyperlink" Target="https://youtu.be/rof6fV7JbqI" TargetMode="External"/><Relationship Id="rId2244" Type="http://schemas.openxmlformats.org/officeDocument/2006/relationships/hyperlink" Target="https://youtu.be/MvEVkd1T9ss" TargetMode="External"/><Relationship Id="rId2243" Type="http://schemas.openxmlformats.org/officeDocument/2006/relationships/hyperlink" Target="https://youtu.be/B19-W1oCrlE" TargetMode="External"/><Relationship Id="rId2242" Type="http://schemas.openxmlformats.org/officeDocument/2006/relationships/hyperlink" Target="https://youtu.be/GjyDhbwLVIw" TargetMode="External"/><Relationship Id="rId2241" Type="http://schemas.openxmlformats.org/officeDocument/2006/relationships/hyperlink" Target="https://youtu.be/iw7HMrn4yjQ" TargetMode="External"/><Relationship Id="rId2240" Type="http://schemas.openxmlformats.org/officeDocument/2006/relationships/hyperlink" Target="https://youtu.be/bZavu04AUsQ" TargetMode="External"/><Relationship Id="rId224" Type="http://schemas.openxmlformats.org/officeDocument/2006/relationships/hyperlink" Target="https://youtu.be/jGfGLvwiWmU" TargetMode="External"/><Relationship Id="rId2239" Type="http://schemas.openxmlformats.org/officeDocument/2006/relationships/hyperlink" Target="https://youtu.be/-YdGs3Ar0A4" TargetMode="External"/><Relationship Id="rId2238" Type="http://schemas.openxmlformats.org/officeDocument/2006/relationships/hyperlink" Target="https://youtu.be/FtrITG6r1us" TargetMode="External"/><Relationship Id="rId2237" Type="http://schemas.openxmlformats.org/officeDocument/2006/relationships/hyperlink" Target="https://youtu.be/7mkIOnuFZmI" TargetMode="External"/><Relationship Id="rId2236" Type="http://schemas.openxmlformats.org/officeDocument/2006/relationships/hyperlink" Target="https://youtu.be/apP0kVLlpGA" TargetMode="External"/><Relationship Id="rId2235" Type="http://schemas.openxmlformats.org/officeDocument/2006/relationships/hyperlink" Target="https://youtu.be/Uvn3BM7aOeY" TargetMode="External"/><Relationship Id="rId2234" Type="http://schemas.openxmlformats.org/officeDocument/2006/relationships/hyperlink" Target="https://youtu.be/SfA11ik646w" TargetMode="External"/><Relationship Id="rId2233" Type="http://schemas.openxmlformats.org/officeDocument/2006/relationships/hyperlink" Target="https://youtu.be/G7gZ_GEvFcw" TargetMode="External"/><Relationship Id="rId2232" Type="http://schemas.openxmlformats.org/officeDocument/2006/relationships/hyperlink" Target="https://youtu.be/iNyh2HQ9-RM" TargetMode="External"/><Relationship Id="rId2231" Type="http://schemas.openxmlformats.org/officeDocument/2006/relationships/hyperlink" Target="https://youtu.be/BOqkhbD9kaY" TargetMode="External"/><Relationship Id="rId2230" Type="http://schemas.openxmlformats.org/officeDocument/2006/relationships/hyperlink" Target="https://youtu.be/PojPkuThNmI" TargetMode="External"/><Relationship Id="rId223" Type="http://schemas.openxmlformats.org/officeDocument/2006/relationships/hyperlink" Target="https://youtu.be/jk0FnkllsU8" TargetMode="External"/><Relationship Id="rId2229" Type="http://schemas.openxmlformats.org/officeDocument/2006/relationships/hyperlink" Target="https://youtu.be/8hknLY6dHwU" TargetMode="External"/><Relationship Id="rId2228" Type="http://schemas.openxmlformats.org/officeDocument/2006/relationships/hyperlink" Target="https://youtu.be/Uw5jCvDOT6s" TargetMode="External"/><Relationship Id="rId2227" Type="http://schemas.openxmlformats.org/officeDocument/2006/relationships/hyperlink" Target="https://youtu.be/XHyMDv98e5s" TargetMode="External"/><Relationship Id="rId2226" Type="http://schemas.openxmlformats.org/officeDocument/2006/relationships/hyperlink" Target="https://youtu.be/CbS_P_r6FEs" TargetMode="External"/><Relationship Id="rId2225" Type="http://schemas.openxmlformats.org/officeDocument/2006/relationships/hyperlink" Target="https://youtu.be/KOxiZ3FV3v4" TargetMode="External"/><Relationship Id="rId2224" Type="http://schemas.openxmlformats.org/officeDocument/2006/relationships/hyperlink" Target="https://youtu.be/QPrtioA8ENs" TargetMode="External"/><Relationship Id="rId2223" Type="http://schemas.openxmlformats.org/officeDocument/2006/relationships/hyperlink" Target="https://youtu.be/TDEXHJSqeao" TargetMode="External"/><Relationship Id="rId2222" Type="http://schemas.openxmlformats.org/officeDocument/2006/relationships/hyperlink" Target="https://youtu.be/gE67dysO3Mc" TargetMode="External"/><Relationship Id="rId2221" Type="http://schemas.openxmlformats.org/officeDocument/2006/relationships/hyperlink" Target="https://youtu.be/Yu-agCGK4AM" TargetMode="External"/><Relationship Id="rId2220" Type="http://schemas.openxmlformats.org/officeDocument/2006/relationships/hyperlink" Target="https://youtu.be/K82fCFqnLBk" TargetMode="External"/><Relationship Id="rId222" Type="http://schemas.openxmlformats.org/officeDocument/2006/relationships/hyperlink" Target="https://youtu.be/hY-Dn4y0ewo" TargetMode="External"/><Relationship Id="rId2219" Type="http://schemas.openxmlformats.org/officeDocument/2006/relationships/hyperlink" Target="https://youtu.be/3lHnD4dBTiQ" TargetMode="External"/><Relationship Id="rId2218" Type="http://schemas.openxmlformats.org/officeDocument/2006/relationships/hyperlink" Target="https://youtu.be/UE0J6oyinf8" TargetMode="External"/><Relationship Id="rId2217" Type="http://schemas.openxmlformats.org/officeDocument/2006/relationships/hyperlink" Target="https://youtu.be/kx1dHPrBpt0" TargetMode="External"/><Relationship Id="rId2216" Type="http://schemas.openxmlformats.org/officeDocument/2006/relationships/hyperlink" Target="https://youtu.be/8jGzrshlX5A" TargetMode="External"/><Relationship Id="rId2215" Type="http://schemas.openxmlformats.org/officeDocument/2006/relationships/hyperlink" Target="https://youtu.be/ln-oW5cbuG8" TargetMode="External"/><Relationship Id="rId2214" Type="http://schemas.openxmlformats.org/officeDocument/2006/relationships/hyperlink" Target="https://youtu.be/BfRHSVGQMO8" TargetMode="External"/><Relationship Id="rId2213" Type="http://schemas.openxmlformats.org/officeDocument/2006/relationships/hyperlink" Target="https://youtu.be/5ab3hnvPzQU" TargetMode="External"/><Relationship Id="rId2212" Type="http://schemas.openxmlformats.org/officeDocument/2006/relationships/hyperlink" Target="https://youtu.be/hiFFAElkpz0" TargetMode="External"/><Relationship Id="rId2211" Type="http://schemas.openxmlformats.org/officeDocument/2006/relationships/hyperlink" Target="https://youtu.be/uIjNfZbUYu8" TargetMode="External"/><Relationship Id="rId2210" Type="http://schemas.openxmlformats.org/officeDocument/2006/relationships/hyperlink" Target="https://youtu.be/pRpHY-Ufea0" TargetMode="External"/><Relationship Id="rId221" Type="http://schemas.openxmlformats.org/officeDocument/2006/relationships/hyperlink" Target="https://youtu.be/gRLH-XWfq1o" TargetMode="External"/><Relationship Id="rId2209" Type="http://schemas.openxmlformats.org/officeDocument/2006/relationships/hyperlink" Target="https://youtu.be/LfeGXq945CM" TargetMode="External"/><Relationship Id="rId2208" Type="http://schemas.openxmlformats.org/officeDocument/2006/relationships/hyperlink" Target="https://youtu.be/4ep8WEQ_tRo" TargetMode="External"/><Relationship Id="rId2207" Type="http://schemas.openxmlformats.org/officeDocument/2006/relationships/hyperlink" Target="https://youtu.be/D-uwbNFcEX4" TargetMode="External"/><Relationship Id="rId2206" Type="http://schemas.openxmlformats.org/officeDocument/2006/relationships/hyperlink" Target="https://youtu.be/mFJhg6bioNY" TargetMode="External"/><Relationship Id="rId2205" Type="http://schemas.openxmlformats.org/officeDocument/2006/relationships/hyperlink" Target="https://youtu.be/bihEqYeZoVs" TargetMode="External"/><Relationship Id="rId2204" Type="http://schemas.openxmlformats.org/officeDocument/2006/relationships/hyperlink" Target="https://youtu.be/F7pqBREyx5w" TargetMode="External"/><Relationship Id="rId2203" Type="http://schemas.openxmlformats.org/officeDocument/2006/relationships/hyperlink" Target="https://youtu.be/vtRMX3-NQE0" TargetMode="External"/><Relationship Id="rId2202" Type="http://schemas.openxmlformats.org/officeDocument/2006/relationships/hyperlink" Target="https://youtu.be/rc1yrLSYNhM" TargetMode="External"/><Relationship Id="rId2201" Type="http://schemas.openxmlformats.org/officeDocument/2006/relationships/hyperlink" Target="https://youtu.be/G8ljIUCFQHw" TargetMode="External"/><Relationship Id="rId2200" Type="http://schemas.openxmlformats.org/officeDocument/2006/relationships/hyperlink" Target="https://youtu.be/xGUg5h7NrDc" TargetMode="External"/><Relationship Id="rId220" Type="http://schemas.openxmlformats.org/officeDocument/2006/relationships/hyperlink" Target="https://youtu.be/aQTdIrbbrHQ" TargetMode="External"/><Relationship Id="rId22" Type="http://schemas.openxmlformats.org/officeDocument/2006/relationships/hyperlink" Target="https://youtu.be/gfGTS_1bLEk" TargetMode="External"/><Relationship Id="rId2199" Type="http://schemas.openxmlformats.org/officeDocument/2006/relationships/hyperlink" Target="https://youtu.be/qVFBNVCU2XU" TargetMode="External"/><Relationship Id="rId2198" Type="http://schemas.openxmlformats.org/officeDocument/2006/relationships/hyperlink" Target="https://youtu.be/_D1utxIPNps" TargetMode="External"/><Relationship Id="rId2197" Type="http://schemas.openxmlformats.org/officeDocument/2006/relationships/hyperlink" Target="https://youtu.be/EIFlWph2eF0" TargetMode="External"/><Relationship Id="rId2196" Type="http://schemas.openxmlformats.org/officeDocument/2006/relationships/hyperlink" Target="https://youtu.be/k4EX9QI96MI" TargetMode="External"/><Relationship Id="rId2195" Type="http://schemas.openxmlformats.org/officeDocument/2006/relationships/hyperlink" Target="https://youtu.be/lO-mvyXAZMw" TargetMode="External"/><Relationship Id="rId2194" Type="http://schemas.openxmlformats.org/officeDocument/2006/relationships/hyperlink" Target="https://youtu.be/7oBvNxbTF28" TargetMode="External"/><Relationship Id="rId2193" Type="http://schemas.openxmlformats.org/officeDocument/2006/relationships/hyperlink" Target="https://youtu.be/-PMm1ksT9fU" TargetMode="External"/><Relationship Id="rId2192" Type="http://schemas.openxmlformats.org/officeDocument/2006/relationships/hyperlink" Target="https://youtu.be/9GeKpr5SQ5E" TargetMode="External"/><Relationship Id="rId2191" Type="http://schemas.openxmlformats.org/officeDocument/2006/relationships/hyperlink" Target="https://youtu.be/He7jAP_bco8" TargetMode="External"/><Relationship Id="rId2190" Type="http://schemas.openxmlformats.org/officeDocument/2006/relationships/hyperlink" Target="https://youtu.be/EK6fPDciow8" TargetMode="External"/><Relationship Id="rId219" Type="http://schemas.openxmlformats.org/officeDocument/2006/relationships/hyperlink" Target="https://youtu.be/ZC4hpgNoumQ" TargetMode="External"/><Relationship Id="rId2189" Type="http://schemas.openxmlformats.org/officeDocument/2006/relationships/hyperlink" Target="https://youtu.be/tpjnujB2DG4" TargetMode="External"/><Relationship Id="rId2188" Type="http://schemas.openxmlformats.org/officeDocument/2006/relationships/hyperlink" Target="https://youtu.be/FVjQlOF1inE" TargetMode="External"/><Relationship Id="rId2187" Type="http://schemas.openxmlformats.org/officeDocument/2006/relationships/hyperlink" Target="https://youtu.be/vfw_5NDWWto" TargetMode="External"/><Relationship Id="rId2186" Type="http://schemas.openxmlformats.org/officeDocument/2006/relationships/hyperlink" Target="https://youtu.be/QZl0Cpkb514" TargetMode="External"/><Relationship Id="rId2185" Type="http://schemas.openxmlformats.org/officeDocument/2006/relationships/hyperlink" Target="https://youtu.be/nmWbm9ab4n4" TargetMode="External"/><Relationship Id="rId2184" Type="http://schemas.openxmlformats.org/officeDocument/2006/relationships/hyperlink" Target="https://youtu.be/zpJ3HLEPzGo" TargetMode="External"/><Relationship Id="rId2183" Type="http://schemas.openxmlformats.org/officeDocument/2006/relationships/hyperlink" Target="https://youtu.be/0DzusB4Dc5w" TargetMode="External"/><Relationship Id="rId2182" Type="http://schemas.openxmlformats.org/officeDocument/2006/relationships/hyperlink" Target="https://youtu.be/pJQMf2bsuZ0" TargetMode="External"/><Relationship Id="rId2181" Type="http://schemas.openxmlformats.org/officeDocument/2006/relationships/hyperlink" Target="https://youtu.be/guPixkNsE6M" TargetMode="External"/><Relationship Id="rId2180" Type="http://schemas.openxmlformats.org/officeDocument/2006/relationships/hyperlink" Target="https://youtu.be/UBrxHE9Snp8" TargetMode="External"/><Relationship Id="rId218" Type="http://schemas.openxmlformats.org/officeDocument/2006/relationships/hyperlink" Target="https://youtu.be/uM6fb8yE7LE" TargetMode="External"/><Relationship Id="rId2179" Type="http://schemas.openxmlformats.org/officeDocument/2006/relationships/hyperlink" Target="https://youtu.be/tyt9RwLsJrM" TargetMode="External"/><Relationship Id="rId2178" Type="http://schemas.openxmlformats.org/officeDocument/2006/relationships/hyperlink" Target="https://youtu.be/ZfcAt7hpOls" TargetMode="External"/><Relationship Id="rId2177" Type="http://schemas.openxmlformats.org/officeDocument/2006/relationships/hyperlink" Target="https://youtu.be/P6w6hFwH7Rw" TargetMode="External"/><Relationship Id="rId2176" Type="http://schemas.openxmlformats.org/officeDocument/2006/relationships/hyperlink" Target="https://youtu.be/uzXaI0VEINU" TargetMode="External"/><Relationship Id="rId2175" Type="http://schemas.openxmlformats.org/officeDocument/2006/relationships/hyperlink" Target="https://youtu.be/ib9z-70mPUg" TargetMode="External"/><Relationship Id="rId2174" Type="http://schemas.openxmlformats.org/officeDocument/2006/relationships/hyperlink" Target="https://youtu.be/n-Ftq90zXW8" TargetMode="External"/><Relationship Id="rId2173" Type="http://schemas.openxmlformats.org/officeDocument/2006/relationships/hyperlink" Target="https://youtu.be/zc0dyTWa3fU" TargetMode="External"/><Relationship Id="rId2172" Type="http://schemas.openxmlformats.org/officeDocument/2006/relationships/hyperlink" Target="https://youtu.be/uJNpJanM5Iw" TargetMode="External"/><Relationship Id="rId2171" Type="http://schemas.openxmlformats.org/officeDocument/2006/relationships/hyperlink" Target="https://youtu.be/gWaOpDLZmOo" TargetMode="External"/><Relationship Id="rId2170" Type="http://schemas.openxmlformats.org/officeDocument/2006/relationships/hyperlink" Target="https://youtu.be/f_dcbh2r5vI" TargetMode="External"/><Relationship Id="rId217" Type="http://schemas.openxmlformats.org/officeDocument/2006/relationships/hyperlink" Target="https://youtu.be/VbmYaxQ-NMw" TargetMode="External"/><Relationship Id="rId2169" Type="http://schemas.openxmlformats.org/officeDocument/2006/relationships/hyperlink" Target="https://youtu.be/6DuqojOjXfM" TargetMode="External"/><Relationship Id="rId2168" Type="http://schemas.openxmlformats.org/officeDocument/2006/relationships/hyperlink" Target="https://youtu.be/OGWpFybh0kk" TargetMode="External"/><Relationship Id="rId2167" Type="http://schemas.openxmlformats.org/officeDocument/2006/relationships/hyperlink" Target="https://youtu.be/Uh-G1z8Tqs8" TargetMode="External"/><Relationship Id="rId2166" Type="http://schemas.openxmlformats.org/officeDocument/2006/relationships/hyperlink" Target="https://youtu.be/6YF12BCZR3E" TargetMode="External"/><Relationship Id="rId2165" Type="http://schemas.openxmlformats.org/officeDocument/2006/relationships/hyperlink" Target="https://youtu.be/1SwFkg6wf0w" TargetMode="External"/><Relationship Id="rId2164" Type="http://schemas.openxmlformats.org/officeDocument/2006/relationships/hyperlink" Target="https://youtu.be/8SKJenRE4KY" TargetMode="External"/><Relationship Id="rId2163" Type="http://schemas.openxmlformats.org/officeDocument/2006/relationships/hyperlink" Target="https://youtu.be/pqHVSKduVyM" TargetMode="External"/><Relationship Id="rId2162" Type="http://schemas.openxmlformats.org/officeDocument/2006/relationships/hyperlink" Target="https://youtu.be/U0uh-4Hp1FA" TargetMode="External"/><Relationship Id="rId2161" Type="http://schemas.openxmlformats.org/officeDocument/2006/relationships/hyperlink" Target="https://youtu.be/l_-NyvV96zY" TargetMode="External"/><Relationship Id="rId2160" Type="http://schemas.openxmlformats.org/officeDocument/2006/relationships/hyperlink" Target="https://youtu.be/iCsPThke73I" TargetMode="External"/><Relationship Id="rId216" Type="http://schemas.openxmlformats.org/officeDocument/2006/relationships/hyperlink" Target="https://youtu.be/YC6R9rY7WpI" TargetMode="External"/><Relationship Id="rId2159" Type="http://schemas.openxmlformats.org/officeDocument/2006/relationships/hyperlink" Target="https://youtu.be/BU1ePn18vjs" TargetMode="External"/><Relationship Id="rId2158" Type="http://schemas.openxmlformats.org/officeDocument/2006/relationships/hyperlink" Target="https://youtu.be/IzeZlntoJHM" TargetMode="External"/><Relationship Id="rId2157" Type="http://schemas.openxmlformats.org/officeDocument/2006/relationships/hyperlink" Target="https://youtu.be/VzT-OhuZmL4" TargetMode="External"/><Relationship Id="rId2156" Type="http://schemas.openxmlformats.org/officeDocument/2006/relationships/hyperlink" Target="https://youtu.be/-BpXzBzKfPw" TargetMode="External"/><Relationship Id="rId2155" Type="http://schemas.openxmlformats.org/officeDocument/2006/relationships/hyperlink" Target="https://youtu.be/2ECHJkDUy84" TargetMode="External"/><Relationship Id="rId2154" Type="http://schemas.openxmlformats.org/officeDocument/2006/relationships/hyperlink" Target="https://youtu.be/ot4c3p-Yp-Q" TargetMode="External"/><Relationship Id="rId2153" Type="http://schemas.openxmlformats.org/officeDocument/2006/relationships/hyperlink" Target="https://youtu.be/ObKgzmmUMsc" TargetMode="External"/><Relationship Id="rId2152" Type="http://schemas.openxmlformats.org/officeDocument/2006/relationships/hyperlink" Target="https://youtu.be/PVxaL8CAO4M" TargetMode="External"/><Relationship Id="rId2151" Type="http://schemas.openxmlformats.org/officeDocument/2006/relationships/hyperlink" Target="https://youtu.be/KEza7pgo7dA" TargetMode="External"/><Relationship Id="rId2150" Type="http://schemas.openxmlformats.org/officeDocument/2006/relationships/hyperlink" Target="https://youtu.be/3Cd6CtgbfZk" TargetMode="External"/><Relationship Id="rId215" Type="http://schemas.openxmlformats.org/officeDocument/2006/relationships/hyperlink" Target="https://youtu.be/vsAAOuF2670" TargetMode="External"/><Relationship Id="rId2149" Type="http://schemas.openxmlformats.org/officeDocument/2006/relationships/hyperlink" Target="https://youtu.be/9BPs5r26sUA" TargetMode="External"/><Relationship Id="rId2148" Type="http://schemas.openxmlformats.org/officeDocument/2006/relationships/hyperlink" Target="https://youtu.be/pfoVLrhkCXc" TargetMode="External"/><Relationship Id="rId2147" Type="http://schemas.openxmlformats.org/officeDocument/2006/relationships/hyperlink" Target="https://youtu.be/wbkVBH6AvSI" TargetMode="External"/><Relationship Id="rId2146" Type="http://schemas.openxmlformats.org/officeDocument/2006/relationships/hyperlink" Target="https://youtu.be/VnB5IkbSUjs" TargetMode="External"/><Relationship Id="rId2145" Type="http://schemas.openxmlformats.org/officeDocument/2006/relationships/hyperlink" Target="https://youtu.be/nlq_jU-yUgs" TargetMode="External"/><Relationship Id="rId2144" Type="http://schemas.openxmlformats.org/officeDocument/2006/relationships/hyperlink" Target="https://youtu.be/9AvAZuo2yw0" TargetMode="External"/><Relationship Id="rId2143" Type="http://schemas.openxmlformats.org/officeDocument/2006/relationships/hyperlink" Target="https://youtu.be/A8tnDRWJNv4" TargetMode="External"/><Relationship Id="rId2142" Type="http://schemas.openxmlformats.org/officeDocument/2006/relationships/hyperlink" Target="https://youtu.be/eYoLlAOEDUo" TargetMode="External"/><Relationship Id="rId2141" Type="http://schemas.openxmlformats.org/officeDocument/2006/relationships/hyperlink" Target="https://youtu.be/9Q3UfwiN1dA" TargetMode="External"/><Relationship Id="rId2140" Type="http://schemas.openxmlformats.org/officeDocument/2006/relationships/hyperlink" Target="https://youtu.be/L09oA_8mzY0" TargetMode="External"/><Relationship Id="rId214" Type="http://schemas.openxmlformats.org/officeDocument/2006/relationships/hyperlink" Target="https://youtu.be/-A66yWWGkQk" TargetMode="External"/><Relationship Id="rId2139" Type="http://schemas.openxmlformats.org/officeDocument/2006/relationships/hyperlink" Target="https://youtu.be/0k9E42YWq5g" TargetMode="External"/><Relationship Id="rId2138" Type="http://schemas.openxmlformats.org/officeDocument/2006/relationships/hyperlink" Target="https://youtu.be/lCEny-IP-iI" TargetMode="External"/><Relationship Id="rId2137" Type="http://schemas.openxmlformats.org/officeDocument/2006/relationships/hyperlink" Target="https://youtu.be/HyAViCNklSk" TargetMode="External"/><Relationship Id="rId2136" Type="http://schemas.openxmlformats.org/officeDocument/2006/relationships/hyperlink" Target="https://youtu.be/_LU60dA7gLg" TargetMode="External"/><Relationship Id="rId2135" Type="http://schemas.openxmlformats.org/officeDocument/2006/relationships/hyperlink" Target="https://youtu.be/xd1kEVo7By0" TargetMode="External"/><Relationship Id="rId2134" Type="http://schemas.openxmlformats.org/officeDocument/2006/relationships/hyperlink" Target="https://youtu.be/sLXs5mL_Hw4" TargetMode="External"/><Relationship Id="rId2133" Type="http://schemas.openxmlformats.org/officeDocument/2006/relationships/hyperlink" Target="https://youtu.be/9waMolhMTSc" TargetMode="External"/><Relationship Id="rId2132" Type="http://schemas.openxmlformats.org/officeDocument/2006/relationships/hyperlink" Target="https://youtu.be/l8DHqM1iTFs" TargetMode="External"/><Relationship Id="rId2131" Type="http://schemas.openxmlformats.org/officeDocument/2006/relationships/hyperlink" Target="https://youtu.be/tl2C_JbPPXE" TargetMode="External"/><Relationship Id="rId2130" Type="http://schemas.openxmlformats.org/officeDocument/2006/relationships/hyperlink" Target="https://youtu.be/rJxZCaACoFA" TargetMode="External"/><Relationship Id="rId213" Type="http://schemas.openxmlformats.org/officeDocument/2006/relationships/hyperlink" Target="https://youtu.be/-QgOp1wV2w8" TargetMode="External"/><Relationship Id="rId2129" Type="http://schemas.openxmlformats.org/officeDocument/2006/relationships/hyperlink" Target="https://youtu.be/ilQYJT44Dm8" TargetMode="External"/><Relationship Id="rId2128" Type="http://schemas.openxmlformats.org/officeDocument/2006/relationships/hyperlink" Target="https://youtu.be/d-OqseqoxJs" TargetMode="External"/><Relationship Id="rId2127" Type="http://schemas.openxmlformats.org/officeDocument/2006/relationships/hyperlink" Target="https://youtu.be/42LJE94Ucbk" TargetMode="External"/><Relationship Id="rId2126" Type="http://schemas.openxmlformats.org/officeDocument/2006/relationships/hyperlink" Target="https://youtu.be/AET08T06Emg" TargetMode="External"/><Relationship Id="rId2125" Type="http://schemas.openxmlformats.org/officeDocument/2006/relationships/hyperlink" Target="https://youtu.be/CEHE-lQXN60" TargetMode="External"/><Relationship Id="rId2124" Type="http://schemas.openxmlformats.org/officeDocument/2006/relationships/hyperlink" Target="https://youtu.be/NOVgH-2s2HU" TargetMode="External"/><Relationship Id="rId2123" Type="http://schemas.openxmlformats.org/officeDocument/2006/relationships/hyperlink" Target="https://youtu.be/haR1PHgnI5U" TargetMode="External"/><Relationship Id="rId2122" Type="http://schemas.openxmlformats.org/officeDocument/2006/relationships/hyperlink" Target="https://youtu.be/LkrZJedU7yA" TargetMode="External"/><Relationship Id="rId2121" Type="http://schemas.openxmlformats.org/officeDocument/2006/relationships/hyperlink" Target="https://youtu.be/qYSPDnlpMeI" TargetMode="External"/><Relationship Id="rId2120" Type="http://schemas.openxmlformats.org/officeDocument/2006/relationships/hyperlink" Target="https://youtu.be/otwdUaIRg_Q" TargetMode="External"/><Relationship Id="rId212" Type="http://schemas.openxmlformats.org/officeDocument/2006/relationships/hyperlink" Target="https://youtu.be/6m5G6YlTiHE" TargetMode="External"/><Relationship Id="rId2119" Type="http://schemas.openxmlformats.org/officeDocument/2006/relationships/hyperlink" Target="https://youtu.be/cfCTb7m_jrA" TargetMode="External"/><Relationship Id="rId2118" Type="http://schemas.openxmlformats.org/officeDocument/2006/relationships/hyperlink" Target="https://youtu.be/2tIPi8nik3c" TargetMode="External"/><Relationship Id="rId2117" Type="http://schemas.openxmlformats.org/officeDocument/2006/relationships/hyperlink" Target="https://youtu.be/kPYdkTLqm6Q" TargetMode="External"/><Relationship Id="rId2116" Type="http://schemas.openxmlformats.org/officeDocument/2006/relationships/hyperlink" Target="https://youtu.be/hDnoICrziVI" TargetMode="External"/><Relationship Id="rId2115" Type="http://schemas.openxmlformats.org/officeDocument/2006/relationships/hyperlink" Target="https://youtu.be/iyyBbv3wkkI" TargetMode="External"/><Relationship Id="rId2114" Type="http://schemas.openxmlformats.org/officeDocument/2006/relationships/hyperlink" Target="https://youtu.be/dtKJKfViQUU" TargetMode="External"/><Relationship Id="rId2113" Type="http://schemas.openxmlformats.org/officeDocument/2006/relationships/hyperlink" Target="https://youtu.be/vfDXzkFHnz0" TargetMode="External"/><Relationship Id="rId2112" Type="http://schemas.openxmlformats.org/officeDocument/2006/relationships/hyperlink" Target="https://youtu.be/nMqe9XEXTEg" TargetMode="External"/><Relationship Id="rId2111" Type="http://schemas.openxmlformats.org/officeDocument/2006/relationships/hyperlink" Target="https://youtu.be/tnLRCgOWGy8" TargetMode="External"/><Relationship Id="rId2110" Type="http://schemas.openxmlformats.org/officeDocument/2006/relationships/hyperlink" Target="https://youtu.be/dBf0tNb_8k4" TargetMode="External"/><Relationship Id="rId211" Type="http://schemas.openxmlformats.org/officeDocument/2006/relationships/hyperlink" Target="https://youtu.be/u1I4twX4ao4" TargetMode="External"/><Relationship Id="rId2109" Type="http://schemas.openxmlformats.org/officeDocument/2006/relationships/hyperlink" Target="https://youtu.be/QLa6VqrKlD8" TargetMode="External"/><Relationship Id="rId2108" Type="http://schemas.openxmlformats.org/officeDocument/2006/relationships/hyperlink" Target="https://youtu.be/Kq-exVQPGB4" TargetMode="External"/><Relationship Id="rId2107" Type="http://schemas.openxmlformats.org/officeDocument/2006/relationships/hyperlink" Target="https://youtu.be/vCyNWhimvZE" TargetMode="External"/><Relationship Id="rId2106" Type="http://schemas.openxmlformats.org/officeDocument/2006/relationships/hyperlink" Target="https://youtu.be/KBP7BSEsQWM" TargetMode="External"/><Relationship Id="rId2105" Type="http://schemas.openxmlformats.org/officeDocument/2006/relationships/hyperlink" Target="https://youtu.be/cWc6SptEhmg" TargetMode="External"/><Relationship Id="rId2104" Type="http://schemas.openxmlformats.org/officeDocument/2006/relationships/hyperlink" Target="https://youtu.be/-M260qf8bbc" TargetMode="External"/><Relationship Id="rId2103" Type="http://schemas.openxmlformats.org/officeDocument/2006/relationships/hyperlink" Target="https://youtu.be/XqSW1xI4oo0" TargetMode="External"/><Relationship Id="rId2102" Type="http://schemas.openxmlformats.org/officeDocument/2006/relationships/hyperlink" Target="https://youtu.be/dqL0VroFS6Y" TargetMode="External"/><Relationship Id="rId2101" Type="http://schemas.openxmlformats.org/officeDocument/2006/relationships/hyperlink" Target="https://youtu.be/3c9eO-aNdJg" TargetMode="External"/><Relationship Id="rId2100" Type="http://schemas.openxmlformats.org/officeDocument/2006/relationships/hyperlink" Target="https://youtu.be/p7afh6oujC8" TargetMode="External"/><Relationship Id="rId210" Type="http://schemas.openxmlformats.org/officeDocument/2006/relationships/hyperlink" Target="https://youtu.be/_SNCetZitZE" TargetMode="External"/><Relationship Id="rId21" Type="http://schemas.openxmlformats.org/officeDocument/2006/relationships/hyperlink" Target="https://youtu.be/t0NmI0m5v1g" TargetMode="External"/><Relationship Id="rId2099" Type="http://schemas.openxmlformats.org/officeDocument/2006/relationships/hyperlink" Target="https://youtu.be/QKlE7gf3xlw" TargetMode="External"/><Relationship Id="rId2098" Type="http://schemas.openxmlformats.org/officeDocument/2006/relationships/hyperlink" Target="https://youtu.be/m7-87uOE0xk" TargetMode="External"/><Relationship Id="rId2097" Type="http://schemas.openxmlformats.org/officeDocument/2006/relationships/hyperlink" Target="https://youtu.be/kOACF9uL4Bc" TargetMode="External"/><Relationship Id="rId2096" Type="http://schemas.openxmlformats.org/officeDocument/2006/relationships/hyperlink" Target="https://youtu.be/qm-QKtBjSms" TargetMode="External"/><Relationship Id="rId2095" Type="http://schemas.openxmlformats.org/officeDocument/2006/relationships/hyperlink" Target="https://youtu.be/jPeHX0SAz2M" TargetMode="External"/><Relationship Id="rId2094" Type="http://schemas.openxmlformats.org/officeDocument/2006/relationships/hyperlink" Target="https://youtu.be/NiHQIpOsL24" TargetMode="External"/><Relationship Id="rId2093" Type="http://schemas.openxmlformats.org/officeDocument/2006/relationships/hyperlink" Target="https://youtu.be/3PYLbcfXlw8" TargetMode="External"/><Relationship Id="rId2092" Type="http://schemas.openxmlformats.org/officeDocument/2006/relationships/hyperlink" Target="https://youtu.be/SgcxhpoDH3Y" TargetMode="External"/><Relationship Id="rId2091" Type="http://schemas.openxmlformats.org/officeDocument/2006/relationships/hyperlink" Target="https://youtu.be/1MSC_52LVOg" TargetMode="External"/><Relationship Id="rId2090" Type="http://schemas.openxmlformats.org/officeDocument/2006/relationships/hyperlink" Target="https://youtu.be/MyHYphRAeYw" TargetMode="External"/><Relationship Id="rId209" Type="http://schemas.openxmlformats.org/officeDocument/2006/relationships/hyperlink" Target="https://youtu.be/JdnD0vOCYEM" TargetMode="External"/><Relationship Id="rId2089" Type="http://schemas.openxmlformats.org/officeDocument/2006/relationships/hyperlink" Target="https://youtu.be/1pZ06OwCu2g" TargetMode="External"/><Relationship Id="rId2088" Type="http://schemas.openxmlformats.org/officeDocument/2006/relationships/hyperlink" Target="https://youtu.be/hyxDrnkHQSs" TargetMode="External"/><Relationship Id="rId2087" Type="http://schemas.openxmlformats.org/officeDocument/2006/relationships/hyperlink" Target="https://youtu.be/RsN5wbcXED0" TargetMode="External"/><Relationship Id="rId2086" Type="http://schemas.openxmlformats.org/officeDocument/2006/relationships/hyperlink" Target="https://youtu.be/0bho96llThE" TargetMode="External"/><Relationship Id="rId2085" Type="http://schemas.openxmlformats.org/officeDocument/2006/relationships/hyperlink" Target="https://youtu.be/IZjAvqd2USE" TargetMode="External"/><Relationship Id="rId2084" Type="http://schemas.openxmlformats.org/officeDocument/2006/relationships/hyperlink" Target="https://youtu.be/R9fGZVCUgW0" TargetMode="External"/><Relationship Id="rId2083" Type="http://schemas.openxmlformats.org/officeDocument/2006/relationships/hyperlink" Target="https://youtu.be/eCULfmZ7bb8" TargetMode="External"/><Relationship Id="rId2082" Type="http://schemas.openxmlformats.org/officeDocument/2006/relationships/hyperlink" Target="https://youtu.be/O0AmGqHHo9Y" TargetMode="External"/><Relationship Id="rId2081" Type="http://schemas.openxmlformats.org/officeDocument/2006/relationships/hyperlink" Target="https://youtu.be/x49QfKZ7_Lg" TargetMode="External"/><Relationship Id="rId2080" Type="http://schemas.openxmlformats.org/officeDocument/2006/relationships/hyperlink" Target="https://youtu.be/_ikouWcXhd0" TargetMode="External"/><Relationship Id="rId208" Type="http://schemas.openxmlformats.org/officeDocument/2006/relationships/hyperlink" Target="https://youtu.be/URigIZUVIpo" TargetMode="External"/><Relationship Id="rId2079" Type="http://schemas.openxmlformats.org/officeDocument/2006/relationships/hyperlink" Target="https://youtu.be/HnGsd11x2fk" TargetMode="External"/><Relationship Id="rId2078" Type="http://schemas.openxmlformats.org/officeDocument/2006/relationships/hyperlink" Target="https://youtu.be/scy4vjm7uTc" TargetMode="External"/><Relationship Id="rId2077" Type="http://schemas.openxmlformats.org/officeDocument/2006/relationships/hyperlink" Target="https://youtu.be/Axd-YVkZrtg" TargetMode="External"/><Relationship Id="rId2076" Type="http://schemas.openxmlformats.org/officeDocument/2006/relationships/hyperlink" Target="https://youtu.be/3WCw02GgdNE" TargetMode="External"/><Relationship Id="rId2075" Type="http://schemas.openxmlformats.org/officeDocument/2006/relationships/hyperlink" Target="https://youtu.be/0mKEOlOFoxQ" TargetMode="External"/><Relationship Id="rId2074" Type="http://schemas.openxmlformats.org/officeDocument/2006/relationships/hyperlink" Target="https://youtu.be/Rrt3sgjJ_5s" TargetMode="External"/><Relationship Id="rId2073" Type="http://schemas.openxmlformats.org/officeDocument/2006/relationships/hyperlink" Target="https://youtu.be/jOJpf-fn_NY" TargetMode="External"/><Relationship Id="rId2072" Type="http://schemas.openxmlformats.org/officeDocument/2006/relationships/hyperlink" Target="https://youtu.be/GN5LQh3q08s" TargetMode="External"/><Relationship Id="rId2071" Type="http://schemas.openxmlformats.org/officeDocument/2006/relationships/hyperlink" Target="https://youtu.be/XCeb0CI6eQM" TargetMode="External"/><Relationship Id="rId2070" Type="http://schemas.openxmlformats.org/officeDocument/2006/relationships/hyperlink" Target="https://youtu.be/jtLqjGMMVCo" TargetMode="External"/><Relationship Id="rId207" Type="http://schemas.openxmlformats.org/officeDocument/2006/relationships/hyperlink" Target="https://youtu.be/4tcENPqcnF4" TargetMode="External"/><Relationship Id="rId2069" Type="http://schemas.openxmlformats.org/officeDocument/2006/relationships/hyperlink" Target="https://youtu.be/2ynFyxTS8B8" TargetMode="External"/><Relationship Id="rId2068" Type="http://schemas.openxmlformats.org/officeDocument/2006/relationships/hyperlink" Target="https://youtu.be/QONqNwoc9BE" TargetMode="External"/><Relationship Id="rId2067" Type="http://schemas.openxmlformats.org/officeDocument/2006/relationships/hyperlink" Target="https://youtu.be/61E4MKosRdE" TargetMode="External"/><Relationship Id="rId2066" Type="http://schemas.openxmlformats.org/officeDocument/2006/relationships/hyperlink" Target="https://youtu.be/dKhLb0tlJ-U" TargetMode="External"/><Relationship Id="rId2065" Type="http://schemas.openxmlformats.org/officeDocument/2006/relationships/hyperlink" Target="https://youtu.be/w7xboBrjcio" TargetMode="External"/><Relationship Id="rId2064" Type="http://schemas.openxmlformats.org/officeDocument/2006/relationships/hyperlink" Target="https://youtu.be/O0KNY63kpS4" TargetMode="External"/><Relationship Id="rId2063" Type="http://schemas.openxmlformats.org/officeDocument/2006/relationships/hyperlink" Target="https://youtu.be/s9Er3OOgen8" TargetMode="External"/><Relationship Id="rId2062" Type="http://schemas.openxmlformats.org/officeDocument/2006/relationships/hyperlink" Target="https://youtu.be/TiAoo-cO4mo" TargetMode="External"/><Relationship Id="rId2061" Type="http://schemas.openxmlformats.org/officeDocument/2006/relationships/hyperlink" Target="https://youtu.be/Kr5036qjSnw" TargetMode="External"/><Relationship Id="rId2060" Type="http://schemas.openxmlformats.org/officeDocument/2006/relationships/hyperlink" Target="https://youtu.be/sg514Mh3ysA" TargetMode="External"/><Relationship Id="rId206" Type="http://schemas.openxmlformats.org/officeDocument/2006/relationships/hyperlink" Target="https://youtu.be/LvPqAxt_0gU" TargetMode="External"/><Relationship Id="rId2059" Type="http://schemas.openxmlformats.org/officeDocument/2006/relationships/hyperlink" Target="https://youtu.be/tsGcF6sETWQ" TargetMode="External"/><Relationship Id="rId2058" Type="http://schemas.openxmlformats.org/officeDocument/2006/relationships/hyperlink" Target="https://youtu.be/s02WQxnkviI" TargetMode="External"/><Relationship Id="rId2057" Type="http://schemas.openxmlformats.org/officeDocument/2006/relationships/hyperlink" Target="https://youtu.be/z1BiBDhdPDU" TargetMode="External"/><Relationship Id="rId2056" Type="http://schemas.openxmlformats.org/officeDocument/2006/relationships/hyperlink" Target="https://youtu.be/ab-m1a0TR9s" TargetMode="External"/><Relationship Id="rId2055" Type="http://schemas.openxmlformats.org/officeDocument/2006/relationships/hyperlink" Target="https://youtu.be/TD0uHZkfQ-8" TargetMode="External"/><Relationship Id="rId2054" Type="http://schemas.openxmlformats.org/officeDocument/2006/relationships/hyperlink" Target="https://youtu.be/EPPGQeZ4aw4" TargetMode="External"/><Relationship Id="rId2053" Type="http://schemas.openxmlformats.org/officeDocument/2006/relationships/hyperlink" Target="https://youtu.be/fmGsYe7Fx-U" TargetMode="External"/><Relationship Id="rId2052" Type="http://schemas.openxmlformats.org/officeDocument/2006/relationships/hyperlink" Target="https://youtu.be/-gpwJ-USrpg" TargetMode="External"/><Relationship Id="rId2051" Type="http://schemas.openxmlformats.org/officeDocument/2006/relationships/hyperlink" Target="https://youtu.be/GUkC0FnH9zg" TargetMode="External"/><Relationship Id="rId2050" Type="http://schemas.openxmlformats.org/officeDocument/2006/relationships/hyperlink" Target="https://youtu.be/_rWWFuRXHyI" TargetMode="External"/><Relationship Id="rId205" Type="http://schemas.openxmlformats.org/officeDocument/2006/relationships/hyperlink" Target="https://youtu.be/I4EoDfYbAkc" TargetMode="External"/><Relationship Id="rId2049" Type="http://schemas.openxmlformats.org/officeDocument/2006/relationships/hyperlink" Target="https://youtu.be/HLoGlt-XOMU" TargetMode="External"/><Relationship Id="rId2048" Type="http://schemas.openxmlformats.org/officeDocument/2006/relationships/hyperlink" Target="https://youtu.be/3ZoEIsl852Q" TargetMode="External"/><Relationship Id="rId2047" Type="http://schemas.openxmlformats.org/officeDocument/2006/relationships/hyperlink" Target="https://youtu.be/pij-M_eAeCg" TargetMode="External"/><Relationship Id="rId2046" Type="http://schemas.openxmlformats.org/officeDocument/2006/relationships/hyperlink" Target="https://youtu.be/O3tXqbl95cI" TargetMode="External"/><Relationship Id="rId2045" Type="http://schemas.openxmlformats.org/officeDocument/2006/relationships/hyperlink" Target="https://youtu.be/qeuvB1WfEd4" TargetMode="External"/><Relationship Id="rId2044" Type="http://schemas.openxmlformats.org/officeDocument/2006/relationships/hyperlink" Target="https://youtu.be/kwtRgmNetG0" TargetMode="External"/><Relationship Id="rId2043" Type="http://schemas.openxmlformats.org/officeDocument/2006/relationships/hyperlink" Target="https://youtu.be/tUsnNx1SINE" TargetMode="External"/><Relationship Id="rId2042" Type="http://schemas.openxmlformats.org/officeDocument/2006/relationships/hyperlink" Target="https://youtu.be/Uy11alCPe60" TargetMode="External"/><Relationship Id="rId2041" Type="http://schemas.openxmlformats.org/officeDocument/2006/relationships/hyperlink" Target="https://youtu.be/Cck1tDv57ig" TargetMode="External"/><Relationship Id="rId2040" Type="http://schemas.openxmlformats.org/officeDocument/2006/relationships/hyperlink" Target="https://youtu.be/N0c1CijmH7o" TargetMode="External"/><Relationship Id="rId204" Type="http://schemas.openxmlformats.org/officeDocument/2006/relationships/hyperlink" Target="https://youtu.be/6J2tTm2pi2Y" TargetMode="External"/><Relationship Id="rId2039" Type="http://schemas.openxmlformats.org/officeDocument/2006/relationships/hyperlink" Target="https://youtu.be/tPURHbNzf9Q" TargetMode="External"/><Relationship Id="rId2038" Type="http://schemas.openxmlformats.org/officeDocument/2006/relationships/hyperlink" Target="https://youtu.be/I8Rm49OUe5U" TargetMode="External"/><Relationship Id="rId2037" Type="http://schemas.openxmlformats.org/officeDocument/2006/relationships/hyperlink" Target="https://youtu.be/1zAtMVncT-c" TargetMode="External"/><Relationship Id="rId2036" Type="http://schemas.openxmlformats.org/officeDocument/2006/relationships/hyperlink" Target="https://youtu.be/oL6hGWDd2lM" TargetMode="External"/><Relationship Id="rId2035" Type="http://schemas.openxmlformats.org/officeDocument/2006/relationships/hyperlink" Target="https://youtu.be/9SNKa6JpB00" TargetMode="External"/><Relationship Id="rId2034" Type="http://schemas.openxmlformats.org/officeDocument/2006/relationships/hyperlink" Target="https://youtu.be/gq3yuE_de-k" TargetMode="External"/><Relationship Id="rId2033" Type="http://schemas.openxmlformats.org/officeDocument/2006/relationships/hyperlink" Target="https://youtu.be/rDQpEqAQkgk" TargetMode="External"/><Relationship Id="rId2032" Type="http://schemas.openxmlformats.org/officeDocument/2006/relationships/hyperlink" Target="https://youtu.be/fB9kjLFnjIs" TargetMode="External"/><Relationship Id="rId2031" Type="http://schemas.openxmlformats.org/officeDocument/2006/relationships/hyperlink" Target="https://youtu.be/r3Bf0g56eYM" TargetMode="External"/><Relationship Id="rId2030" Type="http://schemas.openxmlformats.org/officeDocument/2006/relationships/hyperlink" Target="https://youtu.be/v7lsFqSoT2o" TargetMode="External"/><Relationship Id="rId203" Type="http://schemas.openxmlformats.org/officeDocument/2006/relationships/hyperlink" Target="https://youtu.be/xN_XQ9lCZzg" TargetMode="External"/><Relationship Id="rId2029" Type="http://schemas.openxmlformats.org/officeDocument/2006/relationships/hyperlink" Target="https://youtu.be/wmx28XW2c7Y" TargetMode="External"/><Relationship Id="rId2028" Type="http://schemas.openxmlformats.org/officeDocument/2006/relationships/hyperlink" Target="https://youtu.be/xVuB5cuwB1w" TargetMode="External"/><Relationship Id="rId2027" Type="http://schemas.openxmlformats.org/officeDocument/2006/relationships/hyperlink" Target="https://youtu.be/5S5kP1K1FgM" TargetMode="External"/><Relationship Id="rId2026" Type="http://schemas.openxmlformats.org/officeDocument/2006/relationships/hyperlink" Target="https://youtu.be/w9G0p4H3bcc" TargetMode="External"/><Relationship Id="rId2025" Type="http://schemas.openxmlformats.org/officeDocument/2006/relationships/hyperlink" Target="https://youtu.be/JDellw1knhk" TargetMode="External"/><Relationship Id="rId2024" Type="http://schemas.openxmlformats.org/officeDocument/2006/relationships/hyperlink" Target="https://youtu.be/ORsUo2eXHtc" TargetMode="External"/><Relationship Id="rId2023" Type="http://schemas.openxmlformats.org/officeDocument/2006/relationships/hyperlink" Target="https://youtu.be/gvhGjLkNejw" TargetMode="External"/><Relationship Id="rId2022" Type="http://schemas.openxmlformats.org/officeDocument/2006/relationships/hyperlink" Target="https://youtu.be/UOQRIPAE3Ko" TargetMode="External"/><Relationship Id="rId2021" Type="http://schemas.openxmlformats.org/officeDocument/2006/relationships/hyperlink" Target="https://youtu.be/Z-l3QFEmL5M" TargetMode="External"/><Relationship Id="rId2020" Type="http://schemas.openxmlformats.org/officeDocument/2006/relationships/hyperlink" Target="https://youtu.be/GKwNSLkov6o" TargetMode="External"/><Relationship Id="rId202" Type="http://schemas.openxmlformats.org/officeDocument/2006/relationships/hyperlink" Target="https://youtu.be/luV3ktEoi7c" TargetMode="External"/><Relationship Id="rId2019" Type="http://schemas.openxmlformats.org/officeDocument/2006/relationships/hyperlink" Target="https://youtu.be/S-ARsgLWSt4" TargetMode="External"/><Relationship Id="rId2018" Type="http://schemas.openxmlformats.org/officeDocument/2006/relationships/hyperlink" Target="https://youtu.be/4A8kx-EWWBk" TargetMode="External"/><Relationship Id="rId2017" Type="http://schemas.openxmlformats.org/officeDocument/2006/relationships/hyperlink" Target="https://youtu.be/nAxY2v9aOrk" TargetMode="External"/><Relationship Id="rId2016" Type="http://schemas.openxmlformats.org/officeDocument/2006/relationships/hyperlink" Target="https://youtu.be/aoHwFCObkzo" TargetMode="External"/><Relationship Id="rId2015" Type="http://schemas.openxmlformats.org/officeDocument/2006/relationships/hyperlink" Target="https://youtu.be/wjee_JOCn7A" TargetMode="External"/><Relationship Id="rId2014" Type="http://schemas.openxmlformats.org/officeDocument/2006/relationships/hyperlink" Target="https://youtu.be/BNL8a-nudIQ" TargetMode="External"/><Relationship Id="rId2013" Type="http://schemas.openxmlformats.org/officeDocument/2006/relationships/hyperlink" Target="https://youtu.be/8PLFVX-tE94" TargetMode="External"/><Relationship Id="rId2012" Type="http://schemas.openxmlformats.org/officeDocument/2006/relationships/hyperlink" Target="https://youtu.be/5Ox3dQN_AO4" TargetMode="External"/><Relationship Id="rId2011" Type="http://schemas.openxmlformats.org/officeDocument/2006/relationships/hyperlink" Target="https://youtu.be/3RW8stH7GhA" TargetMode="External"/><Relationship Id="rId2010" Type="http://schemas.openxmlformats.org/officeDocument/2006/relationships/hyperlink" Target="https://youtu.be/XeBqyV2t190" TargetMode="External"/><Relationship Id="rId201" Type="http://schemas.openxmlformats.org/officeDocument/2006/relationships/hyperlink" Target="https://youtu.be/4N3XUaXVpT8" TargetMode="External"/><Relationship Id="rId2009" Type="http://schemas.openxmlformats.org/officeDocument/2006/relationships/hyperlink" Target="https://youtu.be/rmnpRJqWPfc" TargetMode="External"/><Relationship Id="rId2008" Type="http://schemas.openxmlformats.org/officeDocument/2006/relationships/hyperlink" Target="https://youtu.be/sgJk8_glGxY" TargetMode="External"/><Relationship Id="rId2007" Type="http://schemas.openxmlformats.org/officeDocument/2006/relationships/hyperlink" Target="https://youtu.be/iBGJi_lk1r8" TargetMode="External"/><Relationship Id="rId2006" Type="http://schemas.openxmlformats.org/officeDocument/2006/relationships/hyperlink" Target="https://youtu.be/o60k1n2VAHE" TargetMode="External"/><Relationship Id="rId2005" Type="http://schemas.openxmlformats.org/officeDocument/2006/relationships/hyperlink" Target="https://youtu.be/Z8fE-OwpF4E" TargetMode="External"/><Relationship Id="rId2004" Type="http://schemas.openxmlformats.org/officeDocument/2006/relationships/hyperlink" Target="https://youtu.be/zmULpvofSjA" TargetMode="External"/><Relationship Id="rId2003" Type="http://schemas.openxmlformats.org/officeDocument/2006/relationships/hyperlink" Target="https://youtu.be/dk6cQC9QP-g" TargetMode="External"/><Relationship Id="rId2002" Type="http://schemas.openxmlformats.org/officeDocument/2006/relationships/hyperlink" Target="https://youtu.be/zVzRrPRJQao" TargetMode="External"/><Relationship Id="rId2001" Type="http://schemas.openxmlformats.org/officeDocument/2006/relationships/hyperlink" Target="https://youtu.be/njaBLEFSzRM" TargetMode="External"/><Relationship Id="rId2000" Type="http://schemas.openxmlformats.org/officeDocument/2006/relationships/hyperlink" Target="https://youtu.be/WMnCEnTWVwo" TargetMode="External"/><Relationship Id="rId200" Type="http://schemas.openxmlformats.org/officeDocument/2006/relationships/hyperlink" Target="https://youtu.be/CTQHomj68lg" TargetMode="External"/><Relationship Id="rId20" Type="http://schemas.openxmlformats.org/officeDocument/2006/relationships/hyperlink" Target="https://youtu.be/UOT4VwhVukA" TargetMode="External"/><Relationship Id="rId2" Type="http://schemas.openxmlformats.org/officeDocument/2006/relationships/hyperlink" Target="https://files.afu.se/Downloads/Transcripts/0%20-%20Government/USA%20-%20NASA%20Johnson/" TargetMode="External"/><Relationship Id="rId1999" Type="http://schemas.openxmlformats.org/officeDocument/2006/relationships/hyperlink" Target="https://youtu.be/gTkhNcncVZ8" TargetMode="External"/><Relationship Id="rId1998" Type="http://schemas.openxmlformats.org/officeDocument/2006/relationships/hyperlink" Target="https://youtu.be/wBtUwBsfy90" TargetMode="External"/><Relationship Id="rId1997" Type="http://schemas.openxmlformats.org/officeDocument/2006/relationships/hyperlink" Target="https://youtu.be/3dk_RIDsN2w" TargetMode="External"/><Relationship Id="rId1996" Type="http://schemas.openxmlformats.org/officeDocument/2006/relationships/hyperlink" Target="https://youtu.be/HuD_tkjiTeQ" TargetMode="External"/><Relationship Id="rId1995" Type="http://schemas.openxmlformats.org/officeDocument/2006/relationships/hyperlink" Target="https://youtu.be/1HF9jOpM_wI" TargetMode="External"/><Relationship Id="rId1994" Type="http://schemas.openxmlformats.org/officeDocument/2006/relationships/hyperlink" Target="https://youtu.be/u-wjWAmp8To" TargetMode="External"/><Relationship Id="rId1993" Type="http://schemas.openxmlformats.org/officeDocument/2006/relationships/hyperlink" Target="https://youtu.be/4QZy01o2eZE" TargetMode="External"/><Relationship Id="rId1992" Type="http://schemas.openxmlformats.org/officeDocument/2006/relationships/hyperlink" Target="https://youtu.be/HhsaKTFz0TM" TargetMode="External"/><Relationship Id="rId1991" Type="http://schemas.openxmlformats.org/officeDocument/2006/relationships/hyperlink" Target="https://youtu.be/fnmA35ibSMY" TargetMode="External"/><Relationship Id="rId1990" Type="http://schemas.openxmlformats.org/officeDocument/2006/relationships/hyperlink" Target="https://youtu.be/Ph9g9Cc6q4Y" TargetMode="External"/><Relationship Id="rId199" Type="http://schemas.openxmlformats.org/officeDocument/2006/relationships/hyperlink" Target="https://youtu.be/aKtJBGgcPzY" TargetMode="External"/><Relationship Id="rId1989" Type="http://schemas.openxmlformats.org/officeDocument/2006/relationships/hyperlink" Target="https://youtu.be/Q9EGnxrLXiU" TargetMode="External"/><Relationship Id="rId1988" Type="http://schemas.openxmlformats.org/officeDocument/2006/relationships/hyperlink" Target="https://youtu.be/XiyViTYNyRA" TargetMode="External"/><Relationship Id="rId1987" Type="http://schemas.openxmlformats.org/officeDocument/2006/relationships/hyperlink" Target="https://youtu.be/HEcOjAJ_iyM" TargetMode="External"/><Relationship Id="rId1986" Type="http://schemas.openxmlformats.org/officeDocument/2006/relationships/hyperlink" Target="https://youtu.be/5Z1K8g8Bzz8" TargetMode="External"/><Relationship Id="rId1985" Type="http://schemas.openxmlformats.org/officeDocument/2006/relationships/hyperlink" Target="https://youtu.be/ix7vHTEdSPg" TargetMode="External"/><Relationship Id="rId1984" Type="http://schemas.openxmlformats.org/officeDocument/2006/relationships/hyperlink" Target="https://youtu.be/hOkzlV72vUU" TargetMode="External"/><Relationship Id="rId1983" Type="http://schemas.openxmlformats.org/officeDocument/2006/relationships/hyperlink" Target="https://youtu.be/5ukl5ySa6ZA" TargetMode="External"/><Relationship Id="rId1982" Type="http://schemas.openxmlformats.org/officeDocument/2006/relationships/hyperlink" Target="https://youtu.be/BluJ7do0QOI" TargetMode="External"/><Relationship Id="rId1981" Type="http://schemas.openxmlformats.org/officeDocument/2006/relationships/hyperlink" Target="https://youtu.be/rsc-v3WoroU" TargetMode="External"/><Relationship Id="rId1980" Type="http://schemas.openxmlformats.org/officeDocument/2006/relationships/hyperlink" Target="https://youtu.be/KU5iLrv3sHo" TargetMode="External"/><Relationship Id="rId198" Type="http://schemas.openxmlformats.org/officeDocument/2006/relationships/hyperlink" Target="https://youtu.be/fo7DWYb0WkM" TargetMode="External"/><Relationship Id="rId1979" Type="http://schemas.openxmlformats.org/officeDocument/2006/relationships/hyperlink" Target="https://youtu.be/RWQGagWEabw" TargetMode="External"/><Relationship Id="rId1978" Type="http://schemas.openxmlformats.org/officeDocument/2006/relationships/hyperlink" Target="https://youtu.be/lB4EL8sYNeY" TargetMode="External"/><Relationship Id="rId1977" Type="http://schemas.openxmlformats.org/officeDocument/2006/relationships/hyperlink" Target="https://www.facebook.com/" TargetMode="External"/><Relationship Id="rId1976" Type="http://schemas.openxmlformats.org/officeDocument/2006/relationships/hyperlink" Target="https://youtu.be/Jk9CuAB8rE0" TargetMode="External"/><Relationship Id="rId1975" Type="http://schemas.openxmlformats.org/officeDocument/2006/relationships/hyperlink" Target="https://youtu.be/xKNLLoMHDY4" TargetMode="External"/><Relationship Id="rId1974" Type="http://schemas.openxmlformats.org/officeDocument/2006/relationships/hyperlink" Target="https://youtu.be/KDIk4jAkZ9U" TargetMode="External"/><Relationship Id="rId1973" Type="http://schemas.openxmlformats.org/officeDocument/2006/relationships/hyperlink" Target="https://youtu.be/E_aXUVrDcnk" TargetMode="External"/><Relationship Id="rId1972" Type="http://schemas.openxmlformats.org/officeDocument/2006/relationships/hyperlink" Target="https://youtu.be/bgrcF04_2KA" TargetMode="External"/><Relationship Id="rId1971" Type="http://schemas.openxmlformats.org/officeDocument/2006/relationships/hyperlink" Target="https://youtu.be/8oAW_uDSdFE" TargetMode="External"/><Relationship Id="rId1970" Type="http://schemas.openxmlformats.org/officeDocument/2006/relationships/hyperlink" Target="https://youtu.be/8DZ2DS8O4pU" TargetMode="External"/><Relationship Id="rId197" Type="http://schemas.openxmlformats.org/officeDocument/2006/relationships/hyperlink" Target="https://youtu.be/9K66Nb8Jw9Q" TargetMode="External"/><Relationship Id="rId1969" Type="http://schemas.openxmlformats.org/officeDocument/2006/relationships/hyperlink" Target="https://youtu.be/LxLrP8KPfPg" TargetMode="External"/><Relationship Id="rId1968" Type="http://schemas.openxmlformats.org/officeDocument/2006/relationships/hyperlink" Target="https://youtu.be/mbA2j3UwIhc" TargetMode="External"/><Relationship Id="rId1967" Type="http://schemas.openxmlformats.org/officeDocument/2006/relationships/hyperlink" Target="https://youtu.be/jwMZ43StsTY" TargetMode="External"/><Relationship Id="rId1966" Type="http://schemas.openxmlformats.org/officeDocument/2006/relationships/hyperlink" Target="https://youtu.be/aVjvhbkYwkA" TargetMode="External"/><Relationship Id="rId1965" Type="http://schemas.openxmlformats.org/officeDocument/2006/relationships/hyperlink" Target="https://youtu.be/TBPjod1F3M8" TargetMode="External"/><Relationship Id="rId1964" Type="http://schemas.openxmlformats.org/officeDocument/2006/relationships/hyperlink" Target="https://youtu.be/a9cgSDGlzgA" TargetMode="External"/><Relationship Id="rId1963" Type="http://schemas.openxmlformats.org/officeDocument/2006/relationships/hyperlink" Target="https://youtu.be/HkdpC3ehIpk" TargetMode="External"/><Relationship Id="rId1962" Type="http://schemas.openxmlformats.org/officeDocument/2006/relationships/hyperlink" Target="https://youtu.be/zoUEhbEGLiQ" TargetMode="External"/><Relationship Id="rId1961" Type="http://schemas.openxmlformats.org/officeDocument/2006/relationships/hyperlink" Target="https://youtu.be/22I7XzXCTr4" TargetMode="External"/><Relationship Id="rId1960" Type="http://schemas.openxmlformats.org/officeDocument/2006/relationships/hyperlink" Target="https://youtu.be/sMRD5cwW9Mk" TargetMode="External"/><Relationship Id="rId196" Type="http://schemas.openxmlformats.org/officeDocument/2006/relationships/hyperlink" Target="https://youtu.be/wIHZ_Vc75Hw" TargetMode="External"/><Relationship Id="rId1959" Type="http://schemas.openxmlformats.org/officeDocument/2006/relationships/hyperlink" Target="https://youtu.be/JZ7n24CtEFw" TargetMode="External"/><Relationship Id="rId1958" Type="http://schemas.openxmlformats.org/officeDocument/2006/relationships/hyperlink" Target="https://youtu.be/A_XRPNRySJg" TargetMode="External"/><Relationship Id="rId1957" Type="http://schemas.openxmlformats.org/officeDocument/2006/relationships/hyperlink" Target="https://youtu.be/12iayXdNTdM" TargetMode="External"/><Relationship Id="rId1956" Type="http://schemas.openxmlformats.org/officeDocument/2006/relationships/hyperlink" Target="https://youtu.be/7xdVjbQJowc" TargetMode="External"/><Relationship Id="rId1955" Type="http://schemas.openxmlformats.org/officeDocument/2006/relationships/hyperlink" Target="https://youtu.be/qX4M37GKd5A" TargetMode="External"/><Relationship Id="rId1954" Type="http://schemas.openxmlformats.org/officeDocument/2006/relationships/hyperlink" Target="https://youtu.be/76KN-AUUd1w" TargetMode="External"/><Relationship Id="rId1953" Type="http://schemas.openxmlformats.org/officeDocument/2006/relationships/hyperlink" Target="https://youtu.be/B2vAK6qlNaw" TargetMode="External"/><Relationship Id="rId1952" Type="http://schemas.openxmlformats.org/officeDocument/2006/relationships/hyperlink" Target="https://youtu.be/hfJ5SI0ee-M" TargetMode="External"/><Relationship Id="rId1951" Type="http://schemas.openxmlformats.org/officeDocument/2006/relationships/hyperlink" Target="https://youtu.be/TASn98HkJfk" TargetMode="External"/><Relationship Id="rId1950" Type="http://schemas.openxmlformats.org/officeDocument/2006/relationships/hyperlink" Target="https://youtu.be/9gbfL590Fgg" TargetMode="External"/><Relationship Id="rId195" Type="http://schemas.openxmlformats.org/officeDocument/2006/relationships/hyperlink" Target="https://youtu.be/g2HdS3y1eQg" TargetMode="External"/><Relationship Id="rId1949" Type="http://schemas.openxmlformats.org/officeDocument/2006/relationships/hyperlink" Target="https://youtu.be/KU53X7O7z7w" TargetMode="External"/><Relationship Id="rId1948" Type="http://schemas.openxmlformats.org/officeDocument/2006/relationships/hyperlink" Target="https://youtu.be/o13ZdnvB8UQ" TargetMode="External"/><Relationship Id="rId1947" Type="http://schemas.openxmlformats.org/officeDocument/2006/relationships/hyperlink" Target="https://youtu.be/Q_AGLeemYPg" TargetMode="External"/><Relationship Id="rId1946" Type="http://schemas.openxmlformats.org/officeDocument/2006/relationships/hyperlink" Target="https://youtu.be/CE7Nz78rkfQ" TargetMode="External"/><Relationship Id="rId1945" Type="http://schemas.openxmlformats.org/officeDocument/2006/relationships/hyperlink" Target="https://youtu.be/d-wMXRPuPhI" TargetMode="External"/><Relationship Id="rId1944" Type="http://schemas.openxmlformats.org/officeDocument/2006/relationships/hyperlink" Target="https://youtu.be/YNVJOG2bK0w" TargetMode="External"/><Relationship Id="rId1943" Type="http://schemas.openxmlformats.org/officeDocument/2006/relationships/hyperlink" Target="https://youtu.be/bKrbMCI4tbM" TargetMode="External"/><Relationship Id="rId1942" Type="http://schemas.openxmlformats.org/officeDocument/2006/relationships/hyperlink" Target="https://youtu.be/uaK-XZfFF7M" TargetMode="External"/><Relationship Id="rId1941" Type="http://schemas.openxmlformats.org/officeDocument/2006/relationships/hyperlink" Target="https://youtu.be/-qajQWiHBcU" TargetMode="External"/><Relationship Id="rId1940" Type="http://schemas.openxmlformats.org/officeDocument/2006/relationships/hyperlink" Target="https://youtu.be/y7fFtBqf_B0" TargetMode="External"/><Relationship Id="rId194" Type="http://schemas.openxmlformats.org/officeDocument/2006/relationships/hyperlink" Target="https://youtu.be/6hJuGIrncbo" TargetMode="External"/><Relationship Id="rId1939" Type="http://schemas.openxmlformats.org/officeDocument/2006/relationships/hyperlink" Target="https://youtu.be/EEQyybh617I" TargetMode="External"/><Relationship Id="rId1938" Type="http://schemas.openxmlformats.org/officeDocument/2006/relationships/hyperlink" Target="https://youtu.be/QPghbtqKdBg" TargetMode="External"/><Relationship Id="rId1937" Type="http://schemas.openxmlformats.org/officeDocument/2006/relationships/hyperlink" Target="https://youtu.be/VT_oc_G6irg" TargetMode="External"/><Relationship Id="rId1936" Type="http://schemas.openxmlformats.org/officeDocument/2006/relationships/hyperlink" Target="https://youtu.be/bM-Ji-pjnk8" TargetMode="External"/><Relationship Id="rId1935" Type="http://schemas.openxmlformats.org/officeDocument/2006/relationships/hyperlink" Target="https://youtu.be/GbIcZqwlNak" TargetMode="External"/><Relationship Id="rId1934" Type="http://schemas.openxmlformats.org/officeDocument/2006/relationships/hyperlink" Target="https://youtu.be/e3qGy4OXGY4" TargetMode="External"/><Relationship Id="rId1933" Type="http://schemas.openxmlformats.org/officeDocument/2006/relationships/hyperlink" Target="https://youtu.be/_IKDadtIqqI" TargetMode="External"/><Relationship Id="rId1932" Type="http://schemas.openxmlformats.org/officeDocument/2006/relationships/hyperlink" Target="https://youtu.be/QKMJVRDtcDM" TargetMode="External"/><Relationship Id="rId1931" Type="http://schemas.openxmlformats.org/officeDocument/2006/relationships/hyperlink" Target="https://youtu.be/6miv46zeH4Y" TargetMode="External"/><Relationship Id="rId1930" Type="http://schemas.openxmlformats.org/officeDocument/2006/relationships/hyperlink" Target="https://youtu.be/Ehvimfl-UfI" TargetMode="External"/><Relationship Id="rId193" Type="http://schemas.openxmlformats.org/officeDocument/2006/relationships/hyperlink" Target="https://youtu.be/42S-xwWmMi0" TargetMode="External"/><Relationship Id="rId1929" Type="http://schemas.openxmlformats.org/officeDocument/2006/relationships/hyperlink" Target="https://youtu.be/r4rNUBpUPho" TargetMode="External"/><Relationship Id="rId1928" Type="http://schemas.openxmlformats.org/officeDocument/2006/relationships/hyperlink" Target="https://youtu.be/0d_Wi6Mz3rA" TargetMode="External"/><Relationship Id="rId1927" Type="http://schemas.openxmlformats.org/officeDocument/2006/relationships/hyperlink" Target="https://youtu.be/7L2Nq49ORYY" TargetMode="External"/><Relationship Id="rId1926" Type="http://schemas.openxmlformats.org/officeDocument/2006/relationships/hyperlink" Target="https://youtu.be/p7LUrsb7yUY" TargetMode="External"/><Relationship Id="rId1925" Type="http://schemas.openxmlformats.org/officeDocument/2006/relationships/hyperlink" Target="https://youtu.be/7-IokHlmul8" TargetMode="External"/><Relationship Id="rId1924" Type="http://schemas.openxmlformats.org/officeDocument/2006/relationships/hyperlink" Target="https://youtu.be/X1jxUjxWdEQ" TargetMode="External"/><Relationship Id="rId1923" Type="http://schemas.openxmlformats.org/officeDocument/2006/relationships/hyperlink" Target="https://youtu.be/k1-eL1ucWPI" TargetMode="External"/><Relationship Id="rId1922" Type="http://schemas.openxmlformats.org/officeDocument/2006/relationships/hyperlink" Target="https://youtu.be/IFZjEQToE9Q" TargetMode="External"/><Relationship Id="rId1921" Type="http://schemas.openxmlformats.org/officeDocument/2006/relationships/hyperlink" Target="https://youtu.be/1zwYq-Gecds" TargetMode="External"/><Relationship Id="rId1920" Type="http://schemas.openxmlformats.org/officeDocument/2006/relationships/hyperlink" Target="https://youtu.be/tEDLkWSCyrs" TargetMode="External"/><Relationship Id="rId192" Type="http://schemas.openxmlformats.org/officeDocument/2006/relationships/hyperlink" Target="https://youtu.be/ydEeVG5s9oo" TargetMode="External"/><Relationship Id="rId1919" Type="http://schemas.openxmlformats.org/officeDocument/2006/relationships/hyperlink" Target="https://youtu.be/D9DGEiCrsUo" TargetMode="External"/><Relationship Id="rId1918" Type="http://schemas.openxmlformats.org/officeDocument/2006/relationships/hyperlink" Target="https://youtu.be/OHpx2tqA5Qc" TargetMode="External"/><Relationship Id="rId1917" Type="http://schemas.openxmlformats.org/officeDocument/2006/relationships/hyperlink" Target="https://youtu.be/yzN9jSDKR8c" TargetMode="External"/><Relationship Id="rId1916" Type="http://schemas.openxmlformats.org/officeDocument/2006/relationships/hyperlink" Target="https://youtu.be/LIWSyyT3w98" TargetMode="External"/><Relationship Id="rId1915" Type="http://schemas.openxmlformats.org/officeDocument/2006/relationships/hyperlink" Target="https://youtu.be/GhHe3oiLCo4" TargetMode="External"/><Relationship Id="rId1914" Type="http://schemas.openxmlformats.org/officeDocument/2006/relationships/hyperlink" Target="https://youtu.be/DayWXWbVW4g" TargetMode="External"/><Relationship Id="rId1913" Type="http://schemas.openxmlformats.org/officeDocument/2006/relationships/hyperlink" Target="https://youtu.be/IW0Ay0rmvWk" TargetMode="External"/><Relationship Id="rId1912" Type="http://schemas.openxmlformats.org/officeDocument/2006/relationships/hyperlink" Target="https://youtu.be/iht75kq0RrU" TargetMode="External"/><Relationship Id="rId1911" Type="http://schemas.openxmlformats.org/officeDocument/2006/relationships/hyperlink" Target="https://youtu.be/DFtLlud0-Mk" TargetMode="External"/><Relationship Id="rId1910" Type="http://schemas.openxmlformats.org/officeDocument/2006/relationships/hyperlink" Target="https://youtu.be/kIprqsu8C2E" TargetMode="External"/><Relationship Id="rId191" Type="http://schemas.openxmlformats.org/officeDocument/2006/relationships/hyperlink" Target="https://youtu.be/HM9441PtuCU" TargetMode="External"/><Relationship Id="rId1909" Type="http://schemas.openxmlformats.org/officeDocument/2006/relationships/hyperlink" Target="https://youtu.be/cAaC-fUqS64" TargetMode="External"/><Relationship Id="rId1908" Type="http://schemas.openxmlformats.org/officeDocument/2006/relationships/hyperlink" Target="https://youtu.be/KSc_yHCu68o" TargetMode="External"/><Relationship Id="rId1907" Type="http://schemas.openxmlformats.org/officeDocument/2006/relationships/hyperlink" Target="https://youtu.be/psZ6UAFUOT4" TargetMode="External"/><Relationship Id="rId1906" Type="http://schemas.openxmlformats.org/officeDocument/2006/relationships/hyperlink" Target="https://youtu.be/qBtsKBpEyZE" TargetMode="External"/><Relationship Id="rId1905" Type="http://schemas.openxmlformats.org/officeDocument/2006/relationships/hyperlink" Target="https://youtu.be/9p0czSsawVw" TargetMode="External"/><Relationship Id="rId1904" Type="http://schemas.openxmlformats.org/officeDocument/2006/relationships/hyperlink" Target="https://youtu.be/2iV7fElH5h8" TargetMode="External"/><Relationship Id="rId1903" Type="http://schemas.openxmlformats.org/officeDocument/2006/relationships/hyperlink" Target="https://youtu.be/eFt69uzMUuw" TargetMode="External"/><Relationship Id="rId1902" Type="http://schemas.openxmlformats.org/officeDocument/2006/relationships/hyperlink" Target="https://youtu.be/gO6DfhxMfaI" TargetMode="External"/><Relationship Id="rId1901" Type="http://schemas.openxmlformats.org/officeDocument/2006/relationships/hyperlink" Target="https://youtu.be/KLj0lrfan1g" TargetMode="External"/><Relationship Id="rId1900" Type="http://schemas.openxmlformats.org/officeDocument/2006/relationships/hyperlink" Target="https://youtu.be/XKICuB5OdnA" TargetMode="External"/><Relationship Id="rId190" Type="http://schemas.openxmlformats.org/officeDocument/2006/relationships/hyperlink" Target="https://youtu.be/LnBSCWhlnnU" TargetMode="External"/><Relationship Id="rId19" Type="http://schemas.openxmlformats.org/officeDocument/2006/relationships/hyperlink" Target="https://youtu.be/xuXEv4tUkXQ" TargetMode="External"/><Relationship Id="rId1899" Type="http://schemas.openxmlformats.org/officeDocument/2006/relationships/hyperlink" Target="https://youtu.be/cEpPhTz__4A" TargetMode="External"/><Relationship Id="rId1898" Type="http://schemas.openxmlformats.org/officeDocument/2006/relationships/hyperlink" Target="https://youtu.be/pcj37jkpipU" TargetMode="External"/><Relationship Id="rId1897" Type="http://schemas.openxmlformats.org/officeDocument/2006/relationships/hyperlink" Target="https://youtu.be/sKYGkhwThaw" TargetMode="External"/><Relationship Id="rId1896" Type="http://schemas.openxmlformats.org/officeDocument/2006/relationships/hyperlink" Target="https://youtu.be/9XJ1vZKtXjk" TargetMode="External"/><Relationship Id="rId1895" Type="http://schemas.openxmlformats.org/officeDocument/2006/relationships/hyperlink" Target="https://youtu.be/5FCk6zBcpsE" TargetMode="External"/><Relationship Id="rId1894" Type="http://schemas.openxmlformats.org/officeDocument/2006/relationships/hyperlink" Target="https://youtu.be/P33j8iK6u0I" TargetMode="External"/><Relationship Id="rId1893" Type="http://schemas.openxmlformats.org/officeDocument/2006/relationships/hyperlink" Target="https://youtu.be/KBNx5RzQAv4" TargetMode="External"/><Relationship Id="rId1892" Type="http://schemas.openxmlformats.org/officeDocument/2006/relationships/hyperlink" Target="https://youtu.be/foPpqALlHt4" TargetMode="External"/><Relationship Id="rId1891" Type="http://schemas.openxmlformats.org/officeDocument/2006/relationships/hyperlink" Target="https://youtu.be/lJtQNzykPWQ" TargetMode="External"/><Relationship Id="rId1890" Type="http://schemas.openxmlformats.org/officeDocument/2006/relationships/hyperlink" Target="https://youtu.be/Zb46Pv-9feU" TargetMode="External"/><Relationship Id="rId189" Type="http://schemas.openxmlformats.org/officeDocument/2006/relationships/hyperlink" Target="https://youtu.be/t2sNjgehz2Q" TargetMode="External"/><Relationship Id="rId1889" Type="http://schemas.openxmlformats.org/officeDocument/2006/relationships/hyperlink" Target="https://youtu.be/ZxojSJEntBY" TargetMode="External"/><Relationship Id="rId1888" Type="http://schemas.openxmlformats.org/officeDocument/2006/relationships/hyperlink" Target="https://youtu.be/8jzKD-nWFfQ" TargetMode="External"/><Relationship Id="rId1887" Type="http://schemas.openxmlformats.org/officeDocument/2006/relationships/hyperlink" Target="https://youtu.be/GqurHxFwUcM" TargetMode="External"/><Relationship Id="rId1886" Type="http://schemas.openxmlformats.org/officeDocument/2006/relationships/hyperlink" Target="https://youtu.be/fGWM7jAPtJI" TargetMode="External"/><Relationship Id="rId1885" Type="http://schemas.openxmlformats.org/officeDocument/2006/relationships/hyperlink" Target="https://youtu.be/ffJiiceuwok" TargetMode="External"/><Relationship Id="rId1884" Type="http://schemas.openxmlformats.org/officeDocument/2006/relationships/hyperlink" Target="https://youtu.be/_6-OhcXD-DQ" TargetMode="External"/><Relationship Id="rId1883" Type="http://schemas.openxmlformats.org/officeDocument/2006/relationships/hyperlink" Target="https://youtu.be/womKV58QTHY" TargetMode="External"/><Relationship Id="rId1882" Type="http://schemas.openxmlformats.org/officeDocument/2006/relationships/hyperlink" Target="https://youtu.be/X_mLDfhDxS8" TargetMode="External"/><Relationship Id="rId1881" Type="http://schemas.openxmlformats.org/officeDocument/2006/relationships/hyperlink" Target="https://youtu.be/Ul3eJ7NT6E8" TargetMode="External"/><Relationship Id="rId1880" Type="http://schemas.openxmlformats.org/officeDocument/2006/relationships/hyperlink" Target="https://youtu.be/YWnmWGDVsxs" TargetMode="External"/><Relationship Id="rId188" Type="http://schemas.openxmlformats.org/officeDocument/2006/relationships/hyperlink" Target="https://youtu.be/i7eBzmux0A8" TargetMode="External"/><Relationship Id="rId1879" Type="http://schemas.openxmlformats.org/officeDocument/2006/relationships/hyperlink" Target="https://youtu.be/N1zF4BM50Dk" TargetMode="External"/><Relationship Id="rId1878" Type="http://schemas.openxmlformats.org/officeDocument/2006/relationships/hyperlink" Target="https://youtu.be/E_fZI-Vltrc" TargetMode="External"/><Relationship Id="rId1877" Type="http://schemas.openxmlformats.org/officeDocument/2006/relationships/hyperlink" Target="https://youtu.be/0DUn_N2o9G0" TargetMode="External"/><Relationship Id="rId1876" Type="http://schemas.openxmlformats.org/officeDocument/2006/relationships/hyperlink" Target="https://youtu.be/YWzRCbLvIrc" TargetMode="External"/><Relationship Id="rId1875" Type="http://schemas.openxmlformats.org/officeDocument/2006/relationships/hyperlink" Target="https://youtu.be/IJJk_lYuIGg" TargetMode="External"/><Relationship Id="rId1874" Type="http://schemas.openxmlformats.org/officeDocument/2006/relationships/hyperlink" Target="https://youtu.be/I-QhM18OQZE" TargetMode="External"/><Relationship Id="rId1873" Type="http://schemas.openxmlformats.org/officeDocument/2006/relationships/hyperlink" Target="https://youtu.be/Yn-ZiAxeUBg" TargetMode="External"/><Relationship Id="rId1872" Type="http://schemas.openxmlformats.org/officeDocument/2006/relationships/hyperlink" Target="https://youtu.be/7bq_03LEXiA" TargetMode="External"/><Relationship Id="rId1871" Type="http://schemas.openxmlformats.org/officeDocument/2006/relationships/hyperlink" Target="https://youtu.be/u0yumDyPS7U" TargetMode="External"/><Relationship Id="rId1870" Type="http://schemas.openxmlformats.org/officeDocument/2006/relationships/hyperlink" Target="https://youtu.be/4PsY00wNjnQ" TargetMode="External"/><Relationship Id="rId187" Type="http://schemas.openxmlformats.org/officeDocument/2006/relationships/hyperlink" Target="https://youtu.be/kRPyou5O4IM" TargetMode="External"/><Relationship Id="rId1869" Type="http://schemas.openxmlformats.org/officeDocument/2006/relationships/hyperlink" Target="https://youtu.be/-D4osuNnrMc" TargetMode="External"/><Relationship Id="rId1868" Type="http://schemas.openxmlformats.org/officeDocument/2006/relationships/hyperlink" Target="https://youtu.be/se6_0AeVPGA" TargetMode="External"/><Relationship Id="rId1867" Type="http://schemas.openxmlformats.org/officeDocument/2006/relationships/hyperlink" Target="https://youtu.be/fsaIJX_DBWs" TargetMode="External"/><Relationship Id="rId1866" Type="http://schemas.openxmlformats.org/officeDocument/2006/relationships/hyperlink" Target="https://youtu.be/20uz55rpYAo" TargetMode="External"/><Relationship Id="rId1865" Type="http://schemas.openxmlformats.org/officeDocument/2006/relationships/hyperlink" Target="https://youtu.be/Pr8Aj5rgU_8" TargetMode="External"/><Relationship Id="rId1864" Type="http://schemas.openxmlformats.org/officeDocument/2006/relationships/hyperlink" Target="https://youtu.be/xHm075F1yZQ" TargetMode="External"/><Relationship Id="rId1863" Type="http://schemas.openxmlformats.org/officeDocument/2006/relationships/hyperlink" Target="https://youtu.be/ygvMe7roCaw" TargetMode="External"/><Relationship Id="rId1862" Type="http://schemas.openxmlformats.org/officeDocument/2006/relationships/hyperlink" Target="https://youtu.be/BMmIouNDv6M" TargetMode="External"/><Relationship Id="rId1861" Type="http://schemas.openxmlformats.org/officeDocument/2006/relationships/hyperlink" Target="https://youtu.be/-s09OuW8JPo" TargetMode="External"/><Relationship Id="rId1860" Type="http://schemas.openxmlformats.org/officeDocument/2006/relationships/hyperlink" Target="https://youtu.be/r7wxiT3lDOU" TargetMode="External"/><Relationship Id="rId186" Type="http://schemas.openxmlformats.org/officeDocument/2006/relationships/hyperlink" Target="https://youtu.be/b0CFG9WGDLs" TargetMode="External"/><Relationship Id="rId1859" Type="http://schemas.openxmlformats.org/officeDocument/2006/relationships/hyperlink" Target="https://youtu.be/iEabhqI0i-0" TargetMode="External"/><Relationship Id="rId1858" Type="http://schemas.openxmlformats.org/officeDocument/2006/relationships/hyperlink" Target="https://youtu.be/L04fa4JvdAQ" TargetMode="External"/><Relationship Id="rId1857" Type="http://schemas.openxmlformats.org/officeDocument/2006/relationships/hyperlink" Target="https://youtu.be/KcAvwEKwScM" TargetMode="External"/><Relationship Id="rId1856" Type="http://schemas.openxmlformats.org/officeDocument/2006/relationships/hyperlink" Target="https://youtu.be/Nm2_BwnCL7I" TargetMode="External"/><Relationship Id="rId1855" Type="http://schemas.openxmlformats.org/officeDocument/2006/relationships/hyperlink" Target="https://youtu.be/irQHIhwDqGQ" TargetMode="External"/><Relationship Id="rId1854" Type="http://schemas.openxmlformats.org/officeDocument/2006/relationships/hyperlink" Target="https://youtu.be/BMFB2oudXZc" TargetMode="External"/><Relationship Id="rId1853" Type="http://schemas.openxmlformats.org/officeDocument/2006/relationships/hyperlink" Target="https://youtu.be/wAogqm7sxoM" TargetMode="External"/><Relationship Id="rId1852" Type="http://schemas.openxmlformats.org/officeDocument/2006/relationships/hyperlink" Target="https://youtu.be/xTlaGbsHq9A" TargetMode="External"/><Relationship Id="rId1851" Type="http://schemas.openxmlformats.org/officeDocument/2006/relationships/hyperlink" Target="https://youtu.be/LPA4HNFURnU" TargetMode="External"/><Relationship Id="rId1850" Type="http://schemas.openxmlformats.org/officeDocument/2006/relationships/hyperlink" Target="https://youtu.be/rO4apgo_1e4" TargetMode="External"/><Relationship Id="rId185" Type="http://schemas.openxmlformats.org/officeDocument/2006/relationships/hyperlink" Target="https://youtu.be/TV45KMXbCNw" TargetMode="External"/><Relationship Id="rId1849" Type="http://schemas.openxmlformats.org/officeDocument/2006/relationships/hyperlink" Target="https://youtu.be/PHlcmLQM9Ug" TargetMode="External"/><Relationship Id="rId1848" Type="http://schemas.openxmlformats.org/officeDocument/2006/relationships/hyperlink" Target="https://youtu.be/fIQMdNhpPgQ" TargetMode="External"/><Relationship Id="rId1847" Type="http://schemas.openxmlformats.org/officeDocument/2006/relationships/hyperlink" Target="https://youtu.be/0rgshsCRHN0" TargetMode="External"/><Relationship Id="rId1846" Type="http://schemas.openxmlformats.org/officeDocument/2006/relationships/hyperlink" Target="https://youtu.be/ioxNYPrn228" TargetMode="External"/><Relationship Id="rId1845" Type="http://schemas.openxmlformats.org/officeDocument/2006/relationships/hyperlink" Target="https://youtu.be/WcI1e4KiDv0" TargetMode="External"/><Relationship Id="rId1844" Type="http://schemas.openxmlformats.org/officeDocument/2006/relationships/hyperlink" Target="https://youtu.be/ZPATyyn39uM" TargetMode="External"/><Relationship Id="rId1843" Type="http://schemas.openxmlformats.org/officeDocument/2006/relationships/hyperlink" Target="https://youtu.be/bTNUHsTwq0A" TargetMode="External"/><Relationship Id="rId1842" Type="http://schemas.openxmlformats.org/officeDocument/2006/relationships/hyperlink" Target="https://youtu.be/D1B2fwK4vd0" TargetMode="External"/><Relationship Id="rId1841" Type="http://schemas.openxmlformats.org/officeDocument/2006/relationships/hyperlink" Target="https://youtu.be/Y21wlqIKkb0" TargetMode="External"/><Relationship Id="rId1840" Type="http://schemas.openxmlformats.org/officeDocument/2006/relationships/hyperlink" Target="https://youtu.be/QEBkes31Z8U" TargetMode="External"/><Relationship Id="rId184" Type="http://schemas.openxmlformats.org/officeDocument/2006/relationships/hyperlink" Target="https://youtu.be/wENl1nQbAnE" TargetMode="External"/><Relationship Id="rId1839" Type="http://schemas.openxmlformats.org/officeDocument/2006/relationships/hyperlink" Target="https://youtu.be/-4KWnWx1q3M" TargetMode="External"/><Relationship Id="rId1838" Type="http://schemas.openxmlformats.org/officeDocument/2006/relationships/hyperlink" Target="https://youtu.be/iDqg74xqZB4" TargetMode="External"/><Relationship Id="rId1837" Type="http://schemas.openxmlformats.org/officeDocument/2006/relationships/hyperlink" Target="https://youtu.be/KlRleRABIdg" TargetMode="External"/><Relationship Id="rId1836" Type="http://schemas.openxmlformats.org/officeDocument/2006/relationships/hyperlink" Target="https://youtu.be/mxUgl7Qngxg" TargetMode="External"/><Relationship Id="rId1835" Type="http://schemas.openxmlformats.org/officeDocument/2006/relationships/hyperlink" Target="https://youtu.be/JiMyvj0jsLY" TargetMode="External"/><Relationship Id="rId1834" Type="http://schemas.openxmlformats.org/officeDocument/2006/relationships/hyperlink" Target="https://youtu.be/XGIYrcwcWV4" TargetMode="External"/><Relationship Id="rId1833" Type="http://schemas.openxmlformats.org/officeDocument/2006/relationships/hyperlink" Target="https://youtu.be/0nZ3lytNWiE" TargetMode="External"/><Relationship Id="rId1832" Type="http://schemas.openxmlformats.org/officeDocument/2006/relationships/hyperlink" Target="https://youtu.be/P_eBWWlYgV8" TargetMode="External"/><Relationship Id="rId1831" Type="http://schemas.openxmlformats.org/officeDocument/2006/relationships/hyperlink" Target="https://youtu.be/6_jVQCx7AGc" TargetMode="External"/><Relationship Id="rId1830" Type="http://schemas.openxmlformats.org/officeDocument/2006/relationships/hyperlink" Target="https://youtu.be/EdTl0Lzj93g" TargetMode="External"/><Relationship Id="rId183" Type="http://schemas.openxmlformats.org/officeDocument/2006/relationships/hyperlink" Target="https://youtu.be/GsFA1H1SF_U" TargetMode="External"/><Relationship Id="rId1829" Type="http://schemas.openxmlformats.org/officeDocument/2006/relationships/hyperlink" Target="https://youtu.be/HWeGYVeRxxg" TargetMode="External"/><Relationship Id="rId1828" Type="http://schemas.openxmlformats.org/officeDocument/2006/relationships/hyperlink" Target="https://youtu.be/hdEHYRK9Fwo" TargetMode="External"/><Relationship Id="rId1827" Type="http://schemas.openxmlformats.org/officeDocument/2006/relationships/hyperlink" Target="https://youtu.be/PPPn55TBnHc" TargetMode="External"/><Relationship Id="rId1826" Type="http://schemas.openxmlformats.org/officeDocument/2006/relationships/hyperlink" Target="https://youtu.be/rvey9CPXdfc" TargetMode="External"/><Relationship Id="rId1825" Type="http://schemas.openxmlformats.org/officeDocument/2006/relationships/hyperlink" Target="https://youtu.be/vJw0cYldD80" TargetMode="External"/><Relationship Id="rId1824" Type="http://schemas.openxmlformats.org/officeDocument/2006/relationships/hyperlink" Target="https://youtu.be/T-3S248Lqxw" TargetMode="External"/><Relationship Id="rId1823" Type="http://schemas.openxmlformats.org/officeDocument/2006/relationships/hyperlink" Target="https://youtu.be/Jsa5Etrx3fs" TargetMode="External"/><Relationship Id="rId1822" Type="http://schemas.openxmlformats.org/officeDocument/2006/relationships/hyperlink" Target="https://youtu.be/mDekX5D6428" TargetMode="External"/><Relationship Id="rId1821" Type="http://schemas.openxmlformats.org/officeDocument/2006/relationships/hyperlink" Target="https://youtu.be/hxe4JHOFxM0" TargetMode="External"/><Relationship Id="rId1820" Type="http://schemas.openxmlformats.org/officeDocument/2006/relationships/hyperlink" Target="https://youtu.be/dfa6H1oWgEA" TargetMode="External"/><Relationship Id="rId182" Type="http://schemas.openxmlformats.org/officeDocument/2006/relationships/hyperlink" Target="https://youtu.be/RWCTRPkdZEw" TargetMode="External"/><Relationship Id="rId1819" Type="http://schemas.openxmlformats.org/officeDocument/2006/relationships/hyperlink" Target="https://youtu.be/rX6lI__Trvw" TargetMode="External"/><Relationship Id="rId1818" Type="http://schemas.openxmlformats.org/officeDocument/2006/relationships/hyperlink" Target="https://youtu.be/Tq-mef33XBg" TargetMode="External"/><Relationship Id="rId1817" Type="http://schemas.openxmlformats.org/officeDocument/2006/relationships/hyperlink" Target="https://youtu.be/y0gy1WqB1n4" TargetMode="External"/><Relationship Id="rId1816" Type="http://schemas.openxmlformats.org/officeDocument/2006/relationships/hyperlink" Target="https://youtu.be/YeaxbbhOnX4" TargetMode="External"/><Relationship Id="rId1815" Type="http://schemas.openxmlformats.org/officeDocument/2006/relationships/hyperlink" Target="https://youtu.be/90MbOj7lD-Q" TargetMode="External"/><Relationship Id="rId1814" Type="http://schemas.openxmlformats.org/officeDocument/2006/relationships/hyperlink" Target="https://youtu.be/WhGWOQr0m6E" TargetMode="External"/><Relationship Id="rId1813" Type="http://schemas.openxmlformats.org/officeDocument/2006/relationships/hyperlink" Target="https://youtu.be/zgR5treTe6s" TargetMode="External"/><Relationship Id="rId1812" Type="http://schemas.openxmlformats.org/officeDocument/2006/relationships/hyperlink" Target="https://youtu.be/5bqqGcdtLYA" TargetMode="External"/><Relationship Id="rId1811" Type="http://schemas.openxmlformats.org/officeDocument/2006/relationships/hyperlink" Target="https://youtu.be/EnpPsLf43r4" TargetMode="External"/><Relationship Id="rId1810" Type="http://schemas.openxmlformats.org/officeDocument/2006/relationships/hyperlink" Target="https://youtu.be/_Hv3WDLqm3Q" TargetMode="External"/><Relationship Id="rId181" Type="http://schemas.openxmlformats.org/officeDocument/2006/relationships/hyperlink" Target="https://youtu.be/YfejrE6-np8" TargetMode="External"/><Relationship Id="rId1809" Type="http://schemas.openxmlformats.org/officeDocument/2006/relationships/hyperlink" Target="https://youtu.be/wUgBiEgF138" TargetMode="External"/><Relationship Id="rId1808" Type="http://schemas.openxmlformats.org/officeDocument/2006/relationships/hyperlink" Target="https://youtu.be/vgZymJC4a-g" TargetMode="External"/><Relationship Id="rId1807" Type="http://schemas.openxmlformats.org/officeDocument/2006/relationships/hyperlink" Target="https://youtu.be/jywPZvL7Vu0" TargetMode="External"/><Relationship Id="rId1806" Type="http://schemas.openxmlformats.org/officeDocument/2006/relationships/hyperlink" Target="https://youtu.be/Q9Z6-1Lt00o" TargetMode="External"/><Relationship Id="rId1805" Type="http://schemas.openxmlformats.org/officeDocument/2006/relationships/hyperlink" Target="https://youtu.be/2v-3Cehq-d4" TargetMode="External"/><Relationship Id="rId1804" Type="http://schemas.openxmlformats.org/officeDocument/2006/relationships/hyperlink" Target="https://youtu.be/SSGhP0aOcAQ" TargetMode="External"/><Relationship Id="rId1803" Type="http://schemas.openxmlformats.org/officeDocument/2006/relationships/hyperlink" Target="https://youtu.be/0OxoEnzAhFg" TargetMode="External"/><Relationship Id="rId1802" Type="http://schemas.openxmlformats.org/officeDocument/2006/relationships/hyperlink" Target="https://youtu.be/PrOdwo8gU6I" TargetMode="External"/><Relationship Id="rId1801" Type="http://schemas.openxmlformats.org/officeDocument/2006/relationships/hyperlink" Target="https://youtu.be/T7OcgHp4Zp4" TargetMode="External"/><Relationship Id="rId1800" Type="http://schemas.openxmlformats.org/officeDocument/2006/relationships/hyperlink" Target="https://youtu.be/dobPM34aJs8" TargetMode="External"/><Relationship Id="rId180" Type="http://schemas.openxmlformats.org/officeDocument/2006/relationships/hyperlink" Target="https://youtu.be/bT0FNOeVaxk" TargetMode="External"/><Relationship Id="rId18" Type="http://schemas.openxmlformats.org/officeDocument/2006/relationships/hyperlink" Target="https://youtu.be/LuPWd5jGsEM" TargetMode="External"/><Relationship Id="rId1799" Type="http://schemas.openxmlformats.org/officeDocument/2006/relationships/hyperlink" Target="https://youtu.be/g-NsdyAYO0g" TargetMode="External"/><Relationship Id="rId1798" Type="http://schemas.openxmlformats.org/officeDocument/2006/relationships/hyperlink" Target="https://youtu.be/w0RuyH592S0" TargetMode="External"/><Relationship Id="rId1797" Type="http://schemas.openxmlformats.org/officeDocument/2006/relationships/hyperlink" Target="https://youtu.be/4yqmhsrfBoQ" TargetMode="External"/><Relationship Id="rId1796" Type="http://schemas.openxmlformats.org/officeDocument/2006/relationships/hyperlink" Target="https://youtu.be/zqhlzn49_q0" TargetMode="External"/><Relationship Id="rId1795" Type="http://schemas.openxmlformats.org/officeDocument/2006/relationships/hyperlink" Target="https://youtu.be/h1u2kBuPu2c" TargetMode="External"/><Relationship Id="rId1794" Type="http://schemas.openxmlformats.org/officeDocument/2006/relationships/hyperlink" Target="https://youtu.be/eLYeJXH5n44" TargetMode="External"/><Relationship Id="rId1793" Type="http://schemas.openxmlformats.org/officeDocument/2006/relationships/hyperlink" Target="https://youtu.be/OVKubdxYGFk" TargetMode="External"/><Relationship Id="rId1792" Type="http://schemas.openxmlformats.org/officeDocument/2006/relationships/hyperlink" Target="https://youtu.be/9pRa5X07Vdk" TargetMode="External"/><Relationship Id="rId1791" Type="http://schemas.openxmlformats.org/officeDocument/2006/relationships/hyperlink" Target="https://youtu.be/CSsSky_8myg" TargetMode="External"/><Relationship Id="rId1790" Type="http://schemas.openxmlformats.org/officeDocument/2006/relationships/hyperlink" Target="https://youtu.be/vXvjddJ_Xzk" TargetMode="External"/><Relationship Id="rId179" Type="http://schemas.openxmlformats.org/officeDocument/2006/relationships/hyperlink" Target="https://youtu.be/tsFyTDnQKB0" TargetMode="External"/><Relationship Id="rId1789" Type="http://schemas.openxmlformats.org/officeDocument/2006/relationships/hyperlink" Target="https://youtu.be/coZRUh_O2S8" TargetMode="External"/><Relationship Id="rId1788" Type="http://schemas.openxmlformats.org/officeDocument/2006/relationships/hyperlink" Target="https://youtu.be/e8-mITnP2YI" TargetMode="External"/><Relationship Id="rId1787" Type="http://schemas.openxmlformats.org/officeDocument/2006/relationships/hyperlink" Target="https://youtu.be/r2GhWt1chYc" TargetMode="External"/><Relationship Id="rId1786" Type="http://schemas.openxmlformats.org/officeDocument/2006/relationships/hyperlink" Target="https://youtu.be/Qf6ArVwQ120" TargetMode="External"/><Relationship Id="rId1785" Type="http://schemas.openxmlformats.org/officeDocument/2006/relationships/hyperlink" Target="https://youtu.be/6bQCWkrFBS0" TargetMode="External"/><Relationship Id="rId1784" Type="http://schemas.openxmlformats.org/officeDocument/2006/relationships/hyperlink" Target="https://youtu.be/O5asRmTtfpY" TargetMode="External"/><Relationship Id="rId1783" Type="http://schemas.openxmlformats.org/officeDocument/2006/relationships/hyperlink" Target="https://youtu.be/GehurZjIA0w" TargetMode="External"/><Relationship Id="rId1782" Type="http://schemas.openxmlformats.org/officeDocument/2006/relationships/hyperlink" Target="https://youtu.be/G6ZWuT-LSIQ" TargetMode="External"/><Relationship Id="rId1781" Type="http://schemas.openxmlformats.org/officeDocument/2006/relationships/hyperlink" Target="https://youtu.be/rnskwzPFijs" TargetMode="External"/><Relationship Id="rId1780" Type="http://schemas.openxmlformats.org/officeDocument/2006/relationships/hyperlink" Target="https://youtu.be/sLwW3pdXkFo" TargetMode="External"/><Relationship Id="rId178" Type="http://schemas.openxmlformats.org/officeDocument/2006/relationships/hyperlink" Target="https://youtu.be/OCly6CbZD08" TargetMode="External"/><Relationship Id="rId1779" Type="http://schemas.openxmlformats.org/officeDocument/2006/relationships/hyperlink" Target="https://youtu.be/laMmaGFZFZI" TargetMode="External"/><Relationship Id="rId1778" Type="http://schemas.openxmlformats.org/officeDocument/2006/relationships/hyperlink" Target="https://youtu.be/tixSKAAfiiw" TargetMode="External"/><Relationship Id="rId1777" Type="http://schemas.openxmlformats.org/officeDocument/2006/relationships/hyperlink" Target="https://youtu.be/Gv479VS97Ao" TargetMode="External"/><Relationship Id="rId1776" Type="http://schemas.openxmlformats.org/officeDocument/2006/relationships/hyperlink" Target="https://youtu.be/TIZ8V9Hq9H8" TargetMode="External"/><Relationship Id="rId1775" Type="http://schemas.openxmlformats.org/officeDocument/2006/relationships/hyperlink" Target="https://youtu.be/MdJRpMK1J7Y" TargetMode="External"/><Relationship Id="rId1774" Type="http://schemas.openxmlformats.org/officeDocument/2006/relationships/hyperlink" Target="https://youtu.be/lTxb43yiDUo" TargetMode="External"/><Relationship Id="rId1773" Type="http://schemas.openxmlformats.org/officeDocument/2006/relationships/hyperlink" Target="https://youtu.be/ZYUpdG1tKH0" TargetMode="External"/><Relationship Id="rId1772" Type="http://schemas.openxmlformats.org/officeDocument/2006/relationships/hyperlink" Target="https://youtu.be/R4mhT0QtZOs" TargetMode="External"/><Relationship Id="rId1771" Type="http://schemas.openxmlformats.org/officeDocument/2006/relationships/hyperlink" Target="https://youtu.be/no69oljyqPA" TargetMode="External"/><Relationship Id="rId1770" Type="http://schemas.openxmlformats.org/officeDocument/2006/relationships/hyperlink" Target="https://youtu.be/Dg2kJXlYabw" TargetMode="External"/><Relationship Id="rId177" Type="http://schemas.openxmlformats.org/officeDocument/2006/relationships/hyperlink" Target="https://youtu.be/R5R9XUGMnxw" TargetMode="External"/><Relationship Id="rId1769" Type="http://schemas.openxmlformats.org/officeDocument/2006/relationships/hyperlink" Target="https://youtu.be/UpBwvPeI5VM" TargetMode="External"/><Relationship Id="rId1768" Type="http://schemas.openxmlformats.org/officeDocument/2006/relationships/hyperlink" Target="https://youtu.be/3bZWL9pTZZU" TargetMode="External"/><Relationship Id="rId1767" Type="http://schemas.openxmlformats.org/officeDocument/2006/relationships/hyperlink" Target="https://youtu.be/xdj_A-3gEY4" TargetMode="External"/><Relationship Id="rId1766" Type="http://schemas.openxmlformats.org/officeDocument/2006/relationships/hyperlink" Target="https://youtu.be/Zi2IbWs1vHY" TargetMode="External"/><Relationship Id="rId1765" Type="http://schemas.openxmlformats.org/officeDocument/2006/relationships/hyperlink" Target="https://youtu.be/XJoDtzqBXXw" TargetMode="External"/><Relationship Id="rId1764" Type="http://schemas.openxmlformats.org/officeDocument/2006/relationships/hyperlink" Target="https://youtu.be/9fEm0qJoqEo" TargetMode="External"/><Relationship Id="rId1763" Type="http://schemas.openxmlformats.org/officeDocument/2006/relationships/hyperlink" Target="https://youtu.be/7qxCCz6US9M" TargetMode="External"/><Relationship Id="rId1762" Type="http://schemas.openxmlformats.org/officeDocument/2006/relationships/hyperlink" Target="https://youtu.be/qBouo5fW758" TargetMode="External"/><Relationship Id="rId1761" Type="http://schemas.openxmlformats.org/officeDocument/2006/relationships/hyperlink" Target="https://youtu.be/BV3FT8lyRTo" TargetMode="External"/><Relationship Id="rId1760" Type="http://schemas.openxmlformats.org/officeDocument/2006/relationships/hyperlink" Target="https://youtu.be/sdwHT2zP6gw" TargetMode="External"/><Relationship Id="rId176" Type="http://schemas.openxmlformats.org/officeDocument/2006/relationships/hyperlink" Target="https://youtu.be/6kTRp-HFFdk" TargetMode="External"/><Relationship Id="rId1759" Type="http://schemas.openxmlformats.org/officeDocument/2006/relationships/hyperlink" Target="https://youtu.be/OFGQoqLY5bc" TargetMode="External"/><Relationship Id="rId1758" Type="http://schemas.openxmlformats.org/officeDocument/2006/relationships/hyperlink" Target="https://youtu.be/VYSNn7YUNU8" TargetMode="External"/><Relationship Id="rId1757" Type="http://schemas.openxmlformats.org/officeDocument/2006/relationships/hyperlink" Target="https://youtu.be/qulzwuNTr3w" TargetMode="External"/><Relationship Id="rId1756" Type="http://schemas.openxmlformats.org/officeDocument/2006/relationships/hyperlink" Target="https://youtu.be/i0ATqsNR_xw" TargetMode="External"/><Relationship Id="rId1755" Type="http://schemas.openxmlformats.org/officeDocument/2006/relationships/hyperlink" Target="https://youtu.be/tpaCAmFUYLg" TargetMode="External"/><Relationship Id="rId1754" Type="http://schemas.openxmlformats.org/officeDocument/2006/relationships/hyperlink" Target="https://youtu.be/7bw-1-55reY" TargetMode="External"/><Relationship Id="rId1753" Type="http://schemas.openxmlformats.org/officeDocument/2006/relationships/hyperlink" Target="https://youtu.be/KhPExpo7-U0" TargetMode="External"/><Relationship Id="rId1752" Type="http://schemas.openxmlformats.org/officeDocument/2006/relationships/hyperlink" Target="https://youtu.be/XnucfSNn1mU" TargetMode="External"/><Relationship Id="rId1751" Type="http://schemas.openxmlformats.org/officeDocument/2006/relationships/hyperlink" Target="https://youtu.be/zG0WmhUUdcw" TargetMode="External"/><Relationship Id="rId1750" Type="http://schemas.openxmlformats.org/officeDocument/2006/relationships/hyperlink" Target="https://youtu.be/jLIltGrSGgc" TargetMode="External"/><Relationship Id="rId175" Type="http://schemas.openxmlformats.org/officeDocument/2006/relationships/hyperlink" Target="https://youtu.be/QoXhSsFrOhM" TargetMode="External"/><Relationship Id="rId1749" Type="http://schemas.openxmlformats.org/officeDocument/2006/relationships/hyperlink" Target="https://youtu.be/V3HeXYi9Z5Q" TargetMode="External"/><Relationship Id="rId1748" Type="http://schemas.openxmlformats.org/officeDocument/2006/relationships/hyperlink" Target="https://youtu.be/eeQ8L2bu2wc" TargetMode="External"/><Relationship Id="rId1747" Type="http://schemas.openxmlformats.org/officeDocument/2006/relationships/hyperlink" Target="https://youtu.be/iVc7WUpB3mc" TargetMode="External"/><Relationship Id="rId1746" Type="http://schemas.openxmlformats.org/officeDocument/2006/relationships/hyperlink" Target="https://youtu.be/rkYIqt1NjfI" TargetMode="External"/><Relationship Id="rId1745" Type="http://schemas.openxmlformats.org/officeDocument/2006/relationships/hyperlink" Target="https://youtu.be/f-8w_U7TwoE" TargetMode="External"/><Relationship Id="rId1744" Type="http://schemas.openxmlformats.org/officeDocument/2006/relationships/hyperlink" Target="https://youtu.be/divk-K1l7zM" TargetMode="External"/><Relationship Id="rId1743" Type="http://schemas.openxmlformats.org/officeDocument/2006/relationships/hyperlink" Target="https://youtu.be/BEV6PxlIHI4" TargetMode="External"/><Relationship Id="rId1742" Type="http://schemas.openxmlformats.org/officeDocument/2006/relationships/hyperlink" Target="https://youtu.be/TJYMfmRLsLc" TargetMode="External"/><Relationship Id="rId1741" Type="http://schemas.openxmlformats.org/officeDocument/2006/relationships/hyperlink" Target="https://youtu.be/jV4aY0VtOFk" TargetMode="External"/><Relationship Id="rId1740" Type="http://schemas.openxmlformats.org/officeDocument/2006/relationships/hyperlink" Target="https://youtu.be/TBDXemkdfVM" TargetMode="External"/><Relationship Id="rId174" Type="http://schemas.openxmlformats.org/officeDocument/2006/relationships/hyperlink" Target="https://youtu.be/svXtXWC-XIo" TargetMode="External"/><Relationship Id="rId1739" Type="http://schemas.openxmlformats.org/officeDocument/2006/relationships/hyperlink" Target="https://youtu.be/AAEIp74cyUg" TargetMode="External"/><Relationship Id="rId1738" Type="http://schemas.openxmlformats.org/officeDocument/2006/relationships/hyperlink" Target="https://youtu.be/zYjtSJVFLlg" TargetMode="External"/><Relationship Id="rId1737" Type="http://schemas.openxmlformats.org/officeDocument/2006/relationships/hyperlink" Target="https://youtu.be/oBwgZPKYNA4" TargetMode="External"/><Relationship Id="rId1736" Type="http://schemas.openxmlformats.org/officeDocument/2006/relationships/hyperlink" Target="https://youtu.be/UWagc3u6Guw" TargetMode="External"/><Relationship Id="rId1735" Type="http://schemas.openxmlformats.org/officeDocument/2006/relationships/hyperlink" Target="https://youtu.be/0frkZPC-c0s" TargetMode="External"/><Relationship Id="rId1734" Type="http://schemas.openxmlformats.org/officeDocument/2006/relationships/hyperlink" Target="https://youtu.be/gQZYJhSmw7c" TargetMode="External"/><Relationship Id="rId1733" Type="http://schemas.openxmlformats.org/officeDocument/2006/relationships/hyperlink" Target="https://youtu.be/GmunwLsV9M4" TargetMode="External"/><Relationship Id="rId1732" Type="http://schemas.openxmlformats.org/officeDocument/2006/relationships/hyperlink" Target="https://youtu.be/Knx4OPUxyQo" TargetMode="External"/><Relationship Id="rId1731" Type="http://schemas.openxmlformats.org/officeDocument/2006/relationships/hyperlink" Target="https://youtu.be/hftkNNjhVQA" TargetMode="External"/><Relationship Id="rId1730" Type="http://schemas.openxmlformats.org/officeDocument/2006/relationships/hyperlink" Target="https://youtu.be/GegxWRMH5Zk" TargetMode="External"/><Relationship Id="rId173" Type="http://schemas.openxmlformats.org/officeDocument/2006/relationships/hyperlink" Target="https://youtu.be/dQLFYgCEVJA" TargetMode="External"/><Relationship Id="rId1729" Type="http://schemas.openxmlformats.org/officeDocument/2006/relationships/hyperlink" Target="https://youtu.be/raLFLiap4vA" TargetMode="External"/><Relationship Id="rId1728" Type="http://schemas.openxmlformats.org/officeDocument/2006/relationships/hyperlink" Target="https://youtu.be/Cz8qVeNmcw0" TargetMode="External"/><Relationship Id="rId1727" Type="http://schemas.openxmlformats.org/officeDocument/2006/relationships/hyperlink" Target="https://youtu.be/bs2zTC0FoS8" TargetMode="External"/><Relationship Id="rId1726" Type="http://schemas.openxmlformats.org/officeDocument/2006/relationships/hyperlink" Target="https://youtu.be/Xzz9bWwcg3g" TargetMode="External"/><Relationship Id="rId1725" Type="http://schemas.openxmlformats.org/officeDocument/2006/relationships/hyperlink" Target="https://youtu.be/lLcG7bNvbjA" TargetMode="External"/><Relationship Id="rId1724" Type="http://schemas.openxmlformats.org/officeDocument/2006/relationships/hyperlink" Target="https://youtu.be/S7WJtQYU8i4" TargetMode="External"/><Relationship Id="rId1723" Type="http://schemas.openxmlformats.org/officeDocument/2006/relationships/hyperlink" Target="https://youtu.be/bSAtztj37hM" TargetMode="External"/><Relationship Id="rId1722" Type="http://schemas.openxmlformats.org/officeDocument/2006/relationships/hyperlink" Target="https://youtu.be/lD4DfF7Kjgw" TargetMode="External"/><Relationship Id="rId1721" Type="http://schemas.openxmlformats.org/officeDocument/2006/relationships/hyperlink" Target="https://youtu.be/BbAxZoIeznI" TargetMode="External"/><Relationship Id="rId1720" Type="http://schemas.openxmlformats.org/officeDocument/2006/relationships/hyperlink" Target="https://youtu.be/Ln4956Wx65E" TargetMode="External"/><Relationship Id="rId172" Type="http://schemas.openxmlformats.org/officeDocument/2006/relationships/hyperlink" Target="https://youtu.be/FdpK1gdkC-U" TargetMode="External"/><Relationship Id="rId1719" Type="http://schemas.openxmlformats.org/officeDocument/2006/relationships/hyperlink" Target="https://youtu.be/4q-vzeFwqIw" TargetMode="External"/><Relationship Id="rId1718" Type="http://schemas.openxmlformats.org/officeDocument/2006/relationships/hyperlink" Target="https://youtu.be/DVnhSquA9no" TargetMode="External"/><Relationship Id="rId1717" Type="http://schemas.openxmlformats.org/officeDocument/2006/relationships/hyperlink" Target="https://youtu.be/8EjaBhwZmJ0" TargetMode="External"/><Relationship Id="rId1716" Type="http://schemas.openxmlformats.org/officeDocument/2006/relationships/hyperlink" Target="https://youtu.be/1VyPkzP9S-s" TargetMode="External"/><Relationship Id="rId1715" Type="http://schemas.openxmlformats.org/officeDocument/2006/relationships/hyperlink" Target="https://youtu.be/qQQ1OHW1_F4" TargetMode="External"/><Relationship Id="rId1714" Type="http://schemas.openxmlformats.org/officeDocument/2006/relationships/hyperlink" Target="https://youtu.be/haX1erwHkXc" TargetMode="External"/><Relationship Id="rId1713" Type="http://schemas.openxmlformats.org/officeDocument/2006/relationships/hyperlink" Target="https://youtu.be/_SAuno-NmcI" TargetMode="External"/><Relationship Id="rId1712" Type="http://schemas.openxmlformats.org/officeDocument/2006/relationships/hyperlink" Target="https://youtu.be/I2_RYliE8uI" TargetMode="External"/><Relationship Id="rId1711" Type="http://schemas.openxmlformats.org/officeDocument/2006/relationships/hyperlink" Target="https://youtu.be/hsFpnT-0Ux0" TargetMode="External"/><Relationship Id="rId1710" Type="http://schemas.openxmlformats.org/officeDocument/2006/relationships/hyperlink" Target="https://youtu.be/4E5t-UJtYxM" TargetMode="External"/><Relationship Id="rId171" Type="http://schemas.openxmlformats.org/officeDocument/2006/relationships/hyperlink" Target="https://youtu.be/kwl9qAfGHwU" TargetMode="External"/><Relationship Id="rId1709" Type="http://schemas.openxmlformats.org/officeDocument/2006/relationships/hyperlink" Target="https://youtu.be/XtX1KNOFVMY" TargetMode="External"/><Relationship Id="rId1708" Type="http://schemas.openxmlformats.org/officeDocument/2006/relationships/hyperlink" Target="https://youtu.be/jiDcCrUQmsM" TargetMode="External"/><Relationship Id="rId1707" Type="http://schemas.openxmlformats.org/officeDocument/2006/relationships/hyperlink" Target="https://youtu.be/P1uhTlnGZM0" TargetMode="External"/><Relationship Id="rId1706" Type="http://schemas.openxmlformats.org/officeDocument/2006/relationships/hyperlink" Target="https://youtu.be/bVw8seV9Tfc" TargetMode="External"/><Relationship Id="rId1705" Type="http://schemas.openxmlformats.org/officeDocument/2006/relationships/hyperlink" Target="https://youtu.be/rXD4ldp-W8M" TargetMode="External"/><Relationship Id="rId1704" Type="http://schemas.openxmlformats.org/officeDocument/2006/relationships/hyperlink" Target="https://youtu.be/TrsKZma-LTk" TargetMode="External"/><Relationship Id="rId1703" Type="http://schemas.openxmlformats.org/officeDocument/2006/relationships/hyperlink" Target="https://youtu.be/jwQM9IRTAuw" TargetMode="External"/><Relationship Id="rId1702" Type="http://schemas.openxmlformats.org/officeDocument/2006/relationships/hyperlink" Target="https://youtu.be/klRFSA_auPg" TargetMode="External"/><Relationship Id="rId1701" Type="http://schemas.openxmlformats.org/officeDocument/2006/relationships/hyperlink" Target="https://youtu.be/McOy9jSi88o" TargetMode="External"/><Relationship Id="rId1700" Type="http://schemas.openxmlformats.org/officeDocument/2006/relationships/hyperlink" Target="https://youtu.be/3Lqx5nERAwQ" TargetMode="External"/><Relationship Id="rId170" Type="http://schemas.openxmlformats.org/officeDocument/2006/relationships/hyperlink" Target="https://youtu.be/WoJEWoBEfQs" TargetMode="External"/><Relationship Id="rId17" Type="http://schemas.openxmlformats.org/officeDocument/2006/relationships/hyperlink" Target="https://youtu.be/gp_38ckItoE" TargetMode="External"/><Relationship Id="rId1699" Type="http://schemas.openxmlformats.org/officeDocument/2006/relationships/hyperlink" Target="https://youtu.be/LZp9LZH-DNA" TargetMode="External"/><Relationship Id="rId1698" Type="http://schemas.openxmlformats.org/officeDocument/2006/relationships/hyperlink" Target="https://youtu.be/-GCnqvLjvZw" TargetMode="External"/><Relationship Id="rId1697" Type="http://schemas.openxmlformats.org/officeDocument/2006/relationships/hyperlink" Target="https://youtu.be/YXLAWlPAnKc" TargetMode="External"/><Relationship Id="rId1696" Type="http://schemas.openxmlformats.org/officeDocument/2006/relationships/hyperlink" Target="https://youtu.be/QnkCpdofiXI" TargetMode="External"/><Relationship Id="rId1695" Type="http://schemas.openxmlformats.org/officeDocument/2006/relationships/hyperlink" Target="https://youtu.be/q7p9yXVgeNw" TargetMode="External"/><Relationship Id="rId1694" Type="http://schemas.openxmlformats.org/officeDocument/2006/relationships/hyperlink" Target="https://youtu.be/xCvcvyRqWOc" TargetMode="External"/><Relationship Id="rId1693" Type="http://schemas.openxmlformats.org/officeDocument/2006/relationships/hyperlink" Target="https://youtu.be/tfVGlnXQaxU" TargetMode="External"/><Relationship Id="rId1692" Type="http://schemas.openxmlformats.org/officeDocument/2006/relationships/hyperlink" Target="https://youtu.be/sGDNlCiJnhc" TargetMode="External"/><Relationship Id="rId1691" Type="http://schemas.openxmlformats.org/officeDocument/2006/relationships/hyperlink" Target="https://youtu.be/pquxJ0Z5JyQ" TargetMode="External"/><Relationship Id="rId1690" Type="http://schemas.openxmlformats.org/officeDocument/2006/relationships/hyperlink" Target="https://youtu.be/nPWDPj3XI3c" TargetMode="External"/><Relationship Id="rId169" Type="http://schemas.openxmlformats.org/officeDocument/2006/relationships/hyperlink" Target="https://youtu.be/Y9z42yYuexM" TargetMode="External"/><Relationship Id="rId1689" Type="http://schemas.openxmlformats.org/officeDocument/2006/relationships/hyperlink" Target="https://youtu.be/kkrADP3KRIc" TargetMode="External"/><Relationship Id="rId1688" Type="http://schemas.openxmlformats.org/officeDocument/2006/relationships/hyperlink" Target="https://youtu.be/hsQC0fCHJRQ" TargetMode="External"/><Relationship Id="rId1687" Type="http://schemas.openxmlformats.org/officeDocument/2006/relationships/hyperlink" Target="https://youtu.be/hUfHHeuU6XU" TargetMode="External"/><Relationship Id="rId1686" Type="http://schemas.openxmlformats.org/officeDocument/2006/relationships/hyperlink" Target="https://youtu.be/gzXc2mS-QyM" TargetMode="External"/><Relationship Id="rId1685" Type="http://schemas.openxmlformats.org/officeDocument/2006/relationships/hyperlink" Target="https://youtu.be/fpRpf7DPi88" TargetMode="External"/><Relationship Id="rId1684" Type="http://schemas.openxmlformats.org/officeDocument/2006/relationships/hyperlink" Target="https://youtu.be/dtvn_Es2azY" TargetMode="External"/><Relationship Id="rId1683" Type="http://schemas.openxmlformats.org/officeDocument/2006/relationships/hyperlink" Target="https://youtu.be/YA80UJnCj_s" TargetMode="External"/><Relationship Id="rId1682" Type="http://schemas.openxmlformats.org/officeDocument/2006/relationships/hyperlink" Target="https://youtu.be/XRB4rFlthpM" TargetMode="External"/><Relationship Id="rId1681" Type="http://schemas.openxmlformats.org/officeDocument/2006/relationships/hyperlink" Target="https://youtu.be/Wuu0uoqtdMk" TargetMode="External"/><Relationship Id="rId1680" Type="http://schemas.openxmlformats.org/officeDocument/2006/relationships/hyperlink" Target="https://youtu.be/VpFV-ga3yoU" TargetMode="External"/><Relationship Id="rId168" Type="http://schemas.openxmlformats.org/officeDocument/2006/relationships/hyperlink" Target="https://youtu.be/Q0CQoqZM4cU" TargetMode="External"/><Relationship Id="rId1679" Type="http://schemas.openxmlformats.org/officeDocument/2006/relationships/hyperlink" Target="https://youtu.be/TtrM8F_yBkA" TargetMode="External"/><Relationship Id="rId1678" Type="http://schemas.openxmlformats.org/officeDocument/2006/relationships/hyperlink" Target="https://youtu.be/LGzkzZcWje0" TargetMode="External"/><Relationship Id="rId1677" Type="http://schemas.openxmlformats.org/officeDocument/2006/relationships/hyperlink" Target="https://youtu.be/JV9_ZjKML84" TargetMode="External"/><Relationship Id="rId1676" Type="http://schemas.openxmlformats.org/officeDocument/2006/relationships/hyperlink" Target="https://youtu.be/IjJMm0iWZCE" TargetMode="External"/><Relationship Id="rId1675" Type="http://schemas.openxmlformats.org/officeDocument/2006/relationships/hyperlink" Target="https://youtu.be/D4UJfh5TASw" TargetMode="External"/><Relationship Id="rId1674" Type="http://schemas.openxmlformats.org/officeDocument/2006/relationships/hyperlink" Target="https://youtu.be/AnqBAshgWE0" TargetMode="External"/><Relationship Id="rId1673" Type="http://schemas.openxmlformats.org/officeDocument/2006/relationships/hyperlink" Target="https://youtu.be/76jJAbNvUYw" TargetMode="External"/><Relationship Id="rId1672" Type="http://schemas.openxmlformats.org/officeDocument/2006/relationships/hyperlink" Target="https://youtu.be/4XF048cJl6s" TargetMode="External"/><Relationship Id="rId1671" Type="http://schemas.openxmlformats.org/officeDocument/2006/relationships/hyperlink" Target="https://youtu.be/2KAFV-aEAns" TargetMode="External"/><Relationship Id="rId1670" Type="http://schemas.openxmlformats.org/officeDocument/2006/relationships/hyperlink" Target="https://youtu.be/xyAwdmUzxus" TargetMode="External"/><Relationship Id="rId167" Type="http://schemas.openxmlformats.org/officeDocument/2006/relationships/hyperlink" Target="https://youtu.be/9Ar0y6tIx74" TargetMode="External"/><Relationship Id="rId1669" Type="http://schemas.openxmlformats.org/officeDocument/2006/relationships/hyperlink" Target="https://youtu.be/o3_ljJlkkXo" TargetMode="External"/><Relationship Id="rId1668" Type="http://schemas.openxmlformats.org/officeDocument/2006/relationships/hyperlink" Target="https://youtu.be/Y-NhhPMTfAc" TargetMode="External"/><Relationship Id="rId1667" Type="http://schemas.openxmlformats.org/officeDocument/2006/relationships/hyperlink" Target="https://youtu.be/3lwy8xxJxKo" TargetMode="External"/><Relationship Id="rId1666" Type="http://schemas.openxmlformats.org/officeDocument/2006/relationships/hyperlink" Target="https://youtu.be/HQEIy_6mAo4" TargetMode="External"/><Relationship Id="rId1665" Type="http://schemas.openxmlformats.org/officeDocument/2006/relationships/hyperlink" Target="https://youtu.be/ih9jPaZct1w" TargetMode="External"/><Relationship Id="rId1664" Type="http://schemas.openxmlformats.org/officeDocument/2006/relationships/hyperlink" Target="https://youtu.be/WtdRNDiqaXE" TargetMode="External"/><Relationship Id="rId1663" Type="http://schemas.openxmlformats.org/officeDocument/2006/relationships/hyperlink" Target="https://youtu.be/-e8idObe74U" TargetMode="External"/><Relationship Id="rId1662" Type="http://schemas.openxmlformats.org/officeDocument/2006/relationships/hyperlink" Target="https://youtu.be/KbKPSEli2i0" TargetMode="External"/><Relationship Id="rId1661" Type="http://schemas.openxmlformats.org/officeDocument/2006/relationships/hyperlink" Target="https://youtu.be/hHHfLZ2tqU8" TargetMode="External"/><Relationship Id="rId1660" Type="http://schemas.openxmlformats.org/officeDocument/2006/relationships/hyperlink" Target="https://youtu.be/_ji6oPgj2VY" TargetMode="External"/><Relationship Id="rId166" Type="http://schemas.openxmlformats.org/officeDocument/2006/relationships/hyperlink" Target="https://youtu.be/eh5yIeIfauQ" TargetMode="External"/><Relationship Id="rId1659" Type="http://schemas.openxmlformats.org/officeDocument/2006/relationships/hyperlink" Target="https://youtu.be/ovD2HZ_H4IU" TargetMode="External"/><Relationship Id="rId1658" Type="http://schemas.openxmlformats.org/officeDocument/2006/relationships/hyperlink" Target="https://youtu.be/WhbL1GfpsUs" TargetMode="External"/><Relationship Id="rId1657" Type="http://schemas.openxmlformats.org/officeDocument/2006/relationships/hyperlink" Target="https://youtu.be/D1aFkm_xDoE" TargetMode="External"/><Relationship Id="rId1656" Type="http://schemas.openxmlformats.org/officeDocument/2006/relationships/hyperlink" Target="https://youtu.be/Anf1Ef5rc04" TargetMode="External"/><Relationship Id="rId1655" Type="http://schemas.openxmlformats.org/officeDocument/2006/relationships/hyperlink" Target="https://youtu.be/Fxl0QPxEMSU" TargetMode="External"/><Relationship Id="rId1654" Type="http://schemas.openxmlformats.org/officeDocument/2006/relationships/hyperlink" Target="https://youtu.be/jrNslz6boeg" TargetMode="External"/><Relationship Id="rId1653" Type="http://schemas.openxmlformats.org/officeDocument/2006/relationships/hyperlink" Target="https://youtu.be/1C_ol4KZkRU" TargetMode="External"/><Relationship Id="rId1652" Type="http://schemas.openxmlformats.org/officeDocument/2006/relationships/hyperlink" Target="https://youtu.be/JDXHQDuDwsI" TargetMode="External"/><Relationship Id="rId1651" Type="http://schemas.openxmlformats.org/officeDocument/2006/relationships/hyperlink" Target="https://youtu.be/TyKlyV40vrk" TargetMode="External"/><Relationship Id="rId1650" Type="http://schemas.openxmlformats.org/officeDocument/2006/relationships/hyperlink" Target="https://youtu.be/qwaH6hJU3rc" TargetMode="External"/><Relationship Id="rId165" Type="http://schemas.openxmlformats.org/officeDocument/2006/relationships/hyperlink" Target="https://youtu.be/idYLk-ggv9Y" TargetMode="External"/><Relationship Id="rId1649" Type="http://schemas.openxmlformats.org/officeDocument/2006/relationships/hyperlink" Target="https://youtu.be/hnoue1s9H6A" TargetMode="External"/><Relationship Id="rId1648" Type="http://schemas.openxmlformats.org/officeDocument/2006/relationships/hyperlink" Target="https://youtu.be/_FoJWCavo9s" TargetMode="External"/><Relationship Id="rId1647" Type="http://schemas.openxmlformats.org/officeDocument/2006/relationships/hyperlink" Target="https://youtu.be/W35gHSMijEA" TargetMode="External"/><Relationship Id="rId1646" Type="http://schemas.openxmlformats.org/officeDocument/2006/relationships/hyperlink" Target="https://youtu.be/PQYXTaBur34" TargetMode="External"/><Relationship Id="rId1645" Type="http://schemas.openxmlformats.org/officeDocument/2006/relationships/hyperlink" Target="https://youtu.be/P-ZEMPVBEI0" TargetMode="External"/><Relationship Id="rId1644" Type="http://schemas.openxmlformats.org/officeDocument/2006/relationships/hyperlink" Target="https://youtu.be/lnVque_-f7U" TargetMode="External"/><Relationship Id="rId1643" Type="http://schemas.openxmlformats.org/officeDocument/2006/relationships/hyperlink" Target="https://youtu.be/BYN5RGRa9_E" TargetMode="External"/><Relationship Id="rId1642" Type="http://schemas.openxmlformats.org/officeDocument/2006/relationships/hyperlink" Target="https://youtu.be/uvUcXwctK7g" TargetMode="External"/><Relationship Id="rId1641" Type="http://schemas.openxmlformats.org/officeDocument/2006/relationships/hyperlink" Target="https://youtu.be/2WHio97W4wE" TargetMode="External"/><Relationship Id="rId1640" Type="http://schemas.openxmlformats.org/officeDocument/2006/relationships/hyperlink" Target="https://youtu.be/5AGbFs5ERlI" TargetMode="External"/><Relationship Id="rId164" Type="http://schemas.openxmlformats.org/officeDocument/2006/relationships/hyperlink" Target="https://youtu.be/6dBq_Xa7tPQ" TargetMode="External"/><Relationship Id="rId1639" Type="http://schemas.openxmlformats.org/officeDocument/2006/relationships/hyperlink" Target="https://youtu.be/4pNY24rXBCI" TargetMode="External"/><Relationship Id="rId1638" Type="http://schemas.openxmlformats.org/officeDocument/2006/relationships/hyperlink" Target="https://youtu.be/SDgyQSyb2Qo" TargetMode="External"/><Relationship Id="rId1637" Type="http://schemas.openxmlformats.org/officeDocument/2006/relationships/hyperlink" Target="https://youtu.be/Ebhi5h8uzl8" TargetMode="External"/><Relationship Id="rId1636" Type="http://schemas.openxmlformats.org/officeDocument/2006/relationships/hyperlink" Target="https://youtu.be/TX0879xb2DU" TargetMode="External"/><Relationship Id="rId1635" Type="http://schemas.openxmlformats.org/officeDocument/2006/relationships/hyperlink" Target="https://youtu.be/UpgjEm5aH3U" TargetMode="External"/><Relationship Id="rId1634" Type="http://schemas.openxmlformats.org/officeDocument/2006/relationships/hyperlink" Target="https://youtu.be/Cb6z7ThvQL0" TargetMode="External"/><Relationship Id="rId1633" Type="http://schemas.openxmlformats.org/officeDocument/2006/relationships/hyperlink" Target="https://youtu.be/qoH0EEP1GTM" TargetMode="External"/><Relationship Id="rId1632" Type="http://schemas.openxmlformats.org/officeDocument/2006/relationships/hyperlink" Target="https://youtu.be/KyZqSWWKmHQ" TargetMode="External"/><Relationship Id="rId1631" Type="http://schemas.openxmlformats.org/officeDocument/2006/relationships/hyperlink" Target="https://youtu.be/G5ZiTblKME0" TargetMode="External"/><Relationship Id="rId1630" Type="http://schemas.openxmlformats.org/officeDocument/2006/relationships/hyperlink" Target="https://youtu.be/IeA41Uyazdg" TargetMode="External"/><Relationship Id="rId163" Type="http://schemas.openxmlformats.org/officeDocument/2006/relationships/hyperlink" Target="https://youtu.be/2qY9i7P06vs" TargetMode="External"/><Relationship Id="rId1629" Type="http://schemas.openxmlformats.org/officeDocument/2006/relationships/hyperlink" Target="https://youtu.be/lzlDaiFHfzk" TargetMode="External"/><Relationship Id="rId1628" Type="http://schemas.openxmlformats.org/officeDocument/2006/relationships/hyperlink" Target="https://youtu.be/3rQQO6xINnU" TargetMode="External"/><Relationship Id="rId1627" Type="http://schemas.openxmlformats.org/officeDocument/2006/relationships/hyperlink" Target="https://youtu.be/AIrIhDj96CQ" TargetMode="External"/><Relationship Id="rId1626" Type="http://schemas.openxmlformats.org/officeDocument/2006/relationships/hyperlink" Target="https://youtu.be/Cf6fRjgVzyM" TargetMode="External"/><Relationship Id="rId1625" Type="http://schemas.openxmlformats.org/officeDocument/2006/relationships/hyperlink" Target="https://youtu.be/gNAyBekeVyw" TargetMode="External"/><Relationship Id="rId1624" Type="http://schemas.openxmlformats.org/officeDocument/2006/relationships/hyperlink" Target="https://youtu.be/a3oVdB8Jx7c" TargetMode="External"/><Relationship Id="rId1623" Type="http://schemas.openxmlformats.org/officeDocument/2006/relationships/hyperlink" Target="https://youtu.be/1OHRmzCP6HQ" TargetMode="External"/><Relationship Id="rId1622" Type="http://schemas.openxmlformats.org/officeDocument/2006/relationships/hyperlink" Target="https://youtu.be/fxKcYPxL6Jw" TargetMode="External"/><Relationship Id="rId1621" Type="http://schemas.openxmlformats.org/officeDocument/2006/relationships/hyperlink" Target="https://youtu.be/isEGcax2YSQ" TargetMode="External"/><Relationship Id="rId1620" Type="http://schemas.openxmlformats.org/officeDocument/2006/relationships/hyperlink" Target="https://youtu.be/rgBCcmOha8w" TargetMode="External"/><Relationship Id="rId162" Type="http://schemas.openxmlformats.org/officeDocument/2006/relationships/hyperlink" Target="https://youtu.be/XUis8QWRexw" TargetMode="External"/><Relationship Id="rId1619" Type="http://schemas.openxmlformats.org/officeDocument/2006/relationships/hyperlink" Target="https://youtu.be/l9GD3wcbPyw" TargetMode="External"/><Relationship Id="rId1618" Type="http://schemas.openxmlformats.org/officeDocument/2006/relationships/hyperlink" Target="https://youtu.be/1X3C9Riawms" TargetMode="External"/><Relationship Id="rId1617" Type="http://schemas.openxmlformats.org/officeDocument/2006/relationships/hyperlink" Target="https://youtu.be/1G82bXHR9Mw" TargetMode="External"/><Relationship Id="rId1616" Type="http://schemas.openxmlformats.org/officeDocument/2006/relationships/hyperlink" Target="https://youtu.be/G0p4-DlYh0s" TargetMode="External"/><Relationship Id="rId1615" Type="http://schemas.openxmlformats.org/officeDocument/2006/relationships/hyperlink" Target="https://youtu.be/o0vpGOYLlZ4" TargetMode="External"/><Relationship Id="rId1614" Type="http://schemas.openxmlformats.org/officeDocument/2006/relationships/hyperlink" Target="https://youtu.be/gux0bynbo-I" TargetMode="External"/><Relationship Id="rId1613" Type="http://schemas.openxmlformats.org/officeDocument/2006/relationships/hyperlink" Target="https://youtu.be/xYVF_TD-mKs" TargetMode="External"/><Relationship Id="rId1612" Type="http://schemas.openxmlformats.org/officeDocument/2006/relationships/hyperlink" Target="https://youtu.be/mxTAw0LOj3I" TargetMode="External"/><Relationship Id="rId1611" Type="http://schemas.openxmlformats.org/officeDocument/2006/relationships/hyperlink" Target="https://youtu.be/fR68TyEUr2I" TargetMode="External"/><Relationship Id="rId1610" Type="http://schemas.openxmlformats.org/officeDocument/2006/relationships/hyperlink" Target="https://youtu.be/dXwmxNoCi68" TargetMode="External"/><Relationship Id="rId161" Type="http://schemas.openxmlformats.org/officeDocument/2006/relationships/hyperlink" Target="https://youtu.be/u3IDh4LSGAM" TargetMode="External"/><Relationship Id="rId1609" Type="http://schemas.openxmlformats.org/officeDocument/2006/relationships/hyperlink" Target="https://youtu.be/WyzTFxVw0ds" TargetMode="External"/><Relationship Id="rId1608" Type="http://schemas.openxmlformats.org/officeDocument/2006/relationships/hyperlink" Target="https://youtu.be/R4nf3_FPUCs" TargetMode="External"/><Relationship Id="rId1607" Type="http://schemas.openxmlformats.org/officeDocument/2006/relationships/hyperlink" Target="https://youtu.be/5oxunXFwznw" TargetMode="External"/><Relationship Id="rId1606" Type="http://schemas.openxmlformats.org/officeDocument/2006/relationships/hyperlink" Target="https://youtu.be/5nLFNG-Njlo" TargetMode="External"/><Relationship Id="rId1605" Type="http://schemas.openxmlformats.org/officeDocument/2006/relationships/hyperlink" Target="https://youtu.be/xnMMi0dMwy4" TargetMode="External"/><Relationship Id="rId1604" Type="http://schemas.openxmlformats.org/officeDocument/2006/relationships/hyperlink" Target="https://youtu.be/ktPYMSm-zso" TargetMode="External"/><Relationship Id="rId1603" Type="http://schemas.openxmlformats.org/officeDocument/2006/relationships/hyperlink" Target="https://youtu.be/jWi7W8YoEwE" TargetMode="External"/><Relationship Id="rId1602" Type="http://schemas.openxmlformats.org/officeDocument/2006/relationships/hyperlink" Target="https://youtu.be/A6ssLbni4ho" TargetMode="External"/><Relationship Id="rId1601" Type="http://schemas.openxmlformats.org/officeDocument/2006/relationships/hyperlink" Target="https://youtu.be/0wgVfGBCME0" TargetMode="External"/><Relationship Id="rId1600" Type="http://schemas.openxmlformats.org/officeDocument/2006/relationships/hyperlink" Target="https://youtu.be/jqBYRpF_4qE" TargetMode="External"/><Relationship Id="rId160" Type="http://schemas.openxmlformats.org/officeDocument/2006/relationships/hyperlink" Target="https://youtu.be/CrvvmLAi31w" TargetMode="External"/><Relationship Id="rId16" Type="http://schemas.openxmlformats.org/officeDocument/2006/relationships/hyperlink" Target="https://youtu.be/f_BVxjAEVfA" TargetMode="External"/><Relationship Id="rId1599" Type="http://schemas.openxmlformats.org/officeDocument/2006/relationships/hyperlink" Target="https://youtu.be/cjqqnIJTZx4" TargetMode="External"/><Relationship Id="rId1598" Type="http://schemas.openxmlformats.org/officeDocument/2006/relationships/hyperlink" Target="https://youtu.be/2_rXzMAYZAM" TargetMode="External"/><Relationship Id="rId1597" Type="http://schemas.openxmlformats.org/officeDocument/2006/relationships/hyperlink" Target="https://youtu.be/7Aa_-FSR7VU" TargetMode="External"/><Relationship Id="rId1596" Type="http://schemas.openxmlformats.org/officeDocument/2006/relationships/hyperlink" Target="https://youtu.be/UerzZ7Hswww" TargetMode="External"/><Relationship Id="rId1595" Type="http://schemas.openxmlformats.org/officeDocument/2006/relationships/hyperlink" Target="https://youtu.be/nlCGvGoHHFE" TargetMode="External"/><Relationship Id="rId1594" Type="http://schemas.openxmlformats.org/officeDocument/2006/relationships/hyperlink" Target="https://youtu.be/5d9ykhdHtFc" TargetMode="External"/><Relationship Id="rId1593" Type="http://schemas.openxmlformats.org/officeDocument/2006/relationships/hyperlink" Target="https://youtu.be/EJL6JJMF8mY" TargetMode="External"/><Relationship Id="rId1592" Type="http://schemas.openxmlformats.org/officeDocument/2006/relationships/hyperlink" Target="https://youtu.be/64w8n53NFyA" TargetMode="External"/><Relationship Id="rId1591" Type="http://schemas.openxmlformats.org/officeDocument/2006/relationships/hyperlink" Target="https://youtu.be/9Tac-QmJ6Y8" TargetMode="External"/><Relationship Id="rId1590" Type="http://schemas.openxmlformats.org/officeDocument/2006/relationships/hyperlink" Target="https://youtu.be/aw0WBQubB5g" TargetMode="External"/><Relationship Id="rId159" Type="http://schemas.openxmlformats.org/officeDocument/2006/relationships/hyperlink" Target="https://youtu.be/6OiQGPe4Jy4" TargetMode="External"/><Relationship Id="rId1589" Type="http://schemas.openxmlformats.org/officeDocument/2006/relationships/hyperlink" Target="https://youtu.be/p6htXcpgWtw" TargetMode="External"/><Relationship Id="rId1588" Type="http://schemas.openxmlformats.org/officeDocument/2006/relationships/hyperlink" Target="https://youtu.be/JPSN4PwL1Mg" TargetMode="External"/><Relationship Id="rId1587" Type="http://schemas.openxmlformats.org/officeDocument/2006/relationships/hyperlink" Target="https://youtu.be/YmOa9ypr7lY" TargetMode="External"/><Relationship Id="rId1586" Type="http://schemas.openxmlformats.org/officeDocument/2006/relationships/hyperlink" Target="https://youtu.be/ULFZAjni62s" TargetMode="External"/><Relationship Id="rId1585" Type="http://schemas.openxmlformats.org/officeDocument/2006/relationships/hyperlink" Target="https://youtu.be/VBAeI136jZk" TargetMode="External"/><Relationship Id="rId1584" Type="http://schemas.openxmlformats.org/officeDocument/2006/relationships/hyperlink" Target="https://youtu.be/UaGOwk4n7S4" TargetMode="External"/><Relationship Id="rId1583" Type="http://schemas.openxmlformats.org/officeDocument/2006/relationships/hyperlink" Target="https://youtu.be/k_nNirN_sPA" TargetMode="External"/><Relationship Id="rId1582" Type="http://schemas.openxmlformats.org/officeDocument/2006/relationships/hyperlink" Target="https://youtu.be/LlRvaqULWCU" TargetMode="External"/><Relationship Id="rId1581" Type="http://schemas.openxmlformats.org/officeDocument/2006/relationships/hyperlink" Target="https://youtu.be/ymxhMZF7Gqs" TargetMode="External"/><Relationship Id="rId1580" Type="http://schemas.openxmlformats.org/officeDocument/2006/relationships/hyperlink" Target="https://youtu.be/qpfo302v45Y" TargetMode="External"/><Relationship Id="rId158" Type="http://schemas.openxmlformats.org/officeDocument/2006/relationships/hyperlink" Target="https://youtu.be/z3DqAxELz0g" TargetMode="External"/><Relationship Id="rId1579" Type="http://schemas.openxmlformats.org/officeDocument/2006/relationships/hyperlink" Target="https://youtu.be/p5ag-Uj9C7U" TargetMode="External"/><Relationship Id="rId1578" Type="http://schemas.openxmlformats.org/officeDocument/2006/relationships/hyperlink" Target="https://youtu.be/6BAy2fiBElU" TargetMode="External"/><Relationship Id="rId1577" Type="http://schemas.openxmlformats.org/officeDocument/2006/relationships/hyperlink" Target="https://youtu.be/ykVJQnFrcro" TargetMode="External"/><Relationship Id="rId1576" Type="http://schemas.openxmlformats.org/officeDocument/2006/relationships/hyperlink" Target="https://youtu.be/XH4VVpfr9Bs" TargetMode="External"/><Relationship Id="rId1575" Type="http://schemas.openxmlformats.org/officeDocument/2006/relationships/hyperlink" Target="https://youtu.be/nRahIBmnHXY" TargetMode="External"/><Relationship Id="rId1574" Type="http://schemas.openxmlformats.org/officeDocument/2006/relationships/hyperlink" Target="https://youtu.be/Me0_BFPoJl4" TargetMode="External"/><Relationship Id="rId1573" Type="http://schemas.openxmlformats.org/officeDocument/2006/relationships/hyperlink" Target="https://youtu.be/zMYkjggNvC0" TargetMode="External"/><Relationship Id="rId1572" Type="http://schemas.openxmlformats.org/officeDocument/2006/relationships/hyperlink" Target="https://youtu.be/18aES_kmF9k" TargetMode="External"/><Relationship Id="rId1571" Type="http://schemas.openxmlformats.org/officeDocument/2006/relationships/hyperlink" Target="https://youtu.be/1WHdQ7QOeiE" TargetMode="External"/><Relationship Id="rId1570" Type="http://schemas.openxmlformats.org/officeDocument/2006/relationships/hyperlink" Target="https://youtu.be/UxlWfjjNUcE" TargetMode="External"/><Relationship Id="rId157" Type="http://schemas.openxmlformats.org/officeDocument/2006/relationships/hyperlink" Target="https://youtu.be/C2jbAjcMLxE" TargetMode="External"/><Relationship Id="rId1569" Type="http://schemas.openxmlformats.org/officeDocument/2006/relationships/hyperlink" Target="https://youtu.be/inJ18-aK-3Q" TargetMode="External"/><Relationship Id="rId1568" Type="http://schemas.openxmlformats.org/officeDocument/2006/relationships/hyperlink" Target="https://youtu.be/5nSH4KzsJ2I" TargetMode="External"/><Relationship Id="rId1567" Type="http://schemas.openxmlformats.org/officeDocument/2006/relationships/hyperlink" Target="https://youtu.be/ieR7yhigASg" TargetMode="External"/><Relationship Id="rId1566" Type="http://schemas.openxmlformats.org/officeDocument/2006/relationships/hyperlink" Target="https://youtu.be/5tguE8BEOCI" TargetMode="External"/><Relationship Id="rId1565" Type="http://schemas.openxmlformats.org/officeDocument/2006/relationships/hyperlink" Target="https://youtu.be/KmSRAh7IElk" TargetMode="External"/><Relationship Id="rId1564" Type="http://schemas.openxmlformats.org/officeDocument/2006/relationships/hyperlink" Target="https://youtu.be/fAMqb77Dmzk" TargetMode="External"/><Relationship Id="rId1563" Type="http://schemas.openxmlformats.org/officeDocument/2006/relationships/hyperlink" Target="https://youtu.be/wLZyqBKhDPo" TargetMode="External"/><Relationship Id="rId1562" Type="http://schemas.openxmlformats.org/officeDocument/2006/relationships/hyperlink" Target="https://youtu.be/qZxXh0Yh5gI" TargetMode="External"/><Relationship Id="rId1561" Type="http://schemas.openxmlformats.org/officeDocument/2006/relationships/hyperlink" Target="https://youtu.be/2XGjhl1c6fg" TargetMode="External"/><Relationship Id="rId1560" Type="http://schemas.openxmlformats.org/officeDocument/2006/relationships/hyperlink" Target="https://youtu.be/SA-lxPubG8k" TargetMode="External"/><Relationship Id="rId156" Type="http://schemas.openxmlformats.org/officeDocument/2006/relationships/hyperlink" Target="https://youtu.be/V7MbVLYYKTA" TargetMode="External"/><Relationship Id="rId1559" Type="http://schemas.openxmlformats.org/officeDocument/2006/relationships/hyperlink" Target="https://youtu.be/foFz0aQUYps" TargetMode="External"/><Relationship Id="rId1558" Type="http://schemas.openxmlformats.org/officeDocument/2006/relationships/hyperlink" Target="https://youtu.be/G62Mnt9bmcI" TargetMode="External"/><Relationship Id="rId1557" Type="http://schemas.openxmlformats.org/officeDocument/2006/relationships/hyperlink" Target="https://youtu.be/QteZk_WsJ1I" TargetMode="External"/><Relationship Id="rId1556" Type="http://schemas.openxmlformats.org/officeDocument/2006/relationships/hyperlink" Target="https://youtu.be/cM4qKfNuFX4" TargetMode="External"/><Relationship Id="rId1555" Type="http://schemas.openxmlformats.org/officeDocument/2006/relationships/hyperlink" Target="https://youtu.be/rQ9vJ5BCjUc" TargetMode="External"/><Relationship Id="rId1554" Type="http://schemas.openxmlformats.org/officeDocument/2006/relationships/hyperlink" Target="https://youtu.be/JlM3kfxEVdg" TargetMode="External"/><Relationship Id="rId1553" Type="http://schemas.openxmlformats.org/officeDocument/2006/relationships/hyperlink" Target="https://youtu.be/MyNutgR-BJo" TargetMode="External"/><Relationship Id="rId1552" Type="http://schemas.openxmlformats.org/officeDocument/2006/relationships/hyperlink" Target="https://youtu.be/jPqVGsilZGQ" TargetMode="External"/><Relationship Id="rId1551" Type="http://schemas.openxmlformats.org/officeDocument/2006/relationships/hyperlink" Target="https://youtu.be/8JE8Nk96wWE" TargetMode="External"/><Relationship Id="rId1550" Type="http://schemas.openxmlformats.org/officeDocument/2006/relationships/hyperlink" Target="https://youtu.be/_lGw0MXkIss" TargetMode="External"/><Relationship Id="rId155" Type="http://schemas.openxmlformats.org/officeDocument/2006/relationships/hyperlink" Target="https://youtu.be/8M4KrYptqcM" TargetMode="External"/><Relationship Id="rId1549" Type="http://schemas.openxmlformats.org/officeDocument/2006/relationships/hyperlink" Target="https://youtu.be/6-x4Z8JyKY4" TargetMode="External"/><Relationship Id="rId1548" Type="http://schemas.openxmlformats.org/officeDocument/2006/relationships/hyperlink" Target="https://youtu.be/TMQw8u4Ys0c" TargetMode="External"/><Relationship Id="rId1547" Type="http://schemas.openxmlformats.org/officeDocument/2006/relationships/hyperlink" Target="https://youtu.be/tmj3z-P-V9Y" TargetMode="External"/><Relationship Id="rId1546" Type="http://schemas.openxmlformats.org/officeDocument/2006/relationships/hyperlink" Target="https://youtu.be/xFPm4G3jjwc" TargetMode="External"/><Relationship Id="rId1545" Type="http://schemas.openxmlformats.org/officeDocument/2006/relationships/hyperlink" Target="https://youtu.be/LCbRxZrlGso" TargetMode="External"/><Relationship Id="rId1544" Type="http://schemas.openxmlformats.org/officeDocument/2006/relationships/hyperlink" Target="https://youtu.be/Kqj81JN84Es" TargetMode="External"/><Relationship Id="rId1543" Type="http://schemas.openxmlformats.org/officeDocument/2006/relationships/hyperlink" Target="https://youtu.be/Z3MGF3ASGU0" TargetMode="External"/><Relationship Id="rId1542" Type="http://schemas.openxmlformats.org/officeDocument/2006/relationships/hyperlink" Target="https://youtu.be/PuF6x6S9D28" TargetMode="External"/><Relationship Id="rId1541" Type="http://schemas.openxmlformats.org/officeDocument/2006/relationships/hyperlink" Target="https://youtu.be/UAApvdPJAcY" TargetMode="External"/><Relationship Id="rId1540" Type="http://schemas.openxmlformats.org/officeDocument/2006/relationships/hyperlink" Target="https://youtu.be/MtWzuZ6WZ8E" TargetMode="External"/><Relationship Id="rId154" Type="http://schemas.openxmlformats.org/officeDocument/2006/relationships/hyperlink" Target="https://youtu.be/AwUvh9sluOA" TargetMode="External"/><Relationship Id="rId1539" Type="http://schemas.openxmlformats.org/officeDocument/2006/relationships/hyperlink" Target="https://youtu.be/W8RtvWccU-E" TargetMode="External"/><Relationship Id="rId1538" Type="http://schemas.openxmlformats.org/officeDocument/2006/relationships/hyperlink" Target="https://youtu.be/0zLp1bINKW4" TargetMode="External"/><Relationship Id="rId1537" Type="http://schemas.openxmlformats.org/officeDocument/2006/relationships/hyperlink" Target="https://youtu.be/iIcMvn1g-NA" TargetMode="External"/><Relationship Id="rId1536" Type="http://schemas.openxmlformats.org/officeDocument/2006/relationships/hyperlink" Target="https://youtu.be/_Oo9Hm6p3cI" TargetMode="External"/><Relationship Id="rId1535" Type="http://schemas.openxmlformats.org/officeDocument/2006/relationships/hyperlink" Target="https://youtu.be/RkNN1nVLhag" TargetMode="External"/><Relationship Id="rId1534" Type="http://schemas.openxmlformats.org/officeDocument/2006/relationships/hyperlink" Target="https://youtu.be/FZ1xCAFasRA" TargetMode="External"/><Relationship Id="rId1533" Type="http://schemas.openxmlformats.org/officeDocument/2006/relationships/hyperlink" Target="https://youtu.be/rveJ_STbBjw" TargetMode="External"/><Relationship Id="rId1532" Type="http://schemas.openxmlformats.org/officeDocument/2006/relationships/hyperlink" Target="https://youtu.be/Zy5iLOGMiUc" TargetMode="External"/><Relationship Id="rId1531" Type="http://schemas.openxmlformats.org/officeDocument/2006/relationships/hyperlink" Target="https://youtu.be/8G3-3gP6h98" TargetMode="External"/><Relationship Id="rId1530" Type="http://schemas.openxmlformats.org/officeDocument/2006/relationships/hyperlink" Target="https://youtu.be/b42WNnKVS2A" TargetMode="External"/><Relationship Id="rId153" Type="http://schemas.openxmlformats.org/officeDocument/2006/relationships/hyperlink" Target="https://youtu.be/9IiWyrPygfA" TargetMode="External"/><Relationship Id="rId1529" Type="http://schemas.openxmlformats.org/officeDocument/2006/relationships/hyperlink" Target="https://youtu.be/q6uGES6CVYo" TargetMode="External"/><Relationship Id="rId1528" Type="http://schemas.openxmlformats.org/officeDocument/2006/relationships/hyperlink" Target="https://youtu.be/ZIr7XmJ0WS4" TargetMode="External"/><Relationship Id="rId1527" Type="http://schemas.openxmlformats.org/officeDocument/2006/relationships/hyperlink" Target="https://youtu.be/k8eI-D_qQg0" TargetMode="External"/><Relationship Id="rId1526" Type="http://schemas.openxmlformats.org/officeDocument/2006/relationships/hyperlink" Target="https://youtu.be/AcvJfX24KoA" TargetMode="External"/><Relationship Id="rId1525" Type="http://schemas.openxmlformats.org/officeDocument/2006/relationships/hyperlink" Target="https://youtu.be/5fkvR9G4HWM" TargetMode="External"/><Relationship Id="rId1524" Type="http://schemas.openxmlformats.org/officeDocument/2006/relationships/hyperlink" Target="https://youtu.be/ZDGF6OhTtr0" TargetMode="External"/><Relationship Id="rId1523" Type="http://schemas.openxmlformats.org/officeDocument/2006/relationships/hyperlink" Target="https://youtu.be/y4mVmXeefBw" TargetMode="External"/><Relationship Id="rId1522" Type="http://schemas.openxmlformats.org/officeDocument/2006/relationships/hyperlink" Target="https://youtu.be/V3XxFX7Hhk0" TargetMode="External"/><Relationship Id="rId1521" Type="http://schemas.openxmlformats.org/officeDocument/2006/relationships/hyperlink" Target="https://youtu.be/m-vwZ2ybdMg" TargetMode="External"/><Relationship Id="rId1520" Type="http://schemas.openxmlformats.org/officeDocument/2006/relationships/hyperlink" Target="https://youtu.be/df1ck6RjdYc" TargetMode="External"/><Relationship Id="rId152" Type="http://schemas.openxmlformats.org/officeDocument/2006/relationships/hyperlink" Target="https://youtu.be/zj0fj7L81pQ" TargetMode="External"/><Relationship Id="rId1519" Type="http://schemas.openxmlformats.org/officeDocument/2006/relationships/hyperlink" Target="https://youtu.be/yR6VnGvWFks" TargetMode="External"/><Relationship Id="rId1518" Type="http://schemas.openxmlformats.org/officeDocument/2006/relationships/hyperlink" Target="https://youtu.be/SGdkgV0o8xg" TargetMode="External"/><Relationship Id="rId1517" Type="http://schemas.openxmlformats.org/officeDocument/2006/relationships/hyperlink" Target="https://youtu.be/vf3dBiAm0KE" TargetMode="External"/><Relationship Id="rId1516" Type="http://schemas.openxmlformats.org/officeDocument/2006/relationships/hyperlink" Target="https://youtu.be/mAX67AfvD9A" TargetMode="External"/><Relationship Id="rId1515" Type="http://schemas.openxmlformats.org/officeDocument/2006/relationships/hyperlink" Target="https://youtu.be/wXBlbQCdeaQ" TargetMode="External"/><Relationship Id="rId1514" Type="http://schemas.openxmlformats.org/officeDocument/2006/relationships/hyperlink" Target="https://youtu.be/X5X9GJxaJB4" TargetMode="External"/><Relationship Id="rId1513" Type="http://schemas.openxmlformats.org/officeDocument/2006/relationships/hyperlink" Target="https://youtu.be/1fuALI89ebo" TargetMode="External"/><Relationship Id="rId1512" Type="http://schemas.openxmlformats.org/officeDocument/2006/relationships/hyperlink" Target="https://youtu.be/BXGH4-QqypE" TargetMode="External"/><Relationship Id="rId1511" Type="http://schemas.openxmlformats.org/officeDocument/2006/relationships/hyperlink" Target="https://youtu.be/iUyu7W0XuX0" TargetMode="External"/><Relationship Id="rId1510" Type="http://schemas.openxmlformats.org/officeDocument/2006/relationships/hyperlink" Target="https://youtu.be/Q99DaXJdErk" TargetMode="External"/><Relationship Id="rId151" Type="http://schemas.openxmlformats.org/officeDocument/2006/relationships/hyperlink" Target="https://youtu.be/kpELc3a_ljg" TargetMode="External"/><Relationship Id="rId1509" Type="http://schemas.openxmlformats.org/officeDocument/2006/relationships/hyperlink" Target="https://youtu.be/NUK5Ei857bM" TargetMode="External"/><Relationship Id="rId1508" Type="http://schemas.openxmlformats.org/officeDocument/2006/relationships/hyperlink" Target="https://youtu.be/2h4YXhle0Tk" TargetMode="External"/><Relationship Id="rId1507" Type="http://schemas.openxmlformats.org/officeDocument/2006/relationships/hyperlink" Target="https://youtu.be/TOAOh-3et-s" TargetMode="External"/><Relationship Id="rId1506" Type="http://schemas.openxmlformats.org/officeDocument/2006/relationships/hyperlink" Target="https://youtu.be/XE3xjwXy1Fg" TargetMode="External"/><Relationship Id="rId1505" Type="http://schemas.openxmlformats.org/officeDocument/2006/relationships/hyperlink" Target="https://youtu.be/3oNIadLKexM" TargetMode="External"/><Relationship Id="rId1504" Type="http://schemas.openxmlformats.org/officeDocument/2006/relationships/hyperlink" Target="https://youtu.be/ChDXe1BqKuY" TargetMode="External"/><Relationship Id="rId1503" Type="http://schemas.openxmlformats.org/officeDocument/2006/relationships/hyperlink" Target="https://youtu.be/ajlTxozr9w0" TargetMode="External"/><Relationship Id="rId1502" Type="http://schemas.openxmlformats.org/officeDocument/2006/relationships/hyperlink" Target="https://youtu.be/CNsuNsqse4E" TargetMode="External"/><Relationship Id="rId1501" Type="http://schemas.openxmlformats.org/officeDocument/2006/relationships/hyperlink" Target="https://youtu.be/fsqLLgAkGuE" TargetMode="External"/><Relationship Id="rId1500" Type="http://schemas.openxmlformats.org/officeDocument/2006/relationships/hyperlink" Target="https://youtu.be/wlMGcpRo_dQ" TargetMode="External"/><Relationship Id="rId150" Type="http://schemas.openxmlformats.org/officeDocument/2006/relationships/hyperlink" Target="https://youtu.be/Enfjq-fYz_4" TargetMode="External"/><Relationship Id="rId15" Type="http://schemas.openxmlformats.org/officeDocument/2006/relationships/hyperlink" Target="https://youtu.be/hoozjAACXWY" TargetMode="External"/><Relationship Id="rId1499" Type="http://schemas.openxmlformats.org/officeDocument/2006/relationships/hyperlink" Target="https://youtu.be/TSu4ZHe772U" TargetMode="External"/><Relationship Id="rId1498" Type="http://schemas.openxmlformats.org/officeDocument/2006/relationships/hyperlink" Target="https://youtu.be/BNgfHYZNybQ" TargetMode="External"/><Relationship Id="rId1497" Type="http://schemas.openxmlformats.org/officeDocument/2006/relationships/hyperlink" Target="https://youtu.be/Z2qtIfuoyig" TargetMode="External"/><Relationship Id="rId1496" Type="http://schemas.openxmlformats.org/officeDocument/2006/relationships/hyperlink" Target="https://youtu.be/FXHZE3CiJQs" TargetMode="External"/><Relationship Id="rId1495" Type="http://schemas.openxmlformats.org/officeDocument/2006/relationships/hyperlink" Target="https://youtu.be/ZBdzOjtWNFQ" TargetMode="External"/><Relationship Id="rId1494" Type="http://schemas.openxmlformats.org/officeDocument/2006/relationships/hyperlink" Target="https://youtu.be/Yxf6qSZA10o" TargetMode="External"/><Relationship Id="rId1493" Type="http://schemas.openxmlformats.org/officeDocument/2006/relationships/hyperlink" Target="https://youtu.be/4VxPDThB1MI" TargetMode="External"/><Relationship Id="rId1492" Type="http://schemas.openxmlformats.org/officeDocument/2006/relationships/hyperlink" Target="https://youtu.be/ChrJJZDt14k" TargetMode="External"/><Relationship Id="rId1491" Type="http://schemas.openxmlformats.org/officeDocument/2006/relationships/hyperlink" Target="https://youtu.be/JpBHePRGKek" TargetMode="External"/><Relationship Id="rId1490" Type="http://schemas.openxmlformats.org/officeDocument/2006/relationships/hyperlink" Target="https://youtu.be/rx_dj8u3Pvg" TargetMode="External"/><Relationship Id="rId149" Type="http://schemas.openxmlformats.org/officeDocument/2006/relationships/hyperlink" Target="https://youtu.be/QHDQvkSoZrs" TargetMode="External"/><Relationship Id="rId1489" Type="http://schemas.openxmlformats.org/officeDocument/2006/relationships/hyperlink" Target="https://youtu.be/2AwUnkrqNyw" TargetMode="External"/><Relationship Id="rId1488" Type="http://schemas.openxmlformats.org/officeDocument/2006/relationships/hyperlink" Target="https://youtu.be/zgX920FKeew" TargetMode="External"/><Relationship Id="rId1487" Type="http://schemas.openxmlformats.org/officeDocument/2006/relationships/hyperlink" Target="https://youtu.be/JfPbcEWP4WI" TargetMode="External"/><Relationship Id="rId1486" Type="http://schemas.openxmlformats.org/officeDocument/2006/relationships/hyperlink" Target="https://youtu.be/Q-Gn66sZ8Oc" TargetMode="External"/><Relationship Id="rId1485" Type="http://schemas.openxmlformats.org/officeDocument/2006/relationships/hyperlink" Target="https://youtu.be/mD-AlAI4Ils" TargetMode="External"/><Relationship Id="rId1484" Type="http://schemas.openxmlformats.org/officeDocument/2006/relationships/hyperlink" Target="https://youtu.be/eo7k3Hldkjw" TargetMode="External"/><Relationship Id="rId1483" Type="http://schemas.openxmlformats.org/officeDocument/2006/relationships/hyperlink" Target="https://youtu.be/eb-NpnxFsyU" TargetMode="External"/><Relationship Id="rId1482" Type="http://schemas.openxmlformats.org/officeDocument/2006/relationships/hyperlink" Target="https://youtu.be/gaqy8L95Ztg" TargetMode="External"/><Relationship Id="rId1481" Type="http://schemas.openxmlformats.org/officeDocument/2006/relationships/hyperlink" Target="https://youtu.be/eRHbtQI5S1Y" TargetMode="External"/><Relationship Id="rId1480" Type="http://schemas.openxmlformats.org/officeDocument/2006/relationships/hyperlink" Target="https://youtu.be/cOybEqMmmNs" TargetMode="External"/><Relationship Id="rId148" Type="http://schemas.openxmlformats.org/officeDocument/2006/relationships/hyperlink" Target="https://youtu.be/FMz1xiGlKyI" TargetMode="External"/><Relationship Id="rId1479" Type="http://schemas.openxmlformats.org/officeDocument/2006/relationships/hyperlink" Target="https://youtu.be/PjddUTgHkCo" TargetMode="External"/><Relationship Id="rId1478" Type="http://schemas.openxmlformats.org/officeDocument/2006/relationships/hyperlink" Target="https://youtu.be/MbEjFGeazOo" TargetMode="External"/><Relationship Id="rId1477" Type="http://schemas.openxmlformats.org/officeDocument/2006/relationships/hyperlink" Target="https://youtu.be/F8AHLyOKwAU" TargetMode="External"/><Relationship Id="rId1476" Type="http://schemas.openxmlformats.org/officeDocument/2006/relationships/hyperlink" Target="https://youtu.be/ia3IN-c_frg" TargetMode="External"/><Relationship Id="rId1475" Type="http://schemas.openxmlformats.org/officeDocument/2006/relationships/hyperlink" Target="https://youtu.be/bziJYKOL-_U" TargetMode="External"/><Relationship Id="rId1474" Type="http://schemas.openxmlformats.org/officeDocument/2006/relationships/hyperlink" Target="https://youtu.be/DlTcqHNHIFM" TargetMode="External"/><Relationship Id="rId1473" Type="http://schemas.openxmlformats.org/officeDocument/2006/relationships/hyperlink" Target="https://youtu.be/WKkwrF6ngxQ" TargetMode="External"/><Relationship Id="rId1472" Type="http://schemas.openxmlformats.org/officeDocument/2006/relationships/hyperlink" Target="https://youtu.be/JhnDJmY3hYY" TargetMode="External"/><Relationship Id="rId1471" Type="http://schemas.openxmlformats.org/officeDocument/2006/relationships/hyperlink" Target="https://youtu.be/wjGylXnoVo8" TargetMode="External"/><Relationship Id="rId1470" Type="http://schemas.openxmlformats.org/officeDocument/2006/relationships/hyperlink" Target="https://youtu.be/suFK3GY9voE" TargetMode="External"/><Relationship Id="rId147" Type="http://schemas.openxmlformats.org/officeDocument/2006/relationships/hyperlink" Target="https://youtu.be/R43t3c4YyMM" TargetMode="External"/><Relationship Id="rId1469" Type="http://schemas.openxmlformats.org/officeDocument/2006/relationships/hyperlink" Target="https://youtu.be/cYFSKM1FobA" TargetMode="External"/><Relationship Id="rId1468" Type="http://schemas.openxmlformats.org/officeDocument/2006/relationships/hyperlink" Target="https://youtu.be/YI3dC0HvE2Q" TargetMode="External"/><Relationship Id="rId1467" Type="http://schemas.openxmlformats.org/officeDocument/2006/relationships/hyperlink" Target="https://youtu.be/VZEVxnSLFic" TargetMode="External"/><Relationship Id="rId1466" Type="http://schemas.openxmlformats.org/officeDocument/2006/relationships/hyperlink" Target="https://youtu.be/O2KDr8IpLsc" TargetMode="External"/><Relationship Id="rId1465" Type="http://schemas.openxmlformats.org/officeDocument/2006/relationships/hyperlink" Target="https://youtu.be/MAX4ELjNs9Y" TargetMode="External"/><Relationship Id="rId1464" Type="http://schemas.openxmlformats.org/officeDocument/2006/relationships/hyperlink" Target="https://youtu.be/kjLlGkGmUY4" TargetMode="External"/><Relationship Id="rId1463" Type="http://schemas.openxmlformats.org/officeDocument/2006/relationships/hyperlink" Target="https://youtu.be/MYSKlDGJLUY" TargetMode="External"/><Relationship Id="rId1462" Type="http://schemas.openxmlformats.org/officeDocument/2006/relationships/hyperlink" Target="https://youtu.be/o2Qsn3FYGwk" TargetMode="External"/><Relationship Id="rId1461" Type="http://schemas.openxmlformats.org/officeDocument/2006/relationships/hyperlink" Target="https://youtu.be/m4RyD18qyjA" TargetMode="External"/><Relationship Id="rId1460" Type="http://schemas.openxmlformats.org/officeDocument/2006/relationships/hyperlink" Target="https://youtu.be/WaCK-JiD16Y" TargetMode="External"/><Relationship Id="rId146" Type="http://schemas.openxmlformats.org/officeDocument/2006/relationships/hyperlink" Target="https://youtu.be/QzmshRevDAc" TargetMode="External"/><Relationship Id="rId1459" Type="http://schemas.openxmlformats.org/officeDocument/2006/relationships/hyperlink" Target="https://youtu.be/0sVdOAvUS4M" TargetMode="External"/><Relationship Id="rId1458" Type="http://schemas.openxmlformats.org/officeDocument/2006/relationships/hyperlink" Target="https://youtu.be/CoscDrc0lLw" TargetMode="External"/><Relationship Id="rId1457" Type="http://schemas.openxmlformats.org/officeDocument/2006/relationships/hyperlink" Target="https://youtu.be/HTUuwmscQz0" TargetMode="External"/><Relationship Id="rId1456" Type="http://schemas.openxmlformats.org/officeDocument/2006/relationships/hyperlink" Target="https://youtu.be/girHYV5KnZs" TargetMode="External"/><Relationship Id="rId1455" Type="http://schemas.openxmlformats.org/officeDocument/2006/relationships/hyperlink" Target="https://youtu.be/8s5pBS9WrMo" TargetMode="External"/><Relationship Id="rId1454" Type="http://schemas.openxmlformats.org/officeDocument/2006/relationships/hyperlink" Target="https://youtu.be/nW6oJqsnjY8" TargetMode="External"/><Relationship Id="rId1453" Type="http://schemas.openxmlformats.org/officeDocument/2006/relationships/hyperlink" Target="https://youtu.be/czBwx2sbNqo" TargetMode="External"/><Relationship Id="rId1452" Type="http://schemas.openxmlformats.org/officeDocument/2006/relationships/hyperlink" Target="https://youtu.be/bOdw2xYBj3g" TargetMode="External"/><Relationship Id="rId1451" Type="http://schemas.openxmlformats.org/officeDocument/2006/relationships/hyperlink" Target="https://youtu.be/u2LxBtjNWW4" TargetMode="External"/><Relationship Id="rId1450" Type="http://schemas.openxmlformats.org/officeDocument/2006/relationships/hyperlink" Target="https://youtu.be/gW0fcAukk7Q" TargetMode="External"/><Relationship Id="rId145" Type="http://schemas.openxmlformats.org/officeDocument/2006/relationships/hyperlink" Target="https://youtu.be/fOOCcGQgFNs" TargetMode="External"/><Relationship Id="rId1449" Type="http://schemas.openxmlformats.org/officeDocument/2006/relationships/hyperlink" Target="https://youtu.be/vDqQhkeTwJc" TargetMode="External"/><Relationship Id="rId1448" Type="http://schemas.openxmlformats.org/officeDocument/2006/relationships/hyperlink" Target="https://youtu.be/HnkKXgjZHKA" TargetMode="External"/><Relationship Id="rId1447" Type="http://schemas.openxmlformats.org/officeDocument/2006/relationships/hyperlink" Target="https://youtu.be/354nLC3r6WA" TargetMode="External"/><Relationship Id="rId1446" Type="http://schemas.openxmlformats.org/officeDocument/2006/relationships/hyperlink" Target="https://youtu.be/QGnrYvrFCyA" TargetMode="External"/><Relationship Id="rId1445" Type="http://schemas.openxmlformats.org/officeDocument/2006/relationships/hyperlink" Target="https://youtu.be/NLGWvEZ8mYU" TargetMode="External"/><Relationship Id="rId1444" Type="http://schemas.openxmlformats.org/officeDocument/2006/relationships/hyperlink" Target="https://youtu.be/AGhXKh3HsyA" TargetMode="External"/><Relationship Id="rId1443" Type="http://schemas.openxmlformats.org/officeDocument/2006/relationships/hyperlink" Target="https://youtu.be/TYUiSldeuIA" TargetMode="External"/><Relationship Id="rId1442" Type="http://schemas.openxmlformats.org/officeDocument/2006/relationships/hyperlink" Target="https://youtu.be/AetWW898AKk" TargetMode="External"/><Relationship Id="rId1441" Type="http://schemas.openxmlformats.org/officeDocument/2006/relationships/hyperlink" Target="https://youtu.be/V7VT2K8Tsvw" TargetMode="External"/><Relationship Id="rId1440" Type="http://schemas.openxmlformats.org/officeDocument/2006/relationships/hyperlink" Target="https://youtu.be/VnNUMlfSItU" TargetMode="External"/><Relationship Id="rId144" Type="http://schemas.openxmlformats.org/officeDocument/2006/relationships/hyperlink" Target="https://youtu.be/12bDSD9RWgg" TargetMode="External"/><Relationship Id="rId1439" Type="http://schemas.openxmlformats.org/officeDocument/2006/relationships/hyperlink" Target="https://youtu.be/bjUFRXmRGgk" TargetMode="External"/><Relationship Id="rId1438" Type="http://schemas.openxmlformats.org/officeDocument/2006/relationships/hyperlink" Target="https://youtu.be/ERwU1lsOrj4" TargetMode="External"/><Relationship Id="rId1437" Type="http://schemas.openxmlformats.org/officeDocument/2006/relationships/hyperlink" Target="https://youtu.be/uPwyE3NdiNg" TargetMode="External"/><Relationship Id="rId1436" Type="http://schemas.openxmlformats.org/officeDocument/2006/relationships/hyperlink" Target="https://youtu.be/LO82R73Ocac" TargetMode="External"/><Relationship Id="rId1435" Type="http://schemas.openxmlformats.org/officeDocument/2006/relationships/hyperlink" Target="https://youtu.be/KclZrn7oJkU" TargetMode="External"/><Relationship Id="rId1434" Type="http://schemas.openxmlformats.org/officeDocument/2006/relationships/hyperlink" Target="https://youtu.be/kbvKwmqqh58" TargetMode="External"/><Relationship Id="rId1433" Type="http://schemas.openxmlformats.org/officeDocument/2006/relationships/hyperlink" Target="https://youtu.be/53TcxyN-gig" TargetMode="External"/><Relationship Id="rId1432" Type="http://schemas.openxmlformats.org/officeDocument/2006/relationships/hyperlink" Target="https://youtu.be/dBaIu1f7_JQ" TargetMode="External"/><Relationship Id="rId1431" Type="http://schemas.openxmlformats.org/officeDocument/2006/relationships/hyperlink" Target="https://youtu.be/R3_tQvmdeVI" TargetMode="External"/><Relationship Id="rId1430" Type="http://schemas.openxmlformats.org/officeDocument/2006/relationships/hyperlink" Target="https://youtu.be/w4iOl61bgPk" TargetMode="External"/><Relationship Id="rId143" Type="http://schemas.openxmlformats.org/officeDocument/2006/relationships/hyperlink" Target="https://youtu.be/4A-Q8r3o3cI" TargetMode="External"/><Relationship Id="rId1429" Type="http://schemas.openxmlformats.org/officeDocument/2006/relationships/hyperlink" Target="https://youtu.be/k3rx6zNL8G0" TargetMode="External"/><Relationship Id="rId1428" Type="http://schemas.openxmlformats.org/officeDocument/2006/relationships/hyperlink" Target="https://youtu.be/Iv1SxotNUH0" TargetMode="External"/><Relationship Id="rId1427" Type="http://schemas.openxmlformats.org/officeDocument/2006/relationships/hyperlink" Target="https://youtu.be/T2ua3zp3_1o" TargetMode="External"/><Relationship Id="rId1426" Type="http://schemas.openxmlformats.org/officeDocument/2006/relationships/hyperlink" Target="https://youtu.be/ANjy2RcEeGs" TargetMode="External"/><Relationship Id="rId1425" Type="http://schemas.openxmlformats.org/officeDocument/2006/relationships/hyperlink" Target="https://youtu.be/j_RTo2Ti5VA" TargetMode="External"/><Relationship Id="rId1424" Type="http://schemas.openxmlformats.org/officeDocument/2006/relationships/hyperlink" Target="https://youtu.be/X9vOoXU56KI" TargetMode="External"/><Relationship Id="rId1423" Type="http://schemas.openxmlformats.org/officeDocument/2006/relationships/hyperlink" Target="https://youtu.be/xC2wB93Wm7k" TargetMode="External"/><Relationship Id="rId1422" Type="http://schemas.openxmlformats.org/officeDocument/2006/relationships/hyperlink" Target="https://youtu.be/alxWTxuW3jk" TargetMode="External"/><Relationship Id="rId1421" Type="http://schemas.openxmlformats.org/officeDocument/2006/relationships/hyperlink" Target="https://youtu.be/WVIflt75KkY" TargetMode="External"/><Relationship Id="rId1420" Type="http://schemas.openxmlformats.org/officeDocument/2006/relationships/hyperlink" Target="https://youtu.be/jWoA9kpyNwM" TargetMode="External"/><Relationship Id="rId142" Type="http://schemas.openxmlformats.org/officeDocument/2006/relationships/hyperlink" Target="https://youtu.be/IJoSZPh6lqI" TargetMode="External"/><Relationship Id="rId1419" Type="http://schemas.openxmlformats.org/officeDocument/2006/relationships/hyperlink" Target="https://youtu.be/jkg2-4RFXeM" TargetMode="External"/><Relationship Id="rId1418" Type="http://schemas.openxmlformats.org/officeDocument/2006/relationships/hyperlink" Target="https://youtu.be/7o80sAi0lcs" TargetMode="External"/><Relationship Id="rId1417" Type="http://schemas.openxmlformats.org/officeDocument/2006/relationships/hyperlink" Target="https://youtu.be/80QOEveMssw" TargetMode="External"/><Relationship Id="rId1416" Type="http://schemas.openxmlformats.org/officeDocument/2006/relationships/hyperlink" Target="https://youtu.be/SgpU08WJm0c" TargetMode="External"/><Relationship Id="rId1415" Type="http://schemas.openxmlformats.org/officeDocument/2006/relationships/hyperlink" Target="https://youtu.be/26QWMMT1c8Y" TargetMode="External"/><Relationship Id="rId1414" Type="http://schemas.openxmlformats.org/officeDocument/2006/relationships/hyperlink" Target="https://youtu.be/fOWLD2BEzJw" TargetMode="External"/><Relationship Id="rId1413" Type="http://schemas.openxmlformats.org/officeDocument/2006/relationships/hyperlink" Target="https://youtu.be/CPc8UNODwLg" TargetMode="External"/><Relationship Id="rId1412" Type="http://schemas.openxmlformats.org/officeDocument/2006/relationships/hyperlink" Target="https://youtu.be/SoeQeBX7iz8" TargetMode="External"/><Relationship Id="rId1411" Type="http://schemas.openxmlformats.org/officeDocument/2006/relationships/hyperlink" Target="https://youtu.be/b4tGENRQcWU" TargetMode="External"/><Relationship Id="rId1410" Type="http://schemas.openxmlformats.org/officeDocument/2006/relationships/hyperlink" Target="https://youtu.be/6hoEm9YdHUk" TargetMode="External"/><Relationship Id="rId141" Type="http://schemas.openxmlformats.org/officeDocument/2006/relationships/hyperlink" Target="https://youtu.be/DHP5CTsDk-s" TargetMode="External"/><Relationship Id="rId1409" Type="http://schemas.openxmlformats.org/officeDocument/2006/relationships/hyperlink" Target="https://youtu.be/w6XumQvbKag" TargetMode="External"/><Relationship Id="rId1408" Type="http://schemas.openxmlformats.org/officeDocument/2006/relationships/hyperlink" Target="https://youtu.be/KTAIRdBa83M" TargetMode="External"/><Relationship Id="rId1407" Type="http://schemas.openxmlformats.org/officeDocument/2006/relationships/hyperlink" Target="https://youtu.be/Fttaf_rhpm4" TargetMode="External"/><Relationship Id="rId1406" Type="http://schemas.openxmlformats.org/officeDocument/2006/relationships/hyperlink" Target="https://youtu.be/aiq2NY_qvpc" TargetMode="External"/><Relationship Id="rId1405" Type="http://schemas.openxmlformats.org/officeDocument/2006/relationships/hyperlink" Target="https://youtu.be/YEjH4K6F5Co" TargetMode="External"/><Relationship Id="rId1404" Type="http://schemas.openxmlformats.org/officeDocument/2006/relationships/hyperlink" Target="https://youtu.be/0eORruDkl5I" TargetMode="External"/><Relationship Id="rId1403" Type="http://schemas.openxmlformats.org/officeDocument/2006/relationships/hyperlink" Target="https://youtu.be/QdCs0aam-3g" TargetMode="External"/><Relationship Id="rId1402" Type="http://schemas.openxmlformats.org/officeDocument/2006/relationships/hyperlink" Target="https://youtu.be/BkP27YgDhN0" TargetMode="External"/><Relationship Id="rId1401" Type="http://schemas.openxmlformats.org/officeDocument/2006/relationships/hyperlink" Target="https://youtu.be/Wl3KxYwnW6I" TargetMode="External"/><Relationship Id="rId1400" Type="http://schemas.openxmlformats.org/officeDocument/2006/relationships/hyperlink" Target="https://youtu.be/bh9kwPOoGw4" TargetMode="External"/><Relationship Id="rId140" Type="http://schemas.openxmlformats.org/officeDocument/2006/relationships/hyperlink" Target="https://youtu.be/S2Zt190EaNk" TargetMode="External"/><Relationship Id="rId14" Type="http://schemas.openxmlformats.org/officeDocument/2006/relationships/hyperlink" Target="https://youtu.be/h3JyyWKnHNI" TargetMode="External"/><Relationship Id="rId1399" Type="http://schemas.openxmlformats.org/officeDocument/2006/relationships/hyperlink" Target="https://youtu.be/Hfp_pMW8ygc" TargetMode="External"/><Relationship Id="rId1398" Type="http://schemas.openxmlformats.org/officeDocument/2006/relationships/hyperlink" Target="https://youtu.be/G6HSJZhizmY" TargetMode="External"/><Relationship Id="rId1397" Type="http://schemas.openxmlformats.org/officeDocument/2006/relationships/hyperlink" Target="https://youtu.be/Uje647diAeQ" TargetMode="External"/><Relationship Id="rId1396" Type="http://schemas.openxmlformats.org/officeDocument/2006/relationships/hyperlink" Target="https://youtu.be/R6Hm8tfWAfI" TargetMode="External"/><Relationship Id="rId1395" Type="http://schemas.openxmlformats.org/officeDocument/2006/relationships/hyperlink" Target="https://youtu.be/KIpbafNpfQ0" TargetMode="External"/><Relationship Id="rId1394" Type="http://schemas.openxmlformats.org/officeDocument/2006/relationships/hyperlink" Target="https://youtu.be/uncJcyNTzHU" TargetMode="External"/><Relationship Id="rId1393" Type="http://schemas.openxmlformats.org/officeDocument/2006/relationships/hyperlink" Target="https://youtu.be/ID9Yergj2TU" TargetMode="External"/><Relationship Id="rId1392" Type="http://schemas.openxmlformats.org/officeDocument/2006/relationships/hyperlink" Target="https://youtu.be/I1Fm7tG_sEg" TargetMode="External"/><Relationship Id="rId1391" Type="http://schemas.openxmlformats.org/officeDocument/2006/relationships/hyperlink" Target="https://youtu.be/_5Af-tw8Nls" TargetMode="External"/><Relationship Id="rId1390" Type="http://schemas.openxmlformats.org/officeDocument/2006/relationships/hyperlink" Target="https://youtu.be/0Lmsvr8VVwM" TargetMode="External"/><Relationship Id="rId139" Type="http://schemas.openxmlformats.org/officeDocument/2006/relationships/hyperlink" Target="https://youtu.be/TImANes5Bzk" TargetMode="External"/><Relationship Id="rId1389" Type="http://schemas.openxmlformats.org/officeDocument/2006/relationships/hyperlink" Target="https://youtu.be/V1eHWpOtWQw" TargetMode="External"/><Relationship Id="rId1388" Type="http://schemas.openxmlformats.org/officeDocument/2006/relationships/hyperlink" Target="https://youtu.be/RULgOizRL0I" TargetMode="External"/><Relationship Id="rId1387" Type="http://schemas.openxmlformats.org/officeDocument/2006/relationships/hyperlink" Target="https://youtu.be/uBMRYmP7Ves" TargetMode="External"/><Relationship Id="rId1386" Type="http://schemas.openxmlformats.org/officeDocument/2006/relationships/hyperlink" Target="https://youtu.be/AmGiRg9q-fU" TargetMode="External"/><Relationship Id="rId1385" Type="http://schemas.openxmlformats.org/officeDocument/2006/relationships/hyperlink" Target="https://youtu.be/MtUz5WfA2dw" TargetMode="External"/><Relationship Id="rId1384" Type="http://schemas.openxmlformats.org/officeDocument/2006/relationships/hyperlink" Target="https://youtu.be/vHqzMpCIoOo" TargetMode="External"/><Relationship Id="rId1383" Type="http://schemas.openxmlformats.org/officeDocument/2006/relationships/hyperlink" Target="https://youtu.be/Gf9wxJf1tCA" TargetMode="External"/><Relationship Id="rId1382" Type="http://schemas.openxmlformats.org/officeDocument/2006/relationships/hyperlink" Target="https://youtu.be/lu-tdAnBdmM" TargetMode="External"/><Relationship Id="rId1381" Type="http://schemas.openxmlformats.org/officeDocument/2006/relationships/hyperlink" Target="https://youtu.be/pRaZgSVnsNs" TargetMode="External"/><Relationship Id="rId1380" Type="http://schemas.openxmlformats.org/officeDocument/2006/relationships/hyperlink" Target="https://youtu.be/PtJAumajur8" TargetMode="External"/><Relationship Id="rId138" Type="http://schemas.openxmlformats.org/officeDocument/2006/relationships/hyperlink" Target="https://youtu.be/6M05OWIVg4c" TargetMode="External"/><Relationship Id="rId1379" Type="http://schemas.openxmlformats.org/officeDocument/2006/relationships/hyperlink" Target="https://youtu.be/V81_3biNHcA" TargetMode="External"/><Relationship Id="rId1378" Type="http://schemas.openxmlformats.org/officeDocument/2006/relationships/hyperlink" Target="https://youtu.be/JAlnM06MnRA" TargetMode="External"/><Relationship Id="rId1377" Type="http://schemas.openxmlformats.org/officeDocument/2006/relationships/hyperlink" Target="https://youtu.be/Yiv9W4K92XE" TargetMode="External"/><Relationship Id="rId1376" Type="http://schemas.openxmlformats.org/officeDocument/2006/relationships/hyperlink" Target="https://youtu.be/2hT-CRevst4" TargetMode="External"/><Relationship Id="rId1375" Type="http://schemas.openxmlformats.org/officeDocument/2006/relationships/hyperlink" Target="https://youtu.be/zCDe_7uiWMM" TargetMode="External"/><Relationship Id="rId1374" Type="http://schemas.openxmlformats.org/officeDocument/2006/relationships/hyperlink" Target="https://youtu.be/8jvIV8gEvuU" TargetMode="External"/><Relationship Id="rId1373" Type="http://schemas.openxmlformats.org/officeDocument/2006/relationships/hyperlink" Target="https://youtu.be/wJAiKZmunPQ" TargetMode="External"/><Relationship Id="rId1372" Type="http://schemas.openxmlformats.org/officeDocument/2006/relationships/hyperlink" Target="https://youtu.be/LYYdOozMtEI" TargetMode="External"/><Relationship Id="rId1371" Type="http://schemas.openxmlformats.org/officeDocument/2006/relationships/hyperlink" Target="https://youtu.be/UMCYt2bKCbI" TargetMode="External"/><Relationship Id="rId1370" Type="http://schemas.openxmlformats.org/officeDocument/2006/relationships/hyperlink" Target="https://youtu.be/YbXBYZDcJvI" TargetMode="External"/><Relationship Id="rId137" Type="http://schemas.openxmlformats.org/officeDocument/2006/relationships/hyperlink" Target="https://youtu.be/xQ7wCF582cg" TargetMode="External"/><Relationship Id="rId1369" Type="http://schemas.openxmlformats.org/officeDocument/2006/relationships/hyperlink" Target="https://youtu.be/U4uZvB-avL0" TargetMode="External"/><Relationship Id="rId1368" Type="http://schemas.openxmlformats.org/officeDocument/2006/relationships/hyperlink" Target="https://youtu.be/qhJUEI_MPaY" TargetMode="External"/><Relationship Id="rId1367" Type="http://schemas.openxmlformats.org/officeDocument/2006/relationships/hyperlink" Target="https://youtu.be/9x_oubOXFgM" TargetMode="External"/><Relationship Id="rId1366" Type="http://schemas.openxmlformats.org/officeDocument/2006/relationships/hyperlink" Target="https://youtu.be/TJoBCwgb8cQ" TargetMode="External"/><Relationship Id="rId1365" Type="http://schemas.openxmlformats.org/officeDocument/2006/relationships/hyperlink" Target="https://youtu.be/b1btgFAR0IE" TargetMode="External"/><Relationship Id="rId1364" Type="http://schemas.openxmlformats.org/officeDocument/2006/relationships/hyperlink" Target="https://youtu.be/WQLGQRshqSo" TargetMode="External"/><Relationship Id="rId1363" Type="http://schemas.openxmlformats.org/officeDocument/2006/relationships/hyperlink" Target="https://youtu.be/CvFyM21x-eE" TargetMode="External"/><Relationship Id="rId1362" Type="http://schemas.openxmlformats.org/officeDocument/2006/relationships/hyperlink" Target="https://youtu.be/84Jkt5RwRUc" TargetMode="External"/><Relationship Id="rId1361" Type="http://schemas.openxmlformats.org/officeDocument/2006/relationships/hyperlink" Target="https://youtu.be/UJf8xsvjPL4" TargetMode="External"/><Relationship Id="rId1360" Type="http://schemas.openxmlformats.org/officeDocument/2006/relationships/hyperlink" Target="https://youtu.be/wKGnJtxPBk8" TargetMode="External"/><Relationship Id="rId136" Type="http://schemas.openxmlformats.org/officeDocument/2006/relationships/hyperlink" Target="https://youtu.be/Z_ndJHT4qOw" TargetMode="External"/><Relationship Id="rId1359" Type="http://schemas.openxmlformats.org/officeDocument/2006/relationships/hyperlink" Target="https://youtu.be/ouv1Un1F36A" TargetMode="External"/><Relationship Id="rId1358" Type="http://schemas.openxmlformats.org/officeDocument/2006/relationships/hyperlink" Target="https://youtu.be/Gy7Qu1gSnI8" TargetMode="External"/><Relationship Id="rId1357" Type="http://schemas.openxmlformats.org/officeDocument/2006/relationships/hyperlink" Target="https://youtu.be/q-yDVQqUg2k" TargetMode="External"/><Relationship Id="rId1356" Type="http://schemas.openxmlformats.org/officeDocument/2006/relationships/hyperlink" Target="https://youtu.be/YUyYTD5L8Gw" TargetMode="External"/><Relationship Id="rId1355" Type="http://schemas.openxmlformats.org/officeDocument/2006/relationships/hyperlink" Target="https://youtu.be/1sMPwJJuBMU" TargetMode="External"/><Relationship Id="rId1354" Type="http://schemas.openxmlformats.org/officeDocument/2006/relationships/hyperlink" Target="https://youtu.be/NdL44q6mAuE" TargetMode="External"/><Relationship Id="rId1353" Type="http://schemas.openxmlformats.org/officeDocument/2006/relationships/hyperlink" Target="https://youtu.be/S1IS8Kbzxos" TargetMode="External"/><Relationship Id="rId1352" Type="http://schemas.openxmlformats.org/officeDocument/2006/relationships/hyperlink" Target="https://youtu.be/XRYUKTa6BLA" TargetMode="External"/><Relationship Id="rId1351" Type="http://schemas.openxmlformats.org/officeDocument/2006/relationships/hyperlink" Target="https://youtu.be/UKfZ8n8EcwU" TargetMode="External"/><Relationship Id="rId1350" Type="http://schemas.openxmlformats.org/officeDocument/2006/relationships/hyperlink" Target="https://youtu.be/1jEx4Q_nBW8" TargetMode="External"/><Relationship Id="rId135" Type="http://schemas.openxmlformats.org/officeDocument/2006/relationships/hyperlink" Target="https://youtu.be/2PADmY5Gq04" TargetMode="External"/><Relationship Id="rId1349" Type="http://schemas.openxmlformats.org/officeDocument/2006/relationships/hyperlink" Target="https://youtu.be/4Vx6CNTs-aE" TargetMode="External"/><Relationship Id="rId1348" Type="http://schemas.openxmlformats.org/officeDocument/2006/relationships/hyperlink" Target="https://youtu.be/5JYfnpGDgwk" TargetMode="External"/><Relationship Id="rId1347" Type="http://schemas.openxmlformats.org/officeDocument/2006/relationships/hyperlink" Target="https://youtu.be/kia8_cZzxU4" TargetMode="External"/><Relationship Id="rId1346" Type="http://schemas.openxmlformats.org/officeDocument/2006/relationships/hyperlink" Target="https://youtu.be/4L2EQxJYg7I" TargetMode="External"/><Relationship Id="rId1345" Type="http://schemas.openxmlformats.org/officeDocument/2006/relationships/hyperlink" Target="https://youtu.be/56rN2LrIERA" TargetMode="External"/><Relationship Id="rId1344" Type="http://schemas.openxmlformats.org/officeDocument/2006/relationships/hyperlink" Target="https://youtu.be/GQsD4qmwhzk" TargetMode="External"/><Relationship Id="rId1343" Type="http://schemas.openxmlformats.org/officeDocument/2006/relationships/hyperlink" Target="https://youtu.be/jo6xEi5Wr3Y" TargetMode="External"/><Relationship Id="rId1342" Type="http://schemas.openxmlformats.org/officeDocument/2006/relationships/hyperlink" Target="https://youtu.be/pm0TAuip5vA" TargetMode="External"/><Relationship Id="rId1341" Type="http://schemas.openxmlformats.org/officeDocument/2006/relationships/hyperlink" Target="https://youtu.be/kPSk23XOGuk" TargetMode="External"/><Relationship Id="rId1340" Type="http://schemas.openxmlformats.org/officeDocument/2006/relationships/hyperlink" Target="https://youtu.be/F35yzjNRBxs" TargetMode="External"/><Relationship Id="rId134" Type="http://schemas.openxmlformats.org/officeDocument/2006/relationships/hyperlink" Target="https://youtu.be/7Yaiw9ISxG0" TargetMode="External"/><Relationship Id="rId1339" Type="http://schemas.openxmlformats.org/officeDocument/2006/relationships/hyperlink" Target="https://youtu.be/orTULuvmjY0" TargetMode="External"/><Relationship Id="rId1338" Type="http://schemas.openxmlformats.org/officeDocument/2006/relationships/hyperlink" Target="https://youtu.be/sUhSuZpo7g8" TargetMode="External"/><Relationship Id="rId1337" Type="http://schemas.openxmlformats.org/officeDocument/2006/relationships/hyperlink" Target="https://youtu.be/PaOgnwGUTQE" TargetMode="External"/><Relationship Id="rId1336" Type="http://schemas.openxmlformats.org/officeDocument/2006/relationships/hyperlink" Target="https://youtu.be/Knx4e-DXwyw" TargetMode="External"/><Relationship Id="rId1335" Type="http://schemas.openxmlformats.org/officeDocument/2006/relationships/hyperlink" Target="https://youtu.be/bx_c13k3TsY" TargetMode="External"/><Relationship Id="rId1334" Type="http://schemas.openxmlformats.org/officeDocument/2006/relationships/hyperlink" Target="https://youtu.be/9SeE8It9r18" TargetMode="External"/><Relationship Id="rId1333" Type="http://schemas.openxmlformats.org/officeDocument/2006/relationships/hyperlink" Target="https://youtu.be/I4mm4ENBGuA" TargetMode="External"/><Relationship Id="rId1332" Type="http://schemas.openxmlformats.org/officeDocument/2006/relationships/hyperlink" Target="https://youtu.be/KzXnLcNmhjI" TargetMode="External"/><Relationship Id="rId1331" Type="http://schemas.openxmlformats.org/officeDocument/2006/relationships/hyperlink" Target="https://youtu.be/DrQQgc9z6Bs" TargetMode="External"/><Relationship Id="rId1330" Type="http://schemas.openxmlformats.org/officeDocument/2006/relationships/hyperlink" Target="https://youtu.be/WbQbt2PfOvA" TargetMode="External"/><Relationship Id="rId133" Type="http://schemas.openxmlformats.org/officeDocument/2006/relationships/hyperlink" Target="https://youtu.be/WDVubcoZCP4" TargetMode="External"/><Relationship Id="rId1329" Type="http://schemas.openxmlformats.org/officeDocument/2006/relationships/hyperlink" Target="https://youtu.be/M_4YrfOFNmc" TargetMode="External"/><Relationship Id="rId1328" Type="http://schemas.openxmlformats.org/officeDocument/2006/relationships/hyperlink" Target="https://youtu.be/6R5rx7ZS-tA" TargetMode="External"/><Relationship Id="rId1327" Type="http://schemas.openxmlformats.org/officeDocument/2006/relationships/hyperlink" Target="https://youtu.be/Hrwuaj2kiZc" TargetMode="External"/><Relationship Id="rId1326" Type="http://schemas.openxmlformats.org/officeDocument/2006/relationships/hyperlink" Target="https://youtu.be/nnLf-g2GP1I" TargetMode="External"/><Relationship Id="rId1325" Type="http://schemas.openxmlformats.org/officeDocument/2006/relationships/hyperlink" Target="https://youtu.be/3n6ywp858FY" TargetMode="External"/><Relationship Id="rId1324" Type="http://schemas.openxmlformats.org/officeDocument/2006/relationships/hyperlink" Target="https://youtu.be/Vx0kvxqgC1c" TargetMode="External"/><Relationship Id="rId1323" Type="http://schemas.openxmlformats.org/officeDocument/2006/relationships/hyperlink" Target="https://youtu.be/9k-yeH1Nj6c" TargetMode="External"/><Relationship Id="rId1322" Type="http://schemas.openxmlformats.org/officeDocument/2006/relationships/hyperlink" Target="https://youtu.be/vlQXr64dsmU" TargetMode="External"/><Relationship Id="rId1321" Type="http://schemas.openxmlformats.org/officeDocument/2006/relationships/hyperlink" Target="https://youtu.be/UcTb7Z9zu1o" TargetMode="External"/><Relationship Id="rId1320" Type="http://schemas.openxmlformats.org/officeDocument/2006/relationships/hyperlink" Target="https://youtu.be/RXz6ib97QAI" TargetMode="External"/><Relationship Id="rId132" Type="http://schemas.openxmlformats.org/officeDocument/2006/relationships/hyperlink" Target="https://youtu.be/xasnaNpgq04" TargetMode="External"/><Relationship Id="rId1319" Type="http://schemas.openxmlformats.org/officeDocument/2006/relationships/hyperlink" Target="https://youtu.be/5kRzPaCqK1g" TargetMode="External"/><Relationship Id="rId1318" Type="http://schemas.openxmlformats.org/officeDocument/2006/relationships/hyperlink" Target="https://youtu.be/YwUBPe5yeHE" TargetMode="External"/><Relationship Id="rId1317" Type="http://schemas.openxmlformats.org/officeDocument/2006/relationships/hyperlink" Target="https://youtu.be/KdgVdbQC-5Y" TargetMode="External"/><Relationship Id="rId1316" Type="http://schemas.openxmlformats.org/officeDocument/2006/relationships/hyperlink" Target="https://youtu.be/c1Gxn_nfgWA" TargetMode="External"/><Relationship Id="rId1315" Type="http://schemas.openxmlformats.org/officeDocument/2006/relationships/hyperlink" Target="https://youtu.be/KobWN_xPs64" TargetMode="External"/><Relationship Id="rId1314" Type="http://schemas.openxmlformats.org/officeDocument/2006/relationships/hyperlink" Target="https://youtu.be/K_YepwuXBls" TargetMode="External"/><Relationship Id="rId1313" Type="http://schemas.openxmlformats.org/officeDocument/2006/relationships/hyperlink" Target="https://youtu.be/Yp6zLISoT0k" TargetMode="External"/><Relationship Id="rId1312" Type="http://schemas.openxmlformats.org/officeDocument/2006/relationships/hyperlink" Target="https://youtu.be/BHyNkm3g5ls" TargetMode="External"/><Relationship Id="rId1311" Type="http://schemas.openxmlformats.org/officeDocument/2006/relationships/hyperlink" Target="https://youtu.be/RqtAK-FBtXU" TargetMode="External"/><Relationship Id="rId1310" Type="http://schemas.openxmlformats.org/officeDocument/2006/relationships/hyperlink" Target="https://youtu.be/HDEwt24mxf0" TargetMode="External"/><Relationship Id="rId131" Type="http://schemas.openxmlformats.org/officeDocument/2006/relationships/hyperlink" Target="https://youtu.be/Bqjoq-Jfb2c" TargetMode="External"/><Relationship Id="rId1309" Type="http://schemas.openxmlformats.org/officeDocument/2006/relationships/hyperlink" Target="https://youtu.be/GeBqMANGtmI" TargetMode="External"/><Relationship Id="rId1308" Type="http://schemas.openxmlformats.org/officeDocument/2006/relationships/hyperlink" Target="https://youtu.be/usXM4qnzhT8" TargetMode="External"/><Relationship Id="rId1307" Type="http://schemas.openxmlformats.org/officeDocument/2006/relationships/hyperlink" Target="https://youtu.be/6IP-Tx6yZIs" TargetMode="External"/><Relationship Id="rId1306" Type="http://schemas.openxmlformats.org/officeDocument/2006/relationships/hyperlink" Target="https://youtu.be/AJqzuyOr8ec" TargetMode="External"/><Relationship Id="rId1305" Type="http://schemas.openxmlformats.org/officeDocument/2006/relationships/hyperlink" Target="https://youtu.be/c95LS6Y2LTo" TargetMode="External"/><Relationship Id="rId1304" Type="http://schemas.openxmlformats.org/officeDocument/2006/relationships/hyperlink" Target="https://youtu.be/MCiRuTkIkhw" TargetMode="External"/><Relationship Id="rId1303" Type="http://schemas.openxmlformats.org/officeDocument/2006/relationships/hyperlink" Target="https://youtu.be/HouJPqYG5E4" TargetMode="External"/><Relationship Id="rId1302" Type="http://schemas.openxmlformats.org/officeDocument/2006/relationships/hyperlink" Target="https://youtu.be/YLWK4dNEuBc" TargetMode="External"/><Relationship Id="rId1301" Type="http://schemas.openxmlformats.org/officeDocument/2006/relationships/hyperlink" Target="https://youtu.be/PRMvRkqPbIE" TargetMode="External"/><Relationship Id="rId1300" Type="http://schemas.openxmlformats.org/officeDocument/2006/relationships/hyperlink" Target="https://youtu.be/nJupdzLR9Fk" TargetMode="External"/><Relationship Id="rId130" Type="http://schemas.openxmlformats.org/officeDocument/2006/relationships/hyperlink" Target="https://youtu.be/Mn6GRKISsoE" TargetMode="External"/><Relationship Id="rId13" Type="http://schemas.openxmlformats.org/officeDocument/2006/relationships/hyperlink" Target="https://youtu.be/TnkzAx-efu4" TargetMode="External"/><Relationship Id="rId1299" Type="http://schemas.openxmlformats.org/officeDocument/2006/relationships/hyperlink" Target="https://youtu.be/V6i7-XTe4XU" TargetMode="External"/><Relationship Id="rId1298" Type="http://schemas.openxmlformats.org/officeDocument/2006/relationships/hyperlink" Target="https://youtu.be/7mGv9lfrg_c" TargetMode="External"/><Relationship Id="rId1297" Type="http://schemas.openxmlformats.org/officeDocument/2006/relationships/hyperlink" Target="https://youtu.be/lU4yfD84R3o" TargetMode="External"/><Relationship Id="rId1296" Type="http://schemas.openxmlformats.org/officeDocument/2006/relationships/hyperlink" Target="https://youtu.be/ad9UW_oVq9Y" TargetMode="External"/><Relationship Id="rId1295" Type="http://schemas.openxmlformats.org/officeDocument/2006/relationships/hyperlink" Target="https://youtu.be/_gBBUWgn2iU" TargetMode="External"/><Relationship Id="rId1294" Type="http://schemas.openxmlformats.org/officeDocument/2006/relationships/hyperlink" Target="https://youtu.be/6trQ6TROjg8" TargetMode="External"/><Relationship Id="rId1293" Type="http://schemas.openxmlformats.org/officeDocument/2006/relationships/hyperlink" Target="https://youtu.be/Oy6bCbMMktg" TargetMode="External"/><Relationship Id="rId1292" Type="http://schemas.openxmlformats.org/officeDocument/2006/relationships/hyperlink" Target="https://youtu.be/pmnvj24pfz8" TargetMode="External"/><Relationship Id="rId1291" Type="http://schemas.openxmlformats.org/officeDocument/2006/relationships/hyperlink" Target="https://youtu.be/vQiY3DuGv5g" TargetMode="External"/><Relationship Id="rId1290" Type="http://schemas.openxmlformats.org/officeDocument/2006/relationships/hyperlink" Target="https://youtu.be/OoL0ZALSuPI" TargetMode="External"/><Relationship Id="rId129" Type="http://schemas.openxmlformats.org/officeDocument/2006/relationships/hyperlink" Target="https://youtu.be/EZxmX_E2zs8" TargetMode="External"/><Relationship Id="rId1289" Type="http://schemas.openxmlformats.org/officeDocument/2006/relationships/hyperlink" Target="https://youtu.be/WiQK27MjqGo" TargetMode="External"/><Relationship Id="rId1288" Type="http://schemas.openxmlformats.org/officeDocument/2006/relationships/hyperlink" Target="https://youtu.be/O3NrMbaEPi4" TargetMode="External"/><Relationship Id="rId1287" Type="http://schemas.openxmlformats.org/officeDocument/2006/relationships/hyperlink" Target="https://youtu.be/-3fYlBadTJU" TargetMode="External"/><Relationship Id="rId1286" Type="http://schemas.openxmlformats.org/officeDocument/2006/relationships/hyperlink" Target="https://youtu.be/ALKhJ3T9H14" TargetMode="External"/><Relationship Id="rId1285" Type="http://schemas.openxmlformats.org/officeDocument/2006/relationships/hyperlink" Target="https://youtu.be/MJ98dgf9Mwg" TargetMode="External"/><Relationship Id="rId1284" Type="http://schemas.openxmlformats.org/officeDocument/2006/relationships/hyperlink" Target="https://youtu.be/VexO24Q0omM" TargetMode="External"/><Relationship Id="rId1283" Type="http://schemas.openxmlformats.org/officeDocument/2006/relationships/hyperlink" Target="https://youtu.be/0TDZX8r9DRw" TargetMode="External"/><Relationship Id="rId1282" Type="http://schemas.openxmlformats.org/officeDocument/2006/relationships/hyperlink" Target="https://youtu.be/0zA2z4yI02I" TargetMode="External"/><Relationship Id="rId1281" Type="http://schemas.openxmlformats.org/officeDocument/2006/relationships/hyperlink" Target="https://youtu.be/5Gp1zBcIy88" TargetMode="External"/><Relationship Id="rId1280" Type="http://schemas.openxmlformats.org/officeDocument/2006/relationships/hyperlink" Target="https://youtu.be/Gj_SzDHWBz8" TargetMode="External"/><Relationship Id="rId128" Type="http://schemas.openxmlformats.org/officeDocument/2006/relationships/hyperlink" Target="https://youtu.be/t0XhcsWoAPM" TargetMode="External"/><Relationship Id="rId1279" Type="http://schemas.openxmlformats.org/officeDocument/2006/relationships/hyperlink" Target="https://youtu.be/-JuBDX8JRBQ" TargetMode="External"/><Relationship Id="rId1278" Type="http://schemas.openxmlformats.org/officeDocument/2006/relationships/hyperlink" Target="https://youtu.be/xNTQs4znLWM" TargetMode="External"/><Relationship Id="rId1277" Type="http://schemas.openxmlformats.org/officeDocument/2006/relationships/hyperlink" Target="https://youtu.be/tLt6UwK66O4" TargetMode="External"/><Relationship Id="rId1276" Type="http://schemas.openxmlformats.org/officeDocument/2006/relationships/hyperlink" Target="https://youtu.be/amsVtQLBLNI" TargetMode="External"/><Relationship Id="rId1275" Type="http://schemas.openxmlformats.org/officeDocument/2006/relationships/hyperlink" Target="https://youtu.be/BWbqTdj5hRg" TargetMode="External"/><Relationship Id="rId1274" Type="http://schemas.openxmlformats.org/officeDocument/2006/relationships/hyperlink" Target="https://youtu.be/FUxDpYTUk5g" TargetMode="External"/><Relationship Id="rId1273" Type="http://schemas.openxmlformats.org/officeDocument/2006/relationships/hyperlink" Target="https://youtu.be/AzYxGcblPF4" TargetMode="External"/><Relationship Id="rId1272" Type="http://schemas.openxmlformats.org/officeDocument/2006/relationships/hyperlink" Target="https://youtu.be/JCJj-1e3LM0" TargetMode="External"/><Relationship Id="rId1271" Type="http://schemas.openxmlformats.org/officeDocument/2006/relationships/hyperlink" Target="https://youtu.be/4DrztPY2Zws" TargetMode="External"/><Relationship Id="rId1270" Type="http://schemas.openxmlformats.org/officeDocument/2006/relationships/hyperlink" Target="https://youtu.be/qmYxHkFBGw8" TargetMode="External"/><Relationship Id="rId127" Type="http://schemas.openxmlformats.org/officeDocument/2006/relationships/hyperlink" Target="https://youtu.be/qxRwx6klbeg" TargetMode="External"/><Relationship Id="rId1269" Type="http://schemas.openxmlformats.org/officeDocument/2006/relationships/hyperlink" Target="https://youtu.be/2NHYmVZAXC0" TargetMode="External"/><Relationship Id="rId1268" Type="http://schemas.openxmlformats.org/officeDocument/2006/relationships/hyperlink" Target="https://youtu.be/XNEWihFe_CA" TargetMode="External"/><Relationship Id="rId1267" Type="http://schemas.openxmlformats.org/officeDocument/2006/relationships/hyperlink" Target="https://youtu.be/hGdQnUUuwy0" TargetMode="External"/><Relationship Id="rId1266" Type="http://schemas.openxmlformats.org/officeDocument/2006/relationships/hyperlink" Target="https://youtu.be/pV0gxHsxw5Y" TargetMode="External"/><Relationship Id="rId1265" Type="http://schemas.openxmlformats.org/officeDocument/2006/relationships/hyperlink" Target="https://youtu.be/9MfWARdoF-o" TargetMode="External"/><Relationship Id="rId1264" Type="http://schemas.openxmlformats.org/officeDocument/2006/relationships/hyperlink" Target="https://youtu.be/z43cNmfKUsc" TargetMode="External"/><Relationship Id="rId1263" Type="http://schemas.openxmlformats.org/officeDocument/2006/relationships/hyperlink" Target="https://youtu.be/bc13InB3hmc" TargetMode="External"/><Relationship Id="rId1262" Type="http://schemas.openxmlformats.org/officeDocument/2006/relationships/hyperlink" Target="https://youtu.be/Xy_zm8y6nwI" TargetMode="External"/><Relationship Id="rId1261" Type="http://schemas.openxmlformats.org/officeDocument/2006/relationships/hyperlink" Target="https://youtu.be/fRW3GH1MeBs" TargetMode="External"/><Relationship Id="rId1260" Type="http://schemas.openxmlformats.org/officeDocument/2006/relationships/hyperlink" Target="https://youtu.be/_4ELvaib0kg" TargetMode="External"/><Relationship Id="rId126" Type="http://schemas.openxmlformats.org/officeDocument/2006/relationships/hyperlink" Target="https://youtu.be/Ah-jnpya4-s" TargetMode="External"/><Relationship Id="rId1259" Type="http://schemas.openxmlformats.org/officeDocument/2006/relationships/hyperlink" Target="https://youtu.be/fxnEKi7ItW4" TargetMode="External"/><Relationship Id="rId1258" Type="http://schemas.openxmlformats.org/officeDocument/2006/relationships/hyperlink" Target="https://youtu.be/04lrZeQOpNI" TargetMode="External"/><Relationship Id="rId1257" Type="http://schemas.openxmlformats.org/officeDocument/2006/relationships/hyperlink" Target="https://youtu.be/FudqalBElYo" TargetMode="External"/><Relationship Id="rId1256" Type="http://schemas.openxmlformats.org/officeDocument/2006/relationships/hyperlink" Target="https://youtu.be/tjK0toxT7z0" TargetMode="External"/><Relationship Id="rId1255" Type="http://schemas.openxmlformats.org/officeDocument/2006/relationships/hyperlink" Target="https://youtu.be/PdFJViWm4jE" TargetMode="External"/><Relationship Id="rId1254" Type="http://schemas.openxmlformats.org/officeDocument/2006/relationships/hyperlink" Target="https://youtu.be/9yPjAkd9dHw" TargetMode="External"/><Relationship Id="rId1253" Type="http://schemas.openxmlformats.org/officeDocument/2006/relationships/hyperlink" Target="https://youtu.be/YIT2Up1imWs" TargetMode="External"/><Relationship Id="rId1252" Type="http://schemas.openxmlformats.org/officeDocument/2006/relationships/hyperlink" Target="https://youtu.be/1TzGSmTyFiA" TargetMode="External"/><Relationship Id="rId1251" Type="http://schemas.openxmlformats.org/officeDocument/2006/relationships/hyperlink" Target="https://youtu.be/6rByLGwcYN4" TargetMode="External"/><Relationship Id="rId1250" Type="http://schemas.openxmlformats.org/officeDocument/2006/relationships/hyperlink" Target="https://youtu.be/Psy-AtTP3hw" TargetMode="External"/><Relationship Id="rId125" Type="http://schemas.openxmlformats.org/officeDocument/2006/relationships/hyperlink" Target="https://youtu.be/_2SvDVkZDhU" TargetMode="External"/><Relationship Id="rId1249" Type="http://schemas.openxmlformats.org/officeDocument/2006/relationships/hyperlink" Target="https://youtu.be/VGzsoB7Y06w" TargetMode="External"/><Relationship Id="rId1248" Type="http://schemas.openxmlformats.org/officeDocument/2006/relationships/hyperlink" Target="https://youtu.be/YCyVdWXtlUE" TargetMode="External"/><Relationship Id="rId1247" Type="http://schemas.openxmlformats.org/officeDocument/2006/relationships/hyperlink" Target="https://youtu.be/9SXJq_RP3V4" TargetMode="External"/><Relationship Id="rId1246" Type="http://schemas.openxmlformats.org/officeDocument/2006/relationships/hyperlink" Target="https://youtu.be/PC4_kkd1laU" TargetMode="External"/><Relationship Id="rId1245" Type="http://schemas.openxmlformats.org/officeDocument/2006/relationships/hyperlink" Target="https://youtu.be/crQ_iGm318U" TargetMode="External"/><Relationship Id="rId1244" Type="http://schemas.openxmlformats.org/officeDocument/2006/relationships/hyperlink" Target="https://youtu.be/bKk_7NIKY3Y" TargetMode="External"/><Relationship Id="rId1243" Type="http://schemas.openxmlformats.org/officeDocument/2006/relationships/hyperlink" Target="https://youtu.be/y_zvGnV-tn4" TargetMode="External"/><Relationship Id="rId1242" Type="http://schemas.openxmlformats.org/officeDocument/2006/relationships/hyperlink" Target="https://youtu.be/HdjVVsaIL50" TargetMode="External"/><Relationship Id="rId1241" Type="http://schemas.openxmlformats.org/officeDocument/2006/relationships/hyperlink" Target="https://youtu.be/g701qIxrMlU" TargetMode="External"/><Relationship Id="rId1240" Type="http://schemas.openxmlformats.org/officeDocument/2006/relationships/hyperlink" Target="https://youtu.be/d7Ofjkexqmc" TargetMode="External"/><Relationship Id="rId124" Type="http://schemas.openxmlformats.org/officeDocument/2006/relationships/hyperlink" Target="https://youtu.be/Or7ZiVvj2cE" TargetMode="External"/><Relationship Id="rId1239" Type="http://schemas.openxmlformats.org/officeDocument/2006/relationships/hyperlink" Target="https://youtu.be/BPvEAWWRfGs" TargetMode="External"/><Relationship Id="rId1238" Type="http://schemas.openxmlformats.org/officeDocument/2006/relationships/hyperlink" Target="https://youtu.be/tioUzyhs6a4" TargetMode="External"/><Relationship Id="rId1237" Type="http://schemas.openxmlformats.org/officeDocument/2006/relationships/hyperlink" Target="https://youtu.be/49wKRx05Rtg" TargetMode="External"/><Relationship Id="rId1236" Type="http://schemas.openxmlformats.org/officeDocument/2006/relationships/hyperlink" Target="https://youtu.be/Y4d2WfjGMqU" TargetMode="External"/><Relationship Id="rId1235" Type="http://schemas.openxmlformats.org/officeDocument/2006/relationships/hyperlink" Target="https://youtu.be/npkhnDBufRw" TargetMode="External"/><Relationship Id="rId1234" Type="http://schemas.openxmlformats.org/officeDocument/2006/relationships/hyperlink" Target="https://youtu.be/akq1bdn_dIY" TargetMode="External"/><Relationship Id="rId1233" Type="http://schemas.openxmlformats.org/officeDocument/2006/relationships/hyperlink" Target="https://youtu.be/vsdOE7OJzJM" TargetMode="External"/><Relationship Id="rId1232" Type="http://schemas.openxmlformats.org/officeDocument/2006/relationships/hyperlink" Target="https://youtu.be/2FxNCh9dAKE" TargetMode="External"/><Relationship Id="rId1231" Type="http://schemas.openxmlformats.org/officeDocument/2006/relationships/hyperlink" Target="https://youtu.be/pd7A-k7ic5Q" TargetMode="External"/><Relationship Id="rId1230" Type="http://schemas.openxmlformats.org/officeDocument/2006/relationships/hyperlink" Target="https://youtu.be/dHgBYA4gEnQ" TargetMode="External"/><Relationship Id="rId123" Type="http://schemas.openxmlformats.org/officeDocument/2006/relationships/hyperlink" Target="https://youtu.be/OuiMC5oTY7A" TargetMode="External"/><Relationship Id="rId1229" Type="http://schemas.openxmlformats.org/officeDocument/2006/relationships/hyperlink" Target="https://youtu.be/uezBWff0wK8" TargetMode="External"/><Relationship Id="rId1228" Type="http://schemas.openxmlformats.org/officeDocument/2006/relationships/hyperlink" Target="https://youtu.be/G9Ojp4B-iys" TargetMode="External"/><Relationship Id="rId1227" Type="http://schemas.openxmlformats.org/officeDocument/2006/relationships/hyperlink" Target="https://youtu.be/317euw7huSU" TargetMode="External"/><Relationship Id="rId1226" Type="http://schemas.openxmlformats.org/officeDocument/2006/relationships/hyperlink" Target="https://youtu.be/Qk2xoT_E8Uc" TargetMode="External"/><Relationship Id="rId1225" Type="http://schemas.openxmlformats.org/officeDocument/2006/relationships/hyperlink" Target="https://youtu.be/Dp8M9r8m4_c" TargetMode="External"/><Relationship Id="rId1224" Type="http://schemas.openxmlformats.org/officeDocument/2006/relationships/hyperlink" Target="https://youtu.be/4wRixEZWem8" TargetMode="External"/><Relationship Id="rId1223" Type="http://schemas.openxmlformats.org/officeDocument/2006/relationships/hyperlink" Target="https://youtu.be/zK-Rw_6SX_M" TargetMode="External"/><Relationship Id="rId1222" Type="http://schemas.openxmlformats.org/officeDocument/2006/relationships/hyperlink" Target="https://youtu.be/ObF0zVyQ_Xo" TargetMode="External"/><Relationship Id="rId1221" Type="http://schemas.openxmlformats.org/officeDocument/2006/relationships/hyperlink" Target="https://youtu.be/izSYMrnDESY" TargetMode="External"/><Relationship Id="rId1220" Type="http://schemas.openxmlformats.org/officeDocument/2006/relationships/hyperlink" Target="https://youtu.be/Qe3DZQAQfcA" TargetMode="External"/><Relationship Id="rId122" Type="http://schemas.openxmlformats.org/officeDocument/2006/relationships/hyperlink" Target="https://youtu.be/DzqFaQ8rZDE" TargetMode="External"/><Relationship Id="rId1219" Type="http://schemas.openxmlformats.org/officeDocument/2006/relationships/hyperlink" Target="https://youtu.be/69eIsLTZ3uQ" TargetMode="External"/><Relationship Id="rId1218" Type="http://schemas.openxmlformats.org/officeDocument/2006/relationships/hyperlink" Target="https://youtu.be/K1O4kqprsX8" TargetMode="External"/><Relationship Id="rId1217" Type="http://schemas.openxmlformats.org/officeDocument/2006/relationships/hyperlink" Target="https://youtu.be/cm3sN-wpLpE" TargetMode="External"/><Relationship Id="rId1216" Type="http://schemas.openxmlformats.org/officeDocument/2006/relationships/hyperlink" Target="https://youtu.be/LrobW07DFk8" TargetMode="External"/><Relationship Id="rId1215" Type="http://schemas.openxmlformats.org/officeDocument/2006/relationships/hyperlink" Target="https://youtu.be/7DWzmq9e0Lw" TargetMode="External"/><Relationship Id="rId1214" Type="http://schemas.openxmlformats.org/officeDocument/2006/relationships/hyperlink" Target="https://youtu.be/BpCgHsYaA8U" TargetMode="External"/><Relationship Id="rId1213" Type="http://schemas.openxmlformats.org/officeDocument/2006/relationships/hyperlink" Target="https://youtu.be/tQ_eK5q2q0w" TargetMode="External"/><Relationship Id="rId1212" Type="http://schemas.openxmlformats.org/officeDocument/2006/relationships/hyperlink" Target="https://youtu.be/NecjpG1NVac" TargetMode="External"/><Relationship Id="rId1211" Type="http://schemas.openxmlformats.org/officeDocument/2006/relationships/hyperlink" Target="https://youtu.be/BybUJYl0aVk" TargetMode="External"/><Relationship Id="rId1210" Type="http://schemas.openxmlformats.org/officeDocument/2006/relationships/hyperlink" Target="https://youtu.be/pP4dK_12O48" TargetMode="External"/><Relationship Id="rId121" Type="http://schemas.openxmlformats.org/officeDocument/2006/relationships/hyperlink" Target="https://youtu.be/mtmsHpo-H9Q" TargetMode="External"/><Relationship Id="rId1209" Type="http://schemas.openxmlformats.org/officeDocument/2006/relationships/hyperlink" Target="https://youtu.be/6Otg83PPls8" TargetMode="External"/><Relationship Id="rId1208" Type="http://schemas.openxmlformats.org/officeDocument/2006/relationships/hyperlink" Target="https://youtu.be/T9aKSogrL-I" TargetMode="External"/><Relationship Id="rId1207" Type="http://schemas.openxmlformats.org/officeDocument/2006/relationships/hyperlink" Target="https://youtu.be/24Yk81lenCk" TargetMode="External"/><Relationship Id="rId1206" Type="http://schemas.openxmlformats.org/officeDocument/2006/relationships/hyperlink" Target="https://youtu.be/qODBzyB91so" TargetMode="External"/><Relationship Id="rId1205" Type="http://schemas.openxmlformats.org/officeDocument/2006/relationships/hyperlink" Target="https://youtu.be/3bxRpZ6uP2k" TargetMode="External"/><Relationship Id="rId1204" Type="http://schemas.openxmlformats.org/officeDocument/2006/relationships/hyperlink" Target="https://youtu.be/mDQdc5YT0-0" TargetMode="External"/><Relationship Id="rId1203" Type="http://schemas.openxmlformats.org/officeDocument/2006/relationships/hyperlink" Target="https://youtu.be/LZ0ItjwivYE" TargetMode="External"/><Relationship Id="rId1202" Type="http://schemas.openxmlformats.org/officeDocument/2006/relationships/hyperlink" Target="https://youtu.be/Kd8wC_TQtM0" TargetMode="External"/><Relationship Id="rId1201" Type="http://schemas.openxmlformats.org/officeDocument/2006/relationships/hyperlink" Target="https://youtu.be/B0Y6jA6AqqI" TargetMode="External"/><Relationship Id="rId1200" Type="http://schemas.openxmlformats.org/officeDocument/2006/relationships/hyperlink" Target="https://youtu.be/vBe-onc4aic" TargetMode="External"/><Relationship Id="rId120" Type="http://schemas.openxmlformats.org/officeDocument/2006/relationships/hyperlink" Target="https://youtu.be/8U2BPtYyvW8" TargetMode="External"/><Relationship Id="rId12" Type="http://schemas.openxmlformats.org/officeDocument/2006/relationships/hyperlink" Target="https://youtu.be/v7sS4vVtHpI" TargetMode="External"/><Relationship Id="rId1199" Type="http://schemas.openxmlformats.org/officeDocument/2006/relationships/hyperlink" Target="https://youtu.be/hf5PUqp5spg" TargetMode="External"/><Relationship Id="rId1198" Type="http://schemas.openxmlformats.org/officeDocument/2006/relationships/hyperlink" Target="https://youtu.be/_tFvHUnfKcQ" TargetMode="External"/><Relationship Id="rId1197" Type="http://schemas.openxmlformats.org/officeDocument/2006/relationships/hyperlink" Target="https://youtu.be/OxF9kOnPVB8" TargetMode="External"/><Relationship Id="rId1196" Type="http://schemas.openxmlformats.org/officeDocument/2006/relationships/hyperlink" Target="https://youtu.be/M8mntXMihNU" TargetMode="External"/><Relationship Id="rId1195" Type="http://schemas.openxmlformats.org/officeDocument/2006/relationships/hyperlink" Target="https://youtu.be/2o8N4AdaW2A" TargetMode="External"/><Relationship Id="rId1194" Type="http://schemas.openxmlformats.org/officeDocument/2006/relationships/hyperlink" Target="https://youtu.be/GBcHOfqEBKI" TargetMode="External"/><Relationship Id="rId1193" Type="http://schemas.openxmlformats.org/officeDocument/2006/relationships/hyperlink" Target="https://youtu.be/9CsEF9RB1Yw" TargetMode="External"/><Relationship Id="rId1192" Type="http://schemas.openxmlformats.org/officeDocument/2006/relationships/hyperlink" Target="https://youtu.be/96G3qqBoALw" TargetMode="External"/><Relationship Id="rId1191" Type="http://schemas.openxmlformats.org/officeDocument/2006/relationships/hyperlink" Target="https://youtu.be/HAhAP4MPT5I" TargetMode="External"/><Relationship Id="rId1190" Type="http://schemas.openxmlformats.org/officeDocument/2006/relationships/hyperlink" Target="https://youtu.be/VSIC752WPe4" TargetMode="External"/><Relationship Id="rId119" Type="http://schemas.openxmlformats.org/officeDocument/2006/relationships/hyperlink" Target="https://youtu.be/G_FYCymbO4w" TargetMode="External"/><Relationship Id="rId1189" Type="http://schemas.openxmlformats.org/officeDocument/2006/relationships/hyperlink" Target="https://youtu.be/QFoZG-eI0WU" TargetMode="External"/><Relationship Id="rId1188" Type="http://schemas.openxmlformats.org/officeDocument/2006/relationships/hyperlink" Target="https://youtu.be/60fxGvNLFtY" TargetMode="External"/><Relationship Id="rId1187" Type="http://schemas.openxmlformats.org/officeDocument/2006/relationships/hyperlink" Target="https://youtu.be/Brwb6JAZJ0I" TargetMode="External"/><Relationship Id="rId1186" Type="http://schemas.openxmlformats.org/officeDocument/2006/relationships/hyperlink" Target="https://youtu.be/_n7lnGySYEk" TargetMode="External"/><Relationship Id="rId1185" Type="http://schemas.openxmlformats.org/officeDocument/2006/relationships/hyperlink" Target="https://youtu.be/1YdAYr16Y1U" TargetMode="External"/><Relationship Id="rId1184" Type="http://schemas.openxmlformats.org/officeDocument/2006/relationships/hyperlink" Target="https://youtu.be/yTGSy-79eHc" TargetMode="External"/><Relationship Id="rId1183" Type="http://schemas.openxmlformats.org/officeDocument/2006/relationships/hyperlink" Target="https://youtu.be/bVzwbGFdX1Q" TargetMode="External"/><Relationship Id="rId1182" Type="http://schemas.openxmlformats.org/officeDocument/2006/relationships/hyperlink" Target="https://youtu.be/NFEC8OZWDCY" TargetMode="External"/><Relationship Id="rId1181" Type="http://schemas.openxmlformats.org/officeDocument/2006/relationships/hyperlink" Target="https://youtu.be/Q8ynNFZ8XCw" TargetMode="External"/><Relationship Id="rId1180" Type="http://schemas.openxmlformats.org/officeDocument/2006/relationships/hyperlink" Target="https://youtu.be/IlejgR0DM-g" TargetMode="External"/><Relationship Id="rId118" Type="http://schemas.openxmlformats.org/officeDocument/2006/relationships/hyperlink" Target="https://youtu.be/mscfcvlkbDk" TargetMode="External"/><Relationship Id="rId1179" Type="http://schemas.openxmlformats.org/officeDocument/2006/relationships/hyperlink" Target="https://youtu.be/R62xbngPcOE" TargetMode="External"/><Relationship Id="rId1178" Type="http://schemas.openxmlformats.org/officeDocument/2006/relationships/hyperlink" Target="https://youtu.be/gK03z06_Tkg" TargetMode="External"/><Relationship Id="rId1177" Type="http://schemas.openxmlformats.org/officeDocument/2006/relationships/hyperlink" Target="https://youtu.be/5e82F6auX4M" TargetMode="External"/><Relationship Id="rId1176" Type="http://schemas.openxmlformats.org/officeDocument/2006/relationships/hyperlink" Target="https://youtu.be/metJZuLJiy4" TargetMode="External"/><Relationship Id="rId1175" Type="http://schemas.openxmlformats.org/officeDocument/2006/relationships/hyperlink" Target="https://youtu.be/merzd5ib4l8" TargetMode="External"/><Relationship Id="rId1174" Type="http://schemas.openxmlformats.org/officeDocument/2006/relationships/hyperlink" Target="https://youtu.be/Mo8IkHM8fGE" TargetMode="External"/><Relationship Id="rId1173" Type="http://schemas.openxmlformats.org/officeDocument/2006/relationships/hyperlink" Target="https://youtu.be/h5WOWMlt9Ug" TargetMode="External"/><Relationship Id="rId1172" Type="http://schemas.openxmlformats.org/officeDocument/2006/relationships/hyperlink" Target="https://youtu.be/E5xbrT80yqA" TargetMode="External"/><Relationship Id="rId1171" Type="http://schemas.openxmlformats.org/officeDocument/2006/relationships/hyperlink" Target="https://youtu.be/fjqWBsaQj2k" TargetMode="External"/><Relationship Id="rId1170" Type="http://schemas.openxmlformats.org/officeDocument/2006/relationships/hyperlink" Target="https://youtu.be/iOimGkaJGl4" TargetMode="External"/><Relationship Id="rId117" Type="http://schemas.openxmlformats.org/officeDocument/2006/relationships/hyperlink" Target="https://youtu.be/1TPn-lFIYE4" TargetMode="External"/><Relationship Id="rId1169" Type="http://schemas.openxmlformats.org/officeDocument/2006/relationships/hyperlink" Target="https://youtu.be/PqU3LjQr5hM" TargetMode="External"/><Relationship Id="rId1168" Type="http://schemas.openxmlformats.org/officeDocument/2006/relationships/hyperlink" Target="https://youtu.be/sldv0JYFVgU" TargetMode="External"/><Relationship Id="rId1167" Type="http://schemas.openxmlformats.org/officeDocument/2006/relationships/hyperlink" Target="https://youtu.be/fgBi2BjiKXI" TargetMode="External"/><Relationship Id="rId1166" Type="http://schemas.openxmlformats.org/officeDocument/2006/relationships/hyperlink" Target="https://youtu.be/P32j17Fl5L0" TargetMode="External"/><Relationship Id="rId1165" Type="http://schemas.openxmlformats.org/officeDocument/2006/relationships/hyperlink" Target="https://youtu.be/ocPYDuTvivY" TargetMode="External"/><Relationship Id="rId1164" Type="http://schemas.openxmlformats.org/officeDocument/2006/relationships/hyperlink" Target="https://youtu.be/scGc1NS_IV8" TargetMode="External"/><Relationship Id="rId1163" Type="http://schemas.openxmlformats.org/officeDocument/2006/relationships/hyperlink" Target="https://youtu.be/BAcoHQaLWTw" TargetMode="External"/><Relationship Id="rId1162" Type="http://schemas.openxmlformats.org/officeDocument/2006/relationships/hyperlink" Target="https://youtu.be/fPjr4NPtlLE" TargetMode="External"/><Relationship Id="rId1161" Type="http://schemas.openxmlformats.org/officeDocument/2006/relationships/hyperlink" Target="https://youtu.be/U2f6aChCFyg" TargetMode="External"/><Relationship Id="rId1160" Type="http://schemas.openxmlformats.org/officeDocument/2006/relationships/hyperlink" Target="https://youtu.be/joXGqIoMlBY" TargetMode="External"/><Relationship Id="rId116" Type="http://schemas.openxmlformats.org/officeDocument/2006/relationships/hyperlink" Target="https://youtu.be/HUkP9E5-5ds" TargetMode="External"/><Relationship Id="rId1159" Type="http://schemas.openxmlformats.org/officeDocument/2006/relationships/hyperlink" Target="https://youtu.be/TvmVTzN8exQ" TargetMode="External"/><Relationship Id="rId1158" Type="http://schemas.openxmlformats.org/officeDocument/2006/relationships/hyperlink" Target="https://youtu.be/GbH376EJ-uo" TargetMode="External"/><Relationship Id="rId1157" Type="http://schemas.openxmlformats.org/officeDocument/2006/relationships/hyperlink" Target="https://youtu.be/SN_L2KwB6kE" TargetMode="External"/><Relationship Id="rId1156" Type="http://schemas.openxmlformats.org/officeDocument/2006/relationships/hyperlink" Target="https://youtu.be/uL2OSs7DXoU" TargetMode="External"/><Relationship Id="rId1155" Type="http://schemas.openxmlformats.org/officeDocument/2006/relationships/hyperlink" Target="https://youtu.be/wqjqP0-wX4A" TargetMode="External"/><Relationship Id="rId1154" Type="http://schemas.openxmlformats.org/officeDocument/2006/relationships/hyperlink" Target="https://youtu.be/d03-JnJ5QNE" TargetMode="External"/><Relationship Id="rId1153" Type="http://schemas.openxmlformats.org/officeDocument/2006/relationships/hyperlink" Target="https://youtu.be/oUa9DYveXpY" TargetMode="External"/><Relationship Id="rId1152" Type="http://schemas.openxmlformats.org/officeDocument/2006/relationships/hyperlink" Target="https://youtu.be/IyoPoETy5gY" TargetMode="External"/><Relationship Id="rId1151" Type="http://schemas.openxmlformats.org/officeDocument/2006/relationships/hyperlink" Target="https://youtu.be/0JP59g79vA4" TargetMode="External"/><Relationship Id="rId1150" Type="http://schemas.openxmlformats.org/officeDocument/2006/relationships/hyperlink" Target="https://youtu.be/9SY7ojOx6mo" TargetMode="External"/><Relationship Id="rId115" Type="http://schemas.openxmlformats.org/officeDocument/2006/relationships/hyperlink" Target="https://youtu.be/cLRaP4SVvCc" TargetMode="External"/><Relationship Id="rId1149" Type="http://schemas.openxmlformats.org/officeDocument/2006/relationships/hyperlink" Target="https://youtu.be/zXrQZbU9r40" TargetMode="External"/><Relationship Id="rId1148" Type="http://schemas.openxmlformats.org/officeDocument/2006/relationships/hyperlink" Target="https://youtu.be/0q7S6stE0hU" TargetMode="External"/><Relationship Id="rId1147" Type="http://schemas.openxmlformats.org/officeDocument/2006/relationships/hyperlink" Target="https://youtu.be/KOTMa4ZBivw" TargetMode="External"/><Relationship Id="rId1146" Type="http://schemas.openxmlformats.org/officeDocument/2006/relationships/hyperlink" Target="https://youtu.be/6GnVLQqgR7o" TargetMode="External"/><Relationship Id="rId1145" Type="http://schemas.openxmlformats.org/officeDocument/2006/relationships/hyperlink" Target="https://youtu.be/Jn8LfT9HVOQ" TargetMode="External"/><Relationship Id="rId1144" Type="http://schemas.openxmlformats.org/officeDocument/2006/relationships/hyperlink" Target="https://youtu.be/epSYavFfLOE" TargetMode="External"/><Relationship Id="rId1143" Type="http://schemas.openxmlformats.org/officeDocument/2006/relationships/hyperlink" Target="https://youtu.be/1jwgYDbJ6S4" TargetMode="External"/><Relationship Id="rId1142" Type="http://schemas.openxmlformats.org/officeDocument/2006/relationships/hyperlink" Target="https://youtu.be/8zAY3_kzGhw" TargetMode="External"/><Relationship Id="rId1141" Type="http://schemas.openxmlformats.org/officeDocument/2006/relationships/hyperlink" Target="https://youtu.be/bCZyUb8228k" TargetMode="External"/><Relationship Id="rId1140" Type="http://schemas.openxmlformats.org/officeDocument/2006/relationships/hyperlink" Target="https://youtu.be/vqBE0F77LPM" TargetMode="External"/><Relationship Id="rId114" Type="http://schemas.openxmlformats.org/officeDocument/2006/relationships/hyperlink" Target="https://youtu.be/f3QEex_8LZQ" TargetMode="External"/><Relationship Id="rId1139" Type="http://schemas.openxmlformats.org/officeDocument/2006/relationships/hyperlink" Target="https://youtu.be/UgaC1fmF5ao" TargetMode="External"/><Relationship Id="rId1138" Type="http://schemas.openxmlformats.org/officeDocument/2006/relationships/hyperlink" Target="https://youtu.be/jCOen-aiG5E" TargetMode="External"/><Relationship Id="rId1137" Type="http://schemas.openxmlformats.org/officeDocument/2006/relationships/hyperlink" Target="https://youtu.be/odcqeJnboxQ" TargetMode="External"/><Relationship Id="rId1136" Type="http://schemas.openxmlformats.org/officeDocument/2006/relationships/hyperlink" Target="https://youtu.be/a5OEpP53pLc" TargetMode="External"/><Relationship Id="rId1135" Type="http://schemas.openxmlformats.org/officeDocument/2006/relationships/hyperlink" Target="https://youtu.be/HDtlJn9ufME" TargetMode="External"/><Relationship Id="rId1134" Type="http://schemas.openxmlformats.org/officeDocument/2006/relationships/hyperlink" Target="https://youtu.be/Bale3zt3fog" TargetMode="External"/><Relationship Id="rId1133" Type="http://schemas.openxmlformats.org/officeDocument/2006/relationships/hyperlink" Target="https://youtu.be/TLbhrMCM4_0" TargetMode="External"/><Relationship Id="rId1132" Type="http://schemas.openxmlformats.org/officeDocument/2006/relationships/hyperlink" Target="https://youtu.be/nD6rnYjWPzo" TargetMode="External"/><Relationship Id="rId1131" Type="http://schemas.openxmlformats.org/officeDocument/2006/relationships/hyperlink" Target="https://youtu.be/Ybv-UfXKzyA" TargetMode="External"/><Relationship Id="rId1130" Type="http://schemas.openxmlformats.org/officeDocument/2006/relationships/hyperlink" Target="https://youtu.be/FVHF8FTbfow" TargetMode="External"/><Relationship Id="rId113" Type="http://schemas.openxmlformats.org/officeDocument/2006/relationships/hyperlink" Target="https://youtu.be/yMqMREkFfXA" TargetMode="External"/><Relationship Id="rId1129" Type="http://schemas.openxmlformats.org/officeDocument/2006/relationships/hyperlink" Target="https://youtu.be/zQxdl0XDpw0" TargetMode="External"/><Relationship Id="rId1128" Type="http://schemas.openxmlformats.org/officeDocument/2006/relationships/hyperlink" Target="https://youtu.be/eo_6W568XtI" TargetMode="External"/><Relationship Id="rId1127" Type="http://schemas.openxmlformats.org/officeDocument/2006/relationships/hyperlink" Target="https://youtu.be/N9TdWhYBsU0" TargetMode="External"/><Relationship Id="rId1126" Type="http://schemas.openxmlformats.org/officeDocument/2006/relationships/hyperlink" Target="https://youtu.be/W6cYACCrwbU" TargetMode="External"/><Relationship Id="rId1125" Type="http://schemas.openxmlformats.org/officeDocument/2006/relationships/hyperlink" Target="https://youtu.be/-p-D2XBZk38" TargetMode="External"/><Relationship Id="rId1124" Type="http://schemas.openxmlformats.org/officeDocument/2006/relationships/hyperlink" Target="https://youtu.be/c81EaTtFBD8" TargetMode="External"/><Relationship Id="rId1123" Type="http://schemas.openxmlformats.org/officeDocument/2006/relationships/hyperlink" Target="https://youtu.be/iS0ZVT5dnDA" TargetMode="External"/><Relationship Id="rId1122" Type="http://schemas.openxmlformats.org/officeDocument/2006/relationships/hyperlink" Target="https://youtu.be/HPlsOlR9yQI" TargetMode="External"/><Relationship Id="rId1121" Type="http://schemas.openxmlformats.org/officeDocument/2006/relationships/hyperlink" Target="https://youtu.be/-TU1OkVctaI" TargetMode="External"/><Relationship Id="rId1120" Type="http://schemas.openxmlformats.org/officeDocument/2006/relationships/hyperlink" Target="https://youtu.be/hsPVXXxUWyo" TargetMode="External"/><Relationship Id="rId112" Type="http://schemas.openxmlformats.org/officeDocument/2006/relationships/hyperlink" Target="https://youtu.be/P0qzVV6r3sE" TargetMode="External"/><Relationship Id="rId1119" Type="http://schemas.openxmlformats.org/officeDocument/2006/relationships/hyperlink" Target="https://youtu.be/AXGS1-UVZPY" TargetMode="External"/><Relationship Id="rId1118" Type="http://schemas.openxmlformats.org/officeDocument/2006/relationships/hyperlink" Target="https://youtu.be/KoKC6qA_syU" TargetMode="External"/><Relationship Id="rId1117" Type="http://schemas.openxmlformats.org/officeDocument/2006/relationships/hyperlink" Target="https://youtu.be/ww3ueFwqnWs" TargetMode="External"/><Relationship Id="rId1116" Type="http://schemas.openxmlformats.org/officeDocument/2006/relationships/hyperlink" Target="https://youtu.be/YP5OzMBYUqs" TargetMode="External"/><Relationship Id="rId1115" Type="http://schemas.openxmlformats.org/officeDocument/2006/relationships/hyperlink" Target="https://youtu.be/uFhvJfcO0lA" TargetMode="External"/><Relationship Id="rId1114" Type="http://schemas.openxmlformats.org/officeDocument/2006/relationships/hyperlink" Target="https://youtu.be/9884aTBsyU4" TargetMode="External"/><Relationship Id="rId1113" Type="http://schemas.openxmlformats.org/officeDocument/2006/relationships/hyperlink" Target="https://youtu.be/R2mAL1XrKSE" TargetMode="External"/><Relationship Id="rId1112" Type="http://schemas.openxmlformats.org/officeDocument/2006/relationships/hyperlink" Target="https://youtu.be/leYseS988Gg" TargetMode="External"/><Relationship Id="rId1111" Type="http://schemas.openxmlformats.org/officeDocument/2006/relationships/hyperlink" Target="https://youtu.be/yjLLfd3uKXo" TargetMode="External"/><Relationship Id="rId1110" Type="http://schemas.openxmlformats.org/officeDocument/2006/relationships/hyperlink" Target="https://youtu.be/aHzFcorlj4Y" TargetMode="External"/><Relationship Id="rId111" Type="http://schemas.openxmlformats.org/officeDocument/2006/relationships/hyperlink" Target="https://youtu.be/IomdsbwYPrI" TargetMode="External"/><Relationship Id="rId1109" Type="http://schemas.openxmlformats.org/officeDocument/2006/relationships/hyperlink" Target="https://youtu.be/6L_cO0cBRQg" TargetMode="External"/><Relationship Id="rId1108" Type="http://schemas.openxmlformats.org/officeDocument/2006/relationships/hyperlink" Target="https://youtu.be/pTyYu7yuKuw" TargetMode="External"/><Relationship Id="rId1107" Type="http://schemas.openxmlformats.org/officeDocument/2006/relationships/hyperlink" Target="https://youtu.be/LY1hbQuJlC8" TargetMode="External"/><Relationship Id="rId1106" Type="http://schemas.openxmlformats.org/officeDocument/2006/relationships/hyperlink" Target="https://youtu.be/0EvbXi_ccBA" TargetMode="External"/><Relationship Id="rId1105" Type="http://schemas.openxmlformats.org/officeDocument/2006/relationships/hyperlink" Target="https://youtu.be/Ce6vIa4_0dg" TargetMode="External"/><Relationship Id="rId1104" Type="http://schemas.openxmlformats.org/officeDocument/2006/relationships/hyperlink" Target="https://youtu.be/jUxVkXuEKmI" TargetMode="External"/><Relationship Id="rId1103" Type="http://schemas.openxmlformats.org/officeDocument/2006/relationships/hyperlink" Target="https://youtu.be/MCKL5zxfQ2Q" TargetMode="External"/><Relationship Id="rId1102" Type="http://schemas.openxmlformats.org/officeDocument/2006/relationships/hyperlink" Target="https://youtu.be/6nieKZcsu00" TargetMode="External"/><Relationship Id="rId1101" Type="http://schemas.openxmlformats.org/officeDocument/2006/relationships/hyperlink" Target="https://youtu.be/ziSQY8E1b9w" TargetMode="External"/><Relationship Id="rId1100" Type="http://schemas.openxmlformats.org/officeDocument/2006/relationships/hyperlink" Target="https://youtu.be/e6hxdtKOGiE" TargetMode="External"/><Relationship Id="rId110" Type="http://schemas.openxmlformats.org/officeDocument/2006/relationships/hyperlink" Target="https://youtu.be/o5DpMYDJ22o" TargetMode="External"/><Relationship Id="rId11" Type="http://schemas.openxmlformats.org/officeDocument/2006/relationships/hyperlink" Target="https://youtu.be/S0lE1qOoObE" TargetMode="External"/><Relationship Id="rId1099" Type="http://schemas.openxmlformats.org/officeDocument/2006/relationships/hyperlink" Target="https://youtu.be/tikG7eHPXq0" TargetMode="External"/><Relationship Id="rId1098" Type="http://schemas.openxmlformats.org/officeDocument/2006/relationships/hyperlink" Target="https://youtu.be/bTOiiBd2dCo" TargetMode="External"/><Relationship Id="rId1097" Type="http://schemas.openxmlformats.org/officeDocument/2006/relationships/hyperlink" Target="https://youtu.be/zE-M9hZ5WQ4" TargetMode="External"/><Relationship Id="rId1096" Type="http://schemas.openxmlformats.org/officeDocument/2006/relationships/hyperlink" Target="https://youtu.be/9ib47vMS7Nk" TargetMode="External"/><Relationship Id="rId1095" Type="http://schemas.openxmlformats.org/officeDocument/2006/relationships/hyperlink" Target="https://youtu.be/WJW_N-0c-Is" TargetMode="External"/><Relationship Id="rId1094" Type="http://schemas.openxmlformats.org/officeDocument/2006/relationships/hyperlink" Target="https://youtu.be/xUZMGxl3Wq4" TargetMode="External"/><Relationship Id="rId1093" Type="http://schemas.openxmlformats.org/officeDocument/2006/relationships/hyperlink" Target="https://youtu.be/FyNvFssBNlk" TargetMode="External"/><Relationship Id="rId1092" Type="http://schemas.openxmlformats.org/officeDocument/2006/relationships/hyperlink" Target="https://youtu.be/hzt9R1HV5Rw" TargetMode="External"/><Relationship Id="rId1091" Type="http://schemas.openxmlformats.org/officeDocument/2006/relationships/hyperlink" Target="https://youtu.be/QZQr-btpJWM" TargetMode="External"/><Relationship Id="rId1090" Type="http://schemas.openxmlformats.org/officeDocument/2006/relationships/hyperlink" Target="https://youtu.be/Ut9jfotstZg" TargetMode="External"/><Relationship Id="rId109" Type="http://schemas.openxmlformats.org/officeDocument/2006/relationships/hyperlink" Target="https://youtu.be/Pme6SrG_-ZA" TargetMode="External"/><Relationship Id="rId1089" Type="http://schemas.openxmlformats.org/officeDocument/2006/relationships/hyperlink" Target="https://youtu.be/gBLZjBqNAAk" TargetMode="External"/><Relationship Id="rId1088" Type="http://schemas.openxmlformats.org/officeDocument/2006/relationships/hyperlink" Target="https://youtu.be/HdQBlkjbJq8" TargetMode="External"/><Relationship Id="rId1087" Type="http://schemas.openxmlformats.org/officeDocument/2006/relationships/hyperlink" Target="https://youtu.be/0xP_cgs19kU" TargetMode="External"/><Relationship Id="rId1086" Type="http://schemas.openxmlformats.org/officeDocument/2006/relationships/hyperlink" Target="https://youtu.be/53mBaj7ElM8" TargetMode="External"/><Relationship Id="rId1085" Type="http://schemas.openxmlformats.org/officeDocument/2006/relationships/hyperlink" Target="https://youtu.be/DwtLkTpgNMM" TargetMode="External"/><Relationship Id="rId1084" Type="http://schemas.openxmlformats.org/officeDocument/2006/relationships/hyperlink" Target="https://youtu.be/jkVilobS4i0" TargetMode="External"/><Relationship Id="rId1083" Type="http://schemas.openxmlformats.org/officeDocument/2006/relationships/hyperlink" Target="https://youtu.be/SktLZ2l3uxs" TargetMode="External"/><Relationship Id="rId1082" Type="http://schemas.openxmlformats.org/officeDocument/2006/relationships/hyperlink" Target="https://youtu.be/Z-yHD9lVbH8" TargetMode="External"/><Relationship Id="rId1081" Type="http://schemas.openxmlformats.org/officeDocument/2006/relationships/hyperlink" Target="https://youtu.be/DGoV9mTic4I" TargetMode="External"/><Relationship Id="rId1080" Type="http://schemas.openxmlformats.org/officeDocument/2006/relationships/hyperlink" Target="https://youtu.be/wSsUCquggPE" TargetMode="External"/><Relationship Id="rId108" Type="http://schemas.openxmlformats.org/officeDocument/2006/relationships/hyperlink" Target="https://youtu.be/7vPGdmQR944" TargetMode="External"/><Relationship Id="rId1079" Type="http://schemas.openxmlformats.org/officeDocument/2006/relationships/hyperlink" Target="https://youtu.be/FjqdEVfYQAo" TargetMode="External"/><Relationship Id="rId1078" Type="http://schemas.openxmlformats.org/officeDocument/2006/relationships/hyperlink" Target="https://youtu.be/SDfTJA9KsXY" TargetMode="External"/><Relationship Id="rId1077" Type="http://schemas.openxmlformats.org/officeDocument/2006/relationships/hyperlink" Target="https://youtu.be/Sn6MWSCyiJg" TargetMode="External"/><Relationship Id="rId1076" Type="http://schemas.openxmlformats.org/officeDocument/2006/relationships/hyperlink" Target="https://youtu.be/Wz9Xg7Lv-BU" TargetMode="External"/><Relationship Id="rId1075" Type="http://schemas.openxmlformats.org/officeDocument/2006/relationships/hyperlink" Target="https://youtu.be/KZ4IzEBnuek" TargetMode="External"/><Relationship Id="rId1074" Type="http://schemas.openxmlformats.org/officeDocument/2006/relationships/hyperlink" Target="https://youtu.be/8XtPkS3Qls8" TargetMode="External"/><Relationship Id="rId1073" Type="http://schemas.openxmlformats.org/officeDocument/2006/relationships/hyperlink" Target="https://youtu.be/S8veP-ZMR7o" TargetMode="External"/><Relationship Id="rId1072" Type="http://schemas.openxmlformats.org/officeDocument/2006/relationships/hyperlink" Target="https://youtu.be/5jpp8ccqPps" TargetMode="External"/><Relationship Id="rId1071" Type="http://schemas.openxmlformats.org/officeDocument/2006/relationships/hyperlink" Target="https://youtu.be/GjLtuTRKp2s" TargetMode="External"/><Relationship Id="rId1070" Type="http://schemas.openxmlformats.org/officeDocument/2006/relationships/hyperlink" Target="https://youtu.be/pF1LEd_NDuY" TargetMode="External"/><Relationship Id="rId107" Type="http://schemas.openxmlformats.org/officeDocument/2006/relationships/hyperlink" Target="https://youtu.be/W-N4U30kSoY" TargetMode="External"/><Relationship Id="rId1069" Type="http://schemas.openxmlformats.org/officeDocument/2006/relationships/hyperlink" Target="https://youtu.be/fB9jDM49b-g" TargetMode="External"/><Relationship Id="rId1068" Type="http://schemas.openxmlformats.org/officeDocument/2006/relationships/hyperlink" Target="https://youtu.be/VopaBsuwikk" TargetMode="External"/><Relationship Id="rId1067" Type="http://schemas.openxmlformats.org/officeDocument/2006/relationships/hyperlink" Target="https://youtu.be/U3ez7ci4TEg" TargetMode="External"/><Relationship Id="rId1066" Type="http://schemas.openxmlformats.org/officeDocument/2006/relationships/hyperlink" Target="https://youtu.be/moInhIwh0lI" TargetMode="External"/><Relationship Id="rId1065" Type="http://schemas.openxmlformats.org/officeDocument/2006/relationships/hyperlink" Target="https://youtu.be/m1ZAntTQ3e0" TargetMode="External"/><Relationship Id="rId1064" Type="http://schemas.openxmlformats.org/officeDocument/2006/relationships/hyperlink" Target="https://youtu.be/6WYYLnFCF_U" TargetMode="External"/><Relationship Id="rId1063" Type="http://schemas.openxmlformats.org/officeDocument/2006/relationships/hyperlink" Target="https://youtu.be/Gv03IN3Fcmc" TargetMode="External"/><Relationship Id="rId1062" Type="http://schemas.openxmlformats.org/officeDocument/2006/relationships/hyperlink" Target="https://youtu.be/TQHjWFFeetc" TargetMode="External"/><Relationship Id="rId1061" Type="http://schemas.openxmlformats.org/officeDocument/2006/relationships/hyperlink" Target="https://youtu.be/SVrW3uOkLjU" TargetMode="External"/><Relationship Id="rId1060" Type="http://schemas.openxmlformats.org/officeDocument/2006/relationships/hyperlink" Target="https://youtu.be/STIH6SsDBro" TargetMode="External"/><Relationship Id="rId106" Type="http://schemas.openxmlformats.org/officeDocument/2006/relationships/hyperlink" Target="https://youtu.be/uL36x4n5wLQ" TargetMode="External"/><Relationship Id="rId1059" Type="http://schemas.openxmlformats.org/officeDocument/2006/relationships/hyperlink" Target="https://youtu.be/Gm8ECUMYBFg" TargetMode="External"/><Relationship Id="rId1058" Type="http://schemas.openxmlformats.org/officeDocument/2006/relationships/hyperlink" Target="https://youtu.be/AlEo6MW2yMY" TargetMode="External"/><Relationship Id="rId1057" Type="http://schemas.openxmlformats.org/officeDocument/2006/relationships/hyperlink" Target="https://youtu.be/XhQEIF7rLmY" TargetMode="External"/><Relationship Id="rId1056" Type="http://schemas.openxmlformats.org/officeDocument/2006/relationships/hyperlink" Target="https://youtu.be/X4lTOJU22oY" TargetMode="External"/><Relationship Id="rId1055" Type="http://schemas.openxmlformats.org/officeDocument/2006/relationships/hyperlink" Target="https://youtu.be/vBAAawuBgyY" TargetMode="External"/><Relationship Id="rId1054" Type="http://schemas.openxmlformats.org/officeDocument/2006/relationships/hyperlink" Target="https://youtu.be/wITwZU3r2mM" TargetMode="External"/><Relationship Id="rId1053" Type="http://schemas.openxmlformats.org/officeDocument/2006/relationships/hyperlink" Target="https://youtu.be/GgN1HVRbSEc" TargetMode="External"/><Relationship Id="rId1052" Type="http://schemas.openxmlformats.org/officeDocument/2006/relationships/hyperlink" Target="https://youtu.be/74DgelycULc" TargetMode="External"/><Relationship Id="rId1051" Type="http://schemas.openxmlformats.org/officeDocument/2006/relationships/hyperlink" Target="https://youtu.be/vkdAgyJ3Xqw" TargetMode="External"/><Relationship Id="rId1050" Type="http://schemas.openxmlformats.org/officeDocument/2006/relationships/hyperlink" Target="https://youtu.be/wlg0rexZmFM" TargetMode="External"/><Relationship Id="rId105" Type="http://schemas.openxmlformats.org/officeDocument/2006/relationships/hyperlink" Target="https://youtu.be/yQNEKTOL_oA" TargetMode="External"/><Relationship Id="rId1049" Type="http://schemas.openxmlformats.org/officeDocument/2006/relationships/hyperlink" Target="https://youtu.be/y4qQ-L672Q0" TargetMode="External"/><Relationship Id="rId1048" Type="http://schemas.openxmlformats.org/officeDocument/2006/relationships/hyperlink" Target="https://youtu.be/9JDAZBoLJUc" TargetMode="External"/><Relationship Id="rId1047" Type="http://schemas.openxmlformats.org/officeDocument/2006/relationships/hyperlink" Target="https://youtu.be/_kd8tWBLNB0" TargetMode="External"/><Relationship Id="rId1046" Type="http://schemas.openxmlformats.org/officeDocument/2006/relationships/hyperlink" Target="https://youtu.be/60w3WbVwhh8" TargetMode="External"/><Relationship Id="rId1045" Type="http://schemas.openxmlformats.org/officeDocument/2006/relationships/hyperlink" Target="https://youtu.be/c7OO3qCfH9Y" TargetMode="External"/><Relationship Id="rId1044" Type="http://schemas.openxmlformats.org/officeDocument/2006/relationships/hyperlink" Target="https://youtu.be/2_4r_DRtcDI" TargetMode="External"/><Relationship Id="rId1043" Type="http://schemas.openxmlformats.org/officeDocument/2006/relationships/hyperlink" Target="https://youtu.be/oFDeNcu3mnc" TargetMode="External"/><Relationship Id="rId1042" Type="http://schemas.openxmlformats.org/officeDocument/2006/relationships/hyperlink" Target="https://youtu.be/kvYLpzFdreQ" TargetMode="External"/><Relationship Id="rId1041" Type="http://schemas.openxmlformats.org/officeDocument/2006/relationships/hyperlink" Target="https://youtu.be/UvXX3L7o_kw" TargetMode="External"/><Relationship Id="rId1040" Type="http://schemas.openxmlformats.org/officeDocument/2006/relationships/hyperlink" Target="https://youtu.be/r3S1XPDqN_w" TargetMode="External"/><Relationship Id="rId104" Type="http://schemas.openxmlformats.org/officeDocument/2006/relationships/hyperlink" Target="https://youtu.be/tRtiw8Tz-Lk" TargetMode="External"/><Relationship Id="rId1039" Type="http://schemas.openxmlformats.org/officeDocument/2006/relationships/hyperlink" Target="https://youtu.be/KMR8b7T95xU" TargetMode="External"/><Relationship Id="rId1038" Type="http://schemas.openxmlformats.org/officeDocument/2006/relationships/hyperlink" Target="https://youtu.be/dNuB6--L5tA" TargetMode="External"/><Relationship Id="rId1037" Type="http://schemas.openxmlformats.org/officeDocument/2006/relationships/hyperlink" Target="https://youtu.be/BPIXfBJsWIg" TargetMode="External"/><Relationship Id="rId1036" Type="http://schemas.openxmlformats.org/officeDocument/2006/relationships/hyperlink" Target="https://youtu.be/5ESZW5YH6ow" TargetMode="External"/><Relationship Id="rId1035" Type="http://schemas.openxmlformats.org/officeDocument/2006/relationships/hyperlink" Target="https://youtu.be/9yp7EP4hvSQ" TargetMode="External"/><Relationship Id="rId1034" Type="http://schemas.openxmlformats.org/officeDocument/2006/relationships/hyperlink" Target="https://youtu.be/1nHD65LUio0" TargetMode="External"/><Relationship Id="rId1033" Type="http://schemas.openxmlformats.org/officeDocument/2006/relationships/hyperlink" Target="https://youtu.be/sYcbBA9Dg6c" TargetMode="External"/><Relationship Id="rId1032" Type="http://schemas.openxmlformats.org/officeDocument/2006/relationships/hyperlink" Target="https://youtu.be/09wMN_bPoZY" TargetMode="External"/><Relationship Id="rId1031" Type="http://schemas.openxmlformats.org/officeDocument/2006/relationships/hyperlink" Target="https://youtu.be/DDBoMVoEqIs" TargetMode="External"/><Relationship Id="rId1030" Type="http://schemas.openxmlformats.org/officeDocument/2006/relationships/hyperlink" Target="https://youtu.be/ersxREmKIvE" TargetMode="External"/><Relationship Id="rId103" Type="http://schemas.openxmlformats.org/officeDocument/2006/relationships/hyperlink" Target="https://youtu.be/OTbm3nAD3eY" TargetMode="External"/><Relationship Id="rId1029" Type="http://schemas.openxmlformats.org/officeDocument/2006/relationships/hyperlink" Target="https://youtu.be/EuCfB8b-JDM" TargetMode="External"/><Relationship Id="rId1028" Type="http://schemas.openxmlformats.org/officeDocument/2006/relationships/hyperlink" Target="https://youtu.be/z3hv4q1XrDI" TargetMode="External"/><Relationship Id="rId1027" Type="http://schemas.openxmlformats.org/officeDocument/2006/relationships/hyperlink" Target="https://youtu.be/YBe1MHp1LsE" TargetMode="External"/><Relationship Id="rId1026" Type="http://schemas.openxmlformats.org/officeDocument/2006/relationships/hyperlink" Target="https://youtu.be/5uUzxagAPlw" TargetMode="External"/><Relationship Id="rId1025" Type="http://schemas.openxmlformats.org/officeDocument/2006/relationships/hyperlink" Target="https://youtu.be/Lt6WVHMA3yE" TargetMode="External"/><Relationship Id="rId1024" Type="http://schemas.openxmlformats.org/officeDocument/2006/relationships/hyperlink" Target="https://youtu.be/85CQl6_tFOU" TargetMode="External"/><Relationship Id="rId1023" Type="http://schemas.openxmlformats.org/officeDocument/2006/relationships/hyperlink" Target="https://youtu.be/lzZ2TDCIX88" TargetMode="External"/><Relationship Id="rId1022" Type="http://schemas.openxmlformats.org/officeDocument/2006/relationships/hyperlink" Target="https://youtu.be/g5chOA-WEuw" TargetMode="External"/><Relationship Id="rId1021" Type="http://schemas.openxmlformats.org/officeDocument/2006/relationships/hyperlink" Target="https://youtu.be/Se4-RpKdgZc" TargetMode="External"/><Relationship Id="rId1020" Type="http://schemas.openxmlformats.org/officeDocument/2006/relationships/hyperlink" Target="https://youtu.be/sbBQONITclk" TargetMode="External"/><Relationship Id="rId102" Type="http://schemas.openxmlformats.org/officeDocument/2006/relationships/hyperlink" Target="https://youtu.be/JBHB7Mrvuhg" TargetMode="External"/><Relationship Id="rId1019" Type="http://schemas.openxmlformats.org/officeDocument/2006/relationships/hyperlink" Target="https://youtu.be/Zn0CEHi5-Lg" TargetMode="External"/><Relationship Id="rId1018" Type="http://schemas.openxmlformats.org/officeDocument/2006/relationships/hyperlink" Target="https://youtu.be/yVeCVjf38Yg" TargetMode="External"/><Relationship Id="rId1017" Type="http://schemas.openxmlformats.org/officeDocument/2006/relationships/hyperlink" Target="https://youtu.be/gARj5wmlFKg" TargetMode="External"/><Relationship Id="rId1016" Type="http://schemas.openxmlformats.org/officeDocument/2006/relationships/hyperlink" Target="https://youtu.be/EqHkBfT498o" TargetMode="External"/><Relationship Id="rId1015" Type="http://schemas.openxmlformats.org/officeDocument/2006/relationships/hyperlink" Target="https://youtu.be/8r-uO13Xy1s" TargetMode="External"/><Relationship Id="rId1014" Type="http://schemas.openxmlformats.org/officeDocument/2006/relationships/hyperlink" Target="https://youtu.be/8UVNGkpT-ow" TargetMode="External"/><Relationship Id="rId1013" Type="http://schemas.openxmlformats.org/officeDocument/2006/relationships/hyperlink" Target="https://youtu.be/y52121wbO-k" TargetMode="External"/><Relationship Id="rId1012" Type="http://schemas.openxmlformats.org/officeDocument/2006/relationships/hyperlink" Target="https://youtu.be/OLxejNQ5Wzo" TargetMode="External"/><Relationship Id="rId1011" Type="http://schemas.openxmlformats.org/officeDocument/2006/relationships/hyperlink" Target="https://youtu.be/aciRYFKdaRU" TargetMode="External"/><Relationship Id="rId1010" Type="http://schemas.openxmlformats.org/officeDocument/2006/relationships/hyperlink" Target="https://youtu.be/2ke__EDxKvs" TargetMode="External"/><Relationship Id="rId101" Type="http://schemas.openxmlformats.org/officeDocument/2006/relationships/hyperlink" Target="https://youtu.be/st1zPqUPbzU" TargetMode="External"/><Relationship Id="rId1009" Type="http://schemas.openxmlformats.org/officeDocument/2006/relationships/hyperlink" Target="https://youtu.be/EEkWKLd82Yc" TargetMode="External"/><Relationship Id="rId1008" Type="http://schemas.openxmlformats.org/officeDocument/2006/relationships/hyperlink" Target="https://youtu.be/7-AlD4EqoVI" TargetMode="External"/><Relationship Id="rId1007" Type="http://schemas.openxmlformats.org/officeDocument/2006/relationships/hyperlink" Target="https://youtu.be/nkAGltXw1CU" TargetMode="External"/><Relationship Id="rId1006" Type="http://schemas.openxmlformats.org/officeDocument/2006/relationships/hyperlink" Target="https://youtu.be/t2wdNxCvLiw" TargetMode="External"/><Relationship Id="rId1005" Type="http://schemas.openxmlformats.org/officeDocument/2006/relationships/hyperlink" Target="https://youtu.be/5kZZdp727ek" TargetMode="External"/><Relationship Id="rId1004" Type="http://schemas.openxmlformats.org/officeDocument/2006/relationships/hyperlink" Target="https://youtu.be/vVUJaGichGk" TargetMode="External"/><Relationship Id="rId1003" Type="http://schemas.openxmlformats.org/officeDocument/2006/relationships/hyperlink" Target="https://youtu.be/8nKjqWX7o5U" TargetMode="External"/><Relationship Id="rId1002" Type="http://schemas.openxmlformats.org/officeDocument/2006/relationships/hyperlink" Target="https://youtu.be/knmoXlTFKsQ" TargetMode="External"/><Relationship Id="rId1001" Type="http://schemas.openxmlformats.org/officeDocument/2006/relationships/hyperlink" Target="https://youtu.be/M1IBg6VheqA" TargetMode="External"/><Relationship Id="rId1000" Type="http://schemas.openxmlformats.org/officeDocument/2006/relationships/hyperlink" Target="https://youtu.be/s2urx_NvXPo" TargetMode="External"/><Relationship Id="rId100" Type="http://schemas.openxmlformats.org/officeDocument/2006/relationships/hyperlink" Target="https://youtu.be/nrclYTzoARA" TargetMode="External"/><Relationship Id="rId10" Type="http://schemas.openxmlformats.org/officeDocument/2006/relationships/hyperlink" Target="https://youtu.be/sWyxXByejys" TargetMode="External"/><Relationship Id="rId1" Type="http://schemas.openxmlformats.org/officeDocument/2006/relationships/hyperlink" Target="https://youtu.be/WEa88ZZWAEQ"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14"/>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8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HYPERLINK("https://files.afu.se/Downloads/Transcripts/0%20-%20Government/USA%20-%20NASA%20Johnson/2023 06 26 - NASA Johnson - CHAPEA Mission 1 Crew Ingress_WEa88ZZWAEQ - transcript (automated).pdf","Transcript Link")</f>
        <v>Transcript Link</v>
      </c>
      <c r="M2" s="2" t="str">
        <f>HYPERLINK("https://files.afu.se/Downloads/Transcripts/0%20-%20Government/USA%20-%20NASA%20Johnson/2023 06 26 - NASA Johnson - CHAPEA Mission 1 Crew Ingress_WEa88ZZWAEQ - transcript (automated).pdf","Transcript Link")</f>
        <v>Transcript Link</v>
      </c>
    </row>
    <row r="3" ht="180"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HYPERLINK("https://files.afu.se/Downloads/Transcripts/0%20-%20Government/USA%20-%20NASA%20Johnson/2023 06 21 - NASA Johnson - Roscosmos Cosmonauts to Conduct Spacewalk Outside the Space Station_kfffvezaQQI - transcript (automated).pdf","Transcript Link")</f>
        <v>Transcript Link</v>
      </c>
      <c r="M3" s="2" t="str">
        <f>HYPERLINK("https://files.afu.se/Downloads/Transcripts/0%20-%20Government/USA%20-%20NASA%20Johnson/2023 06 21 - NASA Johnson - Roscosmos Cosmonauts to Conduct Spacewalk Outside the Space Station_kfffvezaQQI - transcript (automated).pdf","Transcript Link")</f>
        <v>Transcript Link</v>
      </c>
    </row>
    <row r="4" ht="300"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HYPERLINK("https://files.afu.se/Downloads/Transcripts/0%20-%20Government/USA%20-%20NASA%20Johnson/2023 06 15 - NASA Johnson - Space to Ground  On a Roll  June 16, 2023_umBk3MLmABU - transcript (automated).pdf","Transcript Link")</f>
        <v>Transcript Link</v>
      </c>
      <c r="M4" s="2" t="str">
        <f>HYPERLINK("https://files.afu.se/Downloads/Transcripts/0%20-%20Government/USA%20-%20NASA%20Johnson/2023 06 15 - NASA Johnson - Space to Ground  On a Roll  June 16, 2023_umBk3MLmABU - transcript (automated).pdf","Transcript Link")</f>
        <v>Transcript Link</v>
      </c>
    </row>
    <row r="5" ht="225" spans="1:13">
      <c r="A5" s="1" t="s">
        <v>28</v>
      </c>
      <c r="B5" s="1" t="s">
        <v>13</v>
      </c>
      <c r="C5" s="4" t="s">
        <v>33</v>
      </c>
      <c r="D5" s="1" t="s">
        <v>34</v>
      </c>
      <c r="E5" s="1" t="s">
        <v>35</v>
      </c>
      <c r="F5" s="4" t="s">
        <v>17</v>
      </c>
      <c r="G5" s="1" t="s">
        <v>18</v>
      </c>
      <c r="H5" s="1" t="s">
        <v>19</v>
      </c>
      <c r="I5" s="1" t="s">
        <v>20</v>
      </c>
      <c r="J5" s="1" t="s">
        <v>36</v>
      </c>
      <c r="K5" s="1" t="s">
        <v>22</v>
      </c>
      <c r="L5" s="1" t="str">
        <f>HYPERLINK("https://files.afu.se/Downloads/Transcripts/0%20-%20Government/USA%20-%20NASA%20Johnson/2023 06 15 - NASA Johnson - UAE Astronaut Candidate Training Highlight Reel_F96y_A3DUZY - transcript (automated).pdf","Transcript Link")</f>
        <v>Transcript Link</v>
      </c>
      <c r="M5" s="2" t="str">
        <f>HYPERLINK("https://files.afu.se/Downloads/Transcripts/0%20-%20Government/USA%20-%20NASA%20Johnson/2023 06 15 - NASA Johnson - UAE Astronaut Candidate Training Highlight Reel_F96y_A3DUZY - transcript (automated).pdf","Transcript Link")</f>
        <v>Transcript Link</v>
      </c>
    </row>
    <row r="6" ht="300" spans="1:13">
      <c r="A6" s="1" t="s">
        <v>37</v>
      </c>
      <c r="B6" s="1" t="s">
        <v>13</v>
      </c>
      <c r="C6" s="4" t="s">
        <v>38</v>
      </c>
      <c r="D6" s="1" t="s">
        <v>39</v>
      </c>
      <c r="E6" s="1" t="s">
        <v>31</v>
      </c>
      <c r="F6" s="4" t="s">
        <v>17</v>
      </c>
      <c r="G6" s="1" t="s">
        <v>18</v>
      </c>
      <c r="H6" s="1" t="s">
        <v>19</v>
      </c>
      <c r="I6" s="1" t="s">
        <v>20</v>
      </c>
      <c r="J6" s="1" t="s">
        <v>40</v>
      </c>
      <c r="K6" s="1" t="s">
        <v>22</v>
      </c>
      <c r="L6" s="1" t="str">
        <f>HYPERLINK("https://files.afu.se/Downloads/Transcripts/0%20-%20Government/USA%20-%20NASA%20Johnson/2023 06 09 - NASA Johnson - Space to Ground  Looking for Answers  June 9, 2023_lg_Fz1nPI-s - transcript (automated).pdf","Transcript Link")</f>
        <v>Transcript Link</v>
      </c>
      <c r="M6" s="2" t="str">
        <f>HYPERLINK("https://files.afu.se/Downloads/Transcripts/0%20-%20Government/USA%20-%20NASA%20Johnson/2023 06 09 - NASA Johnson - Space to Ground  Looking for Answers  June 9, 2023_lg_Fz1nPI-s - transcript (automated).pdf","Transcript Link")</f>
        <v>Transcript Link</v>
      </c>
    </row>
    <row r="7" ht="375" spans="1:13">
      <c r="A7" s="1" t="s">
        <v>37</v>
      </c>
      <c r="B7" s="1" t="s">
        <v>13</v>
      </c>
      <c r="C7" s="4" t="s">
        <v>41</v>
      </c>
      <c r="D7" s="1" t="s">
        <v>42</v>
      </c>
      <c r="E7" s="1" t="s">
        <v>43</v>
      </c>
      <c r="F7" s="4" t="s">
        <v>17</v>
      </c>
      <c r="G7" s="1" t="s">
        <v>18</v>
      </c>
      <c r="H7" s="1" t="s">
        <v>19</v>
      </c>
      <c r="I7" s="1" t="s">
        <v>20</v>
      </c>
      <c r="J7" s="1" t="s">
        <v>44</v>
      </c>
      <c r="K7" s="1" t="s">
        <v>22</v>
      </c>
      <c r="L7" s="1" t="str">
        <f>HYPERLINK("https://files.afu.se/Downloads/Transcripts/0%20-%20Government/USA%20-%20NASA%20Johnson/2023 06 09 - NASA Johnson - NASA Extracts Oxygen From Lunar Soil Simulant_VbK8GR7vWcI - transcript (automated).pdf","Transcript Link")</f>
        <v>Transcript Link</v>
      </c>
      <c r="M7" s="2" t="str">
        <f>HYPERLINK("https://files.afu.se/Downloads/Transcripts/0%20-%20Government/USA%20-%20NASA%20Johnson/2023 06 09 - NASA Johnson - NASA Extracts Oxygen From Lunar Soil Simulant_VbK8GR7vWcI - transcript (automated).pdf","Transcript Link")</f>
        <v>Transcript Link</v>
      </c>
    </row>
    <row r="8" ht="300" spans="1:13">
      <c r="A8" s="1" t="s">
        <v>45</v>
      </c>
      <c r="B8" s="1" t="s">
        <v>13</v>
      </c>
      <c r="C8" s="4" t="s">
        <v>46</v>
      </c>
      <c r="D8" s="1" t="s">
        <v>47</v>
      </c>
      <c r="E8" s="1" t="s">
        <v>31</v>
      </c>
      <c r="F8" s="4" t="s">
        <v>17</v>
      </c>
      <c r="G8" s="1" t="s">
        <v>18</v>
      </c>
      <c r="H8" s="1" t="s">
        <v>19</v>
      </c>
      <c r="I8" s="1" t="s">
        <v>20</v>
      </c>
      <c r="J8" s="1" t="s">
        <v>48</v>
      </c>
      <c r="K8" s="1" t="s">
        <v>22</v>
      </c>
      <c r="L8" s="1" t="str">
        <f>HYPERLINK("https://files.afu.se/Downloads/Transcripts/0%20-%20Government/USA%20-%20NASA%20Johnson/2023 06 02 - NASA Johnson - Space to Ground  Storm Watch  June 2, 2023_4UOFD7i4Gx4 - transcript (automated).pdf","Transcript Link")</f>
        <v>Transcript Link</v>
      </c>
      <c r="M8" s="2" t="str">
        <f>HYPERLINK("https://files.afu.se/Downloads/Transcripts/0%20-%20Government/USA%20-%20NASA%20Johnson/2023 06 02 - NASA Johnson - Space to Ground  Storm Watch  June 2, 2023_4UOFD7i4Gx4 - transcript (automated).pdf","Transcript Link")</f>
        <v>Transcript Link</v>
      </c>
    </row>
    <row r="9" ht="180" spans="1:13">
      <c r="A9" s="1" t="s">
        <v>49</v>
      </c>
      <c r="B9" s="1" t="s">
        <v>13</v>
      </c>
      <c r="C9" s="4" t="s">
        <v>50</v>
      </c>
      <c r="D9" s="1" t="s">
        <v>51</v>
      </c>
      <c r="E9" s="1" t="s">
        <v>52</v>
      </c>
      <c r="F9" s="4" t="s">
        <v>17</v>
      </c>
      <c r="G9" s="1" t="s">
        <v>18</v>
      </c>
      <c r="H9" s="1" t="s">
        <v>19</v>
      </c>
      <c r="I9" s="1" t="s">
        <v>20</v>
      </c>
      <c r="J9" s="1" t="s">
        <v>53</v>
      </c>
      <c r="K9" s="1" t="s">
        <v>22</v>
      </c>
      <c r="L9" s="1" t="str">
        <f>HYPERLINK("https://files.afu.se/Downloads/Transcripts/0%20-%20Government/USA%20-%20NASA%20Johnson/2023 06 01 - NASA Johnson - ASTRONAUTS TO CONDUCT SPACEWALKS FOR ADDITIONAL SOLAR ARRAY INSTALLATIONS_L1m-QF0elDs - transcript (automated).pdf","Transcript Link")</f>
        <v>Transcript Link</v>
      </c>
      <c r="M9" s="2" t="str">
        <f>HYPERLINK("https://files.afu.se/Downloads/Transcripts/0%20-%20Government/USA%20-%20NASA%20Johnson/2023 06 01 - NASA Johnson - ASTRONAUTS TO CONDUCT SPACEWALKS FOR ADDITIONAL SOLAR ARRAY INSTALLATIONS_L1m-QF0elDs - transcript (automated).pdf","Transcript Link")</f>
        <v>Transcript Link</v>
      </c>
    </row>
    <row r="10" ht="300" spans="1:13">
      <c r="A10" s="1" t="s">
        <v>54</v>
      </c>
      <c r="B10" s="1" t="s">
        <v>13</v>
      </c>
      <c r="C10" s="4" t="s">
        <v>55</v>
      </c>
      <c r="D10" s="1" t="s">
        <v>56</v>
      </c>
      <c r="E10" s="1" t="s">
        <v>31</v>
      </c>
      <c r="F10" s="4" t="s">
        <v>17</v>
      </c>
      <c r="G10" s="1" t="s">
        <v>18</v>
      </c>
      <c r="H10" s="1" t="s">
        <v>19</v>
      </c>
      <c r="I10" s="1" t="s">
        <v>20</v>
      </c>
      <c r="J10" s="1" t="s">
        <v>57</v>
      </c>
      <c r="K10" s="1" t="s">
        <v>22</v>
      </c>
      <c r="L10" s="1" t="str">
        <f>HYPERLINK("https://files.afu.se/Downloads/Transcripts/0%20-%20Government/USA%20-%20NASA%20Johnson/2023 05 25 - NASA Johnson - Space to Ground  A Full House  May 26,2023_sWyxXByejys - transcript (automated).pdf","Transcript Link")</f>
        <v>Transcript Link</v>
      </c>
      <c r="M10" s="2" t="str">
        <f>HYPERLINK("https://files.afu.se/Downloads/Transcripts/0%20-%20Government/USA%20-%20NASA%20Johnson/2023 05 25 - NASA Johnson - Space to Ground  A Full House  May 26,2023_sWyxXByejys - transcript (automated).pdf","Transcript Link")</f>
        <v>Transcript Link</v>
      </c>
    </row>
    <row r="11" ht="300" spans="1:13">
      <c r="A11" s="1" t="s">
        <v>58</v>
      </c>
      <c r="B11" s="1" t="s">
        <v>13</v>
      </c>
      <c r="C11" s="4" t="s">
        <v>59</v>
      </c>
      <c r="D11" s="1" t="s">
        <v>60</v>
      </c>
      <c r="E11" s="1" t="s">
        <v>31</v>
      </c>
      <c r="F11" s="4" t="s">
        <v>17</v>
      </c>
      <c r="G11" s="1" t="s">
        <v>18</v>
      </c>
      <c r="H11" s="1" t="s">
        <v>19</v>
      </c>
      <c r="I11" s="1" t="s">
        <v>20</v>
      </c>
      <c r="J11" s="1" t="s">
        <v>61</v>
      </c>
      <c r="K11" s="1" t="s">
        <v>22</v>
      </c>
      <c r="L11" s="1" t="str">
        <f>HYPERLINK("https://files.afu.se/Downloads/Transcripts/0%20-%20Government/USA%20-%20NASA%20Johnson/2023 05 19 - NASA Johnson - Space to Ground  Springing Into Flight  May 19, 2023_S0lE1qOoObE - transcript (automated).pdf","Transcript Link")</f>
        <v>Transcript Link</v>
      </c>
      <c r="M11" s="2" t="str">
        <f>HYPERLINK("https://files.afu.se/Downloads/Transcripts/0%20-%20Government/USA%20-%20NASA%20Johnson/2023 05 19 - NASA Johnson - Space to Ground  Springing Into Flight  May 19, 2023_S0lE1qOoObE - transcript (automated).pdf","Transcript Link")</f>
        <v>Transcript Link</v>
      </c>
    </row>
    <row r="12" ht="240" spans="1:13">
      <c r="A12" s="1" t="s">
        <v>62</v>
      </c>
      <c r="B12" s="1" t="s">
        <v>13</v>
      </c>
      <c r="C12" s="4" t="s">
        <v>63</v>
      </c>
      <c r="D12" s="1" t="s">
        <v>64</v>
      </c>
      <c r="E12" s="1" t="s">
        <v>65</v>
      </c>
      <c r="F12" s="4" t="s">
        <v>17</v>
      </c>
      <c r="G12" s="1" t="s">
        <v>18</v>
      </c>
      <c r="H12" s="1" t="s">
        <v>19</v>
      </c>
      <c r="I12" s="1" t="s">
        <v>20</v>
      </c>
      <c r="J12" s="1" t="s">
        <v>66</v>
      </c>
      <c r="K12" s="1" t="s">
        <v>22</v>
      </c>
      <c r="L12" s="1" t="str">
        <f>HYPERLINK("https://files.afu.se/Downloads/Transcripts/0%20-%20Government/USA%20-%20NASA%20Johnson/2023 05 18 - NASA Johnson - America’s Future  Commercial Space Destinations_v7sS4vVtHpI - transcript (automated).pdf","Transcript Link")</f>
        <v>Transcript Link</v>
      </c>
      <c r="M12" s="2" t="str">
        <f>HYPERLINK("https://files.afu.se/Downloads/Transcripts/0%20-%20Government/USA%20-%20NASA%20Johnson/2023 05 18 - NASA Johnson - America’s Future  Commercial Space Destinations_v7sS4vVtHpI - transcript (automated).pdf","Transcript Link")</f>
        <v>Transcript Link</v>
      </c>
    </row>
    <row r="13" ht="300" spans="1:13">
      <c r="A13" s="1" t="s">
        <v>67</v>
      </c>
      <c r="B13" s="1" t="s">
        <v>13</v>
      </c>
      <c r="C13" s="4" t="s">
        <v>68</v>
      </c>
      <c r="D13" s="1" t="s">
        <v>69</v>
      </c>
      <c r="E13" s="1" t="s">
        <v>31</v>
      </c>
      <c r="F13" s="4" t="s">
        <v>17</v>
      </c>
      <c r="G13" s="1" t="s">
        <v>18</v>
      </c>
      <c r="H13" s="1" t="s">
        <v>19</v>
      </c>
      <c r="I13" s="1" t="s">
        <v>20</v>
      </c>
      <c r="J13" s="1" t="s">
        <v>70</v>
      </c>
      <c r="K13" s="1" t="s">
        <v>22</v>
      </c>
      <c r="L13" s="1" t="str">
        <f>HYPERLINK("https://files.afu.se/Downloads/Transcripts/0%20-%20Government/USA%20-%20NASA%20Johnson/2023 05 12 - NASA Johnson - Space to Ground  Dragon Shuffle  May 12, 2023_TnkzAx-efu4 - transcript (automated).pdf","Transcript Link")</f>
        <v>Transcript Link</v>
      </c>
      <c r="M13" s="2" t="str">
        <f>HYPERLINK("https://files.afu.se/Downloads/Transcripts/0%20-%20Government/USA%20-%20NASA%20Johnson/2023 05 12 - NASA Johnson - Space to Ground  Dragon Shuffle  May 12, 2023_TnkzAx-efu4 - transcript (automated).pdf","Transcript Link")</f>
        <v>Transcript Link</v>
      </c>
    </row>
    <row r="14" ht="195" spans="1:13">
      <c r="A14" s="1" t="s">
        <v>71</v>
      </c>
      <c r="B14" s="1" t="s">
        <v>13</v>
      </c>
      <c r="C14" s="4" t="s">
        <v>72</v>
      </c>
      <c r="D14" s="1" t="s">
        <v>73</v>
      </c>
      <c r="E14" s="1" t="s">
        <v>74</v>
      </c>
      <c r="F14" s="4" t="s">
        <v>17</v>
      </c>
      <c r="G14" s="1" t="s">
        <v>18</v>
      </c>
      <c r="H14" s="1" t="s">
        <v>19</v>
      </c>
      <c r="I14" s="1" t="s">
        <v>20</v>
      </c>
      <c r="J14" s="1" t="s">
        <v>75</v>
      </c>
      <c r="K14" s="1" t="s">
        <v>22</v>
      </c>
      <c r="L14" s="1" t="str">
        <f>HYPERLINK("https://files.afu.se/Downloads/Transcripts/0%20-%20Government/USA%20-%20NASA%20Johnson/2023 05 10 - NASA Johnson - Russian Spacewalk 58 Animation - May 23, 2023_h3JyyWKnHNI - transcript (automated).pdf","Transcript Link")</f>
        <v>Transcript Link</v>
      </c>
      <c r="M14" s="2" t="str">
        <f>HYPERLINK("https://files.afu.se/Downloads/Transcripts/0%20-%20Government/USA%20-%20NASA%20Johnson/2023 05 10 - NASA Johnson - Russian Spacewalk 58 Animation - May 23, 2023_h3JyyWKnHNI - transcript (automated).pdf","Transcript Link")</f>
        <v>Transcript Link</v>
      </c>
    </row>
    <row r="15" ht="300" spans="1:13">
      <c r="A15" s="1" t="s">
        <v>76</v>
      </c>
      <c r="B15" s="1" t="s">
        <v>13</v>
      </c>
      <c r="C15" s="4" t="s">
        <v>77</v>
      </c>
      <c r="D15" s="1" t="s">
        <v>78</v>
      </c>
      <c r="E15" s="1" t="s">
        <v>31</v>
      </c>
      <c r="F15" s="4" t="s">
        <v>17</v>
      </c>
      <c r="G15" s="1" t="s">
        <v>18</v>
      </c>
      <c r="H15" s="1" t="s">
        <v>19</v>
      </c>
      <c r="I15" s="1" t="s">
        <v>20</v>
      </c>
      <c r="J15" s="1" t="s">
        <v>79</v>
      </c>
      <c r="K15" s="1" t="s">
        <v>22</v>
      </c>
      <c r="L15" s="1" t="str">
        <f>HYPERLINK("https://files.afu.se/Downloads/Transcripts/0%20-%20Government/USA%20-%20NASA%20Johnson/2023 05 05 - NASA Johnson - Space to Ground  On The Move  May 5, 2023_hoozjAACXWY - transcript (automated).pdf","Transcript Link")</f>
        <v>Transcript Link</v>
      </c>
      <c r="M15" s="2" t="str">
        <f>HYPERLINK("https://files.afu.se/Downloads/Transcripts/0%20-%20Government/USA%20-%20NASA%20Johnson/2023 05 05 - NASA Johnson - Space to Ground  On The Move  May 5, 2023_hoozjAACXWY - transcript (automated).pdf","Transcript Link")</f>
        <v>Transcript Link</v>
      </c>
    </row>
    <row r="16" ht="180" spans="1:13">
      <c r="A16" s="1" t="s">
        <v>80</v>
      </c>
      <c r="B16" s="1" t="s">
        <v>13</v>
      </c>
      <c r="C16" s="4" t="s">
        <v>81</v>
      </c>
      <c r="D16" s="1" t="s">
        <v>82</v>
      </c>
      <c r="E16" s="1" t="s">
        <v>83</v>
      </c>
      <c r="F16" s="4" t="s">
        <v>17</v>
      </c>
      <c r="G16" s="1" t="s">
        <v>18</v>
      </c>
      <c r="H16" s="1" t="s">
        <v>19</v>
      </c>
      <c r="I16" s="1" t="s">
        <v>20</v>
      </c>
      <c r="J16" s="1" t="s">
        <v>84</v>
      </c>
      <c r="K16" s="1" t="s">
        <v>22</v>
      </c>
      <c r="L16" s="1" t="str">
        <f>HYPERLINK("https://files.afu.se/Downloads/Transcripts/0%20-%20Government/USA%20-%20NASA%20Johnson/2023 05 02 - NASA Johnson - Roscosmos Cosmonauts Prepare to Conduct Spacewalk_f_BVxjAEVfA - transcript (automated).pdf","Transcript Link")</f>
        <v>Transcript Link</v>
      </c>
      <c r="M16" s="2" t="str">
        <f>HYPERLINK("https://files.afu.se/Downloads/Transcripts/0%20-%20Government/USA%20-%20NASA%20Johnson/2023 05 02 - NASA Johnson - Roscosmos Cosmonauts Prepare to Conduct Spacewalk_f_BVxjAEVfA - transcript (automated).pdf","Transcript Link")</f>
        <v>Transcript Link</v>
      </c>
    </row>
    <row r="17" ht="180" spans="1:13">
      <c r="A17" s="1" t="s">
        <v>80</v>
      </c>
      <c r="B17" s="1" t="s">
        <v>13</v>
      </c>
      <c r="C17" s="4" t="s">
        <v>85</v>
      </c>
      <c r="D17" s="1" t="s">
        <v>86</v>
      </c>
      <c r="E17" s="1" t="s">
        <v>87</v>
      </c>
      <c r="F17" s="4" t="s">
        <v>17</v>
      </c>
      <c r="G17" s="1" t="s">
        <v>18</v>
      </c>
      <c r="H17" s="1" t="s">
        <v>19</v>
      </c>
      <c r="I17" s="1" t="s">
        <v>20</v>
      </c>
      <c r="J17" s="1" t="s">
        <v>88</v>
      </c>
      <c r="K17" s="1" t="s">
        <v>22</v>
      </c>
      <c r="L17" s="1" t="str">
        <f>HYPERLINK("https://files.afu.se/Downloads/Transcripts/0%20-%20Government/USA%20-%20NASA%20Johnson/2023 05 02 - NASA Johnson - Artemis II Announcement in 4k_gp_38ckItoE - transcript (automated).pdf","Transcript Link")</f>
        <v>Transcript Link</v>
      </c>
      <c r="M17" s="2" t="str">
        <f>HYPERLINK("https://files.afu.se/Downloads/Transcripts/0%20-%20Government/USA%20-%20NASA%20Johnson/2023 05 02 - NASA Johnson - Artemis II Announcement in 4k_gp_38ckItoE - transcript (automated).pdf","Transcript Link")</f>
        <v>Transcript Link</v>
      </c>
    </row>
    <row r="18" ht="300" spans="1:13">
      <c r="A18" s="1" t="s">
        <v>89</v>
      </c>
      <c r="B18" s="1" t="s">
        <v>13</v>
      </c>
      <c r="C18" s="4" t="s">
        <v>90</v>
      </c>
      <c r="D18" s="1" t="s">
        <v>91</v>
      </c>
      <c r="E18" s="1" t="s">
        <v>31</v>
      </c>
      <c r="F18" s="4" t="s">
        <v>17</v>
      </c>
      <c r="G18" s="1" t="s">
        <v>18</v>
      </c>
      <c r="H18" s="1" t="s">
        <v>19</v>
      </c>
      <c r="I18" s="1" t="s">
        <v>20</v>
      </c>
      <c r="J18" s="1" t="s">
        <v>92</v>
      </c>
      <c r="K18" s="1" t="s">
        <v>22</v>
      </c>
      <c r="L18" s="1" t="str">
        <f>HYPERLINK("https://files.afu.se/Downloads/Transcripts/0%20-%20Government/USA%20-%20NASA%20Johnson/2023 04 28 - NASA Johnson - Space to Ground  Checkmate  April 28, 2023_LuPWd5jGsEM - transcript (automated).pdf","Transcript Link")</f>
        <v>Transcript Link</v>
      </c>
      <c r="M18" s="2" t="str">
        <f>HYPERLINK("https://files.afu.se/Downloads/Transcripts/0%20-%20Government/USA%20-%20NASA%20Johnson/2023 04 28 - NASA Johnson - Space to Ground  Checkmate  April 28, 2023_LuPWd5jGsEM - transcript (automated).pdf","Transcript Link")</f>
        <v>Transcript Link</v>
      </c>
    </row>
    <row r="19" ht="300" spans="1:13">
      <c r="A19" s="1" t="s">
        <v>93</v>
      </c>
      <c r="B19" s="1" t="s">
        <v>13</v>
      </c>
      <c r="C19" s="4" t="s">
        <v>94</v>
      </c>
      <c r="D19" s="1" t="s">
        <v>95</v>
      </c>
      <c r="E19" s="1" t="s">
        <v>96</v>
      </c>
      <c r="F19" s="4" t="s">
        <v>17</v>
      </c>
      <c r="G19" s="1" t="s">
        <v>18</v>
      </c>
      <c r="H19" s="1" t="s">
        <v>19</v>
      </c>
      <c r="I19" s="1" t="s">
        <v>20</v>
      </c>
      <c r="J19" s="1" t="s">
        <v>97</v>
      </c>
      <c r="K19" s="1" t="s">
        <v>22</v>
      </c>
      <c r="L19" s="1" t="str">
        <f>HYPERLINK("https://files.afu.se/Downloads/Transcripts/0%20-%20Government/USA%20-%20NASA%20Johnson/2023 04 24 - NASA Johnson - ASTRONAUTS PREPARE STATION FOR SOLAR ARRAY UPGRADES_xuXEv4tUkXQ - transcript (automated).pdf","Transcript Link")</f>
        <v>Transcript Link</v>
      </c>
      <c r="M19" s="2" t="str">
        <f>HYPERLINK("https://files.afu.se/Downloads/Transcripts/0%20-%20Government/USA%20-%20NASA%20Johnson/2023 04 24 - NASA Johnson - ASTRONAUTS PREPARE STATION FOR SOLAR ARRAY UPGRADES_xuXEv4tUkXQ - transcript (automated).pdf","Transcript Link")</f>
        <v>Transcript Link</v>
      </c>
    </row>
    <row r="20" ht="375" spans="1:13">
      <c r="A20" s="1" t="s">
        <v>98</v>
      </c>
      <c r="B20" s="1" t="s">
        <v>13</v>
      </c>
      <c r="C20" s="4" t="s">
        <v>99</v>
      </c>
      <c r="D20" s="1" t="s">
        <v>100</v>
      </c>
      <c r="E20" s="1" t="s">
        <v>101</v>
      </c>
      <c r="F20" s="4" t="s">
        <v>17</v>
      </c>
      <c r="G20" s="1" t="s">
        <v>18</v>
      </c>
      <c r="H20" s="1" t="s">
        <v>19</v>
      </c>
      <c r="I20" s="1" t="s">
        <v>20</v>
      </c>
      <c r="J20" s="1" t="s">
        <v>102</v>
      </c>
      <c r="K20" s="1" t="s">
        <v>22</v>
      </c>
      <c r="L20" s="1" t="str">
        <f>HYPERLINK("https://files.afu.se/Downloads/Transcripts/0%20-%20Government/USA%20-%20NASA%20Johnson/2023 04 21 - NASA Johnson - Earth in 4K – Space Station Expedition 67-68 Edition_UOT4VwhVukA - transcript (automated).pdf","Transcript Link")</f>
        <v>Transcript Link</v>
      </c>
      <c r="M20" s="2" t="str">
        <f>HYPERLINK("https://files.afu.se/Downloads/Transcripts/0%20-%20Government/USA%20-%20NASA%20Johnson/2023 04 21 - NASA Johnson - Earth in 4K – Space Station Expedition 67-68 Edition_UOT4VwhVukA - transcript (automated).pdf","Transcript Link")</f>
        <v>Transcript Link</v>
      </c>
    </row>
    <row r="21" ht="180" spans="1:13">
      <c r="A21" s="1" t="s">
        <v>98</v>
      </c>
      <c r="B21" s="1" t="s">
        <v>13</v>
      </c>
      <c r="C21" s="4" t="s">
        <v>103</v>
      </c>
      <c r="D21" s="1" t="s">
        <v>104</v>
      </c>
      <c r="E21" s="1" t="s">
        <v>105</v>
      </c>
      <c r="F21" s="4" t="s">
        <v>17</v>
      </c>
      <c r="G21" s="1" t="s">
        <v>18</v>
      </c>
      <c r="H21" s="1" t="s">
        <v>19</v>
      </c>
      <c r="I21" s="1" t="s">
        <v>20</v>
      </c>
      <c r="J21" s="1" t="s">
        <v>106</v>
      </c>
      <c r="K21" s="1" t="s">
        <v>22</v>
      </c>
      <c r="L21" s="1" t="str">
        <f>HYPERLINK("https://files.afu.se/Downloads/Transcripts/0%20-%20Government/USA%20-%20NASA%20Johnson/2023 04 21 - NASA Johnson - The Ballad of the Overview Effect   Down to Earth_t0NmI0m5v1g - transcript (automated).pdf","Transcript Link")</f>
        <v>Transcript Link</v>
      </c>
      <c r="M21" s="2" t="str">
        <f>HYPERLINK("https://files.afu.se/Downloads/Transcripts/0%20-%20Government/USA%20-%20NASA%20Johnson/2023 04 21 - NASA Johnson - The Ballad of the Overview Effect   Down to Earth_t0NmI0m5v1g - transcript (automated).pdf","Transcript Link")</f>
        <v>Transcript Link</v>
      </c>
    </row>
    <row r="22" ht="300" spans="1:13">
      <c r="A22" s="1" t="s">
        <v>98</v>
      </c>
      <c r="B22" s="1" t="s">
        <v>13</v>
      </c>
      <c r="C22" s="4" t="s">
        <v>107</v>
      </c>
      <c r="D22" s="1" t="s">
        <v>108</v>
      </c>
      <c r="E22" s="1" t="s">
        <v>31</v>
      </c>
      <c r="F22" s="4" t="s">
        <v>17</v>
      </c>
      <c r="G22" s="1" t="s">
        <v>18</v>
      </c>
      <c r="H22" s="1" t="s">
        <v>19</v>
      </c>
      <c r="I22" s="1" t="s">
        <v>20</v>
      </c>
      <c r="J22" s="1" t="s">
        <v>109</v>
      </c>
      <c r="K22" s="1" t="s">
        <v>22</v>
      </c>
      <c r="L22" s="1" t="str">
        <f>HYPERLINK("https://files.afu.se/Downloads/Transcripts/0%20-%20Government/USA%20-%20NASA%20Johnson/2023 04 21 - NASA Johnson - Space to Ground  Making a Global Impact  April 21, 2023_gfGTS_1bLEk - transcript (automated).pdf","Transcript Link")</f>
        <v>Transcript Link</v>
      </c>
      <c r="M22" s="2" t="str">
        <f>HYPERLINK("https://files.afu.se/Downloads/Transcripts/0%20-%20Government/USA%20-%20NASA%20Johnson/2023 04 21 - NASA Johnson - Space to Ground  Making a Global Impact  April 21, 2023_gfGTS_1bLEk - transcript (automated).pdf","Transcript Link")</f>
        <v>Transcript Link</v>
      </c>
    </row>
    <row r="23" ht="300" spans="1:13">
      <c r="A23" s="1" t="s">
        <v>110</v>
      </c>
      <c r="B23" s="1" t="s">
        <v>13</v>
      </c>
      <c r="C23" s="4" t="s">
        <v>111</v>
      </c>
      <c r="D23" s="1" t="s">
        <v>112</v>
      </c>
      <c r="E23" s="1" t="s">
        <v>31</v>
      </c>
      <c r="F23" s="4" t="s">
        <v>17</v>
      </c>
      <c r="G23" s="1" t="s">
        <v>18</v>
      </c>
      <c r="H23" s="1" t="s">
        <v>19</v>
      </c>
      <c r="I23" s="1" t="s">
        <v>20</v>
      </c>
      <c r="J23" s="1" t="s">
        <v>113</v>
      </c>
      <c r="K23" s="1" t="s">
        <v>22</v>
      </c>
      <c r="L23" s="1" t="str">
        <f>HYPERLINK("https://files.afu.se/Downloads/Transcripts/0%20-%20Government/USA%20-%20NASA%20Johnson/2023 04 14 - NASA Johnson - Space to Ground  Packing Up  April 14, 2023_YSPdZX6OrL8 - transcript (automated).pdf","Transcript Link")</f>
        <v>Transcript Link</v>
      </c>
      <c r="M23" s="2" t="str">
        <f>HYPERLINK("https://files.afu.se/Downloads/Transcripts/0%20-%20Government/USA%20-%20NASA%20Johnson/2023 04 14 - NASA Johnson - Space to Ground  Packing Up  April 14, 2023_YSPdZX6OrL8 - transcript (automated).pdf","Transcript Link")</f>
        <v>Transcript Link</v>
      </c>
    </row>
    <row r="24" ht="409.5" spans="1:13">
      <c r="A24" s="1" t="s">
        <v>114</v>
      </c>
      <c r="B24" s="1" t="s">
        <v>13</v>
      </c>
      <c r="C24" s="4" t="s">
        <v>115</v>
      </c>
      <c r="D24" s="1" t="s">
        <v>116</v>
      </c>
      <c r="E24" s="1" t="s">
        <v>117</v>
      </c>
      <c r="F24" s="4" t="s">
        <v>17</v>
      </c>
      <c r="G24" s="1" t="s">
        <v>18</v>
      </c>
      <c r="H24" s="1" t="s">
        <v>19</v>
      </c>
      <c r="I24" s="1" t="s">
        <v>20</v>
      </c>
      <c r="J24" s="1" t="s">
        <v>118</v>
      </c>
      <c r="K24" s="1" t="s">
        <v>22</v>
      </c>
      <c r="L24" s="1" t="str">
        <f>HYPERLINK("https://files.afu.se/Downloads/Transcripts/0%20-%20Government/USA%20-%20NASA%20Johnson/2023 04 07 - NASA Johnson - NASA Groundlink  Q&amp;A with Crew Isolated in HERA Habitat (C6M4)_tIP-gnyIga0 - transcript (automated).pdf","Transcript Link")</f>
        <v>Transcript Link</v>
      </c>
      <c r="M24" s="2" t="str">
        <f>HYPERLINK("https://files.afu.se/Downloads/Transcripts/0%20-%20Government/USA%20-%20NASA%20Johnson/2023 04 07 - NASA Johnson - NASA Groundlink  Q&amp;A with Crew Isolated in HERA Habitat (C6M4)_tIP-gnyIga0 - transcript (automated).pdf","Transcript Link")</f>
        <v>Transcript Link</v>
      </c>
    </row>
    <row r="25" ht="300" spans="1:13">
      <c r="A25" s="1" t="s">
        <v>114</v>
      </c>
      <c r="B25" s="1" t="s">
        <v>13</v>
      </c>
      <c r="C25" s="4" t="s">
        <v>119</v>
      </c>
      <c r="D25" s="1" t="s">
        <v>120</v>
      </c>
      <c r="E25" s="1" t="s">
        <v>31</v>
      </c>
      <c r="F25" s="4" t="s">
        <v>17</v>
      </c>
      <c r="G25" s="1" t="s">
        <v>18</v>
      </c>
      <c r="H25" s="1" t="s">
        <v>19</v>
      </c>
      <c r="I25" s="1" t="s">
        <v>20</v>
      </c>
      <c r="J25" s="1" t="s">
        <v>121</v>
      </c>
      <c r="K25" s="1" t="s">
        <v>22</v>
      </c>
      <c r="L25" s="1" t="str">
        <f>HYPERLINK("https://files.afu.se/Downloads/Transcripts/0%20-%20Government/USA%20-%20NASA%20Johnson/2023 04 07 - NASA Johnson - Space to Ground  Before the Moon  April 7, 2023_HLI-TNbyyTE - transcript (automated).pdf","Transcript Link")</f>
        <v>Transcript Link</v>
      </c>
      <c r="M25" s="2" t="str">
        <f>HYPERLINK("https://files.afu.se/Downloads/Transcripts/0%20-%20Government/USA%20-%20NASA%20Johnson/2023 04 07 - NASA Johnson - Space to Ground  Before the Moon  April 7, 2023_HLI-TNbyyTE - transcript (automated).pdf","Transcript Link")</f>
        <v>Transcript Link</v>
      </c>
    </row>
    <row r="26" ht="210" spans="1:13">
      <c r="A26" s="1" t="s">
        <v>122</v>
      </c>
      <c r="B26" s="1" t="s">
        <v>13</v>
      </c>
      <c r="C26" s="4" t="s">
        <v>123</v>
      </c>
      <c r="D26" s="1" t="s">
        <v>124</v>
      </c>
      <c r="E26" s="1" t="s">
        <v>125</v>
      </c>
      <c r="F26" s="4" t="s">
        <v>17</v>
      </c>
      <c r="G26" s="1" t="s">
        <v>18</v>
      </c>
      <c r="H26" s="1" t="s">
        <v>19</v>
      </c>
      <c r="I26" s="1" t="s">
        <v>20</v>
      </c>
      <c r="J26" s="1" t="s">
        <v>126</v>
      </c>
      <c r="K26" s="1" t="s">
        <v>22</v>
      </c>
      <c r="L26" s="1" t="str">
        <f>HYPERLINK("https://files.afu.se/Downloads/Transcripts/0%20-%20Government/USA%20-%20NASA%20Johnson/2023 04 03 - NASA Johnson - Victor Glover Artemis II Crew Announcement Resource Reel_4HLIQWwrrzg - transcript (automated).pdf","Transcript Link")</f>
        <v>Transcript Link</v>
      </c>
      <c r="M26" s="2" t="str">
        <f>HYPERLINK("https://files.afu.se/Downloads/Transcripts/0%20-%20Government/USA%20-%20NASA%20Johnson/2023 04 03 - NASA Johnson - Victor Glover Artemis II Crew Announcement Resource Reel_4HLIQWwrrzg - transcript (automated).pdf","Transcript Link")</f>
        <v>Transcript Link</v>
      </c>
    </row>
    <row r="27" ht="195" spans="1:13">
      <c r="A27" s="1" t="s">
        <v>122</v>
      </c>
      <c r="B27" s="1" t="s">
        <v>13</v>
      </c>
      <c r="C27" s="4" t="s">
        <v>127</v>
      </c>
      <c r="D27" s="1" t="s">
        <v>128</v>
      </c>
      <c r="E27" s="1" t="s">
        <v>129</v>
      </c>
      <c r="F27" s="4" t="s">
        <v>17</v>
      </c>
      <c r="G27" s="1" t="s">
        <v>18</v>
      </c>
      <c r="H27" s="1" t="s">
        <v>19</v>
      </c>
      <c r="I27" s="1" t="s">
        <v>20</v>
      </c>
      <c r="J27" s="1" t="s">
        <v>130</v>
      </c>
      <c r="K27" s="1" t="s">
        <v>22</v>
      </c>
      <c r="L27" s="1" t="str">
        <f>HYPERLINK("https://files.afu.se/Downloads/Transcripts/0%20-%20Government/USA%20-%20NASA%20Johnson/2023 04 03 - NASA Johnson - Christina Koch Artemis II Crew Announcement Resource Reel_0vUA3XCpZIE - transcript (automated).pdf","Transcript Link")</f>
        <v>Transcript Link</v>
      </c>
      <c r="M27" s="2" t="str">
        <f>HYPERLINK("https://files.afu.se/Downloads/Transcripts/0%20-%20Government/USA%20-%20NASA%20Johnson/2023 04 03 - NASA Johnson - Christina Koch Artemis II Crew Announcement Resource Reel_0vUA3XCpZIE - transcript (automated).pdf","Transcript Link")</f>
        <v>Transcript Link</v>
      </c>
    </row>
    <row r="28" ht="195" spans="1:13">
      <c r="A28" s="1" t="s">
        <v>122</v>
      </c>
      <c r="B28" s="1" t="s">
        <v>13</v>
      </c>
      <c r="C28" s="4" t="s">
        <v>131</v>
      </c>
      <c r="D28" s="1" t="s">
        <v>132</v>
      </c>
      <c r="E28" s="1" t="s">
        <v>133</v>
      </c>
      <c r="F28" s="4" t="s">
        <v>17</v>
      </c>
      <c r="G28" s="1" t="s">
        <v>18</v>
      </c>
      <c r="H28" s="1" t="s">
        <v>19</v>
      </c>
      <c r="I28" s="1" t="s">
        <v>20</v>
      </c>
      <c r="J28" s="1" t="s">
        <v>134</v>
      </c>
      <c r="K28" s="1" t="s">
        <v>22</v>
      </c>
      <c r="L28" s="1" t="str">
        <f>HYPERLINK("https://files.afu.se/Downloads/Transcripts/0%20-%20Government/USA%20-%20NASA%20Johnson/2023 04 03 - NASA Johnson - Reid Wiseman Artemis II Crew Announcement Resource Reel_ciWAQlH2nu0 - transcript (automated).pdf","Transcript Link")</f>
        <v>Transcript Link</v>
      </c>
      <c r="M28" s="2" t="str">
        <f>HYPERLINK("https://files.afu.se/Downloads/Transcripts/0%20-%20Government/USA%20-%20NASA%20Johnson/2023 04 03 - NASA Johnson - Reid Wiseman Artemis II Crew Announcement Resource Reel_ciWAQlH2nu0 - transcript (automated).pdf","Transcript Link")</f>
        <v>Transcript Link</v>
      </c>
    </row>
    <row r="29" ht="210" spans="1:13">
      <c r="A29" s="1" t="s">
        <v>122</v>
      </c>
      <c r="B29" s="1" t="s">
        <v>13</v>
      </c>
      <c r="C29" s="4" t="s">
        <v>135</v>
      </c>
      <c r="D29" s="1" t="s">
        <v>136</v>
      </c>
      <c r="E29" s="1" t="s">
        <v>137</v>
      </c>
      <c r="F29" s="4" t="s">
        <v>17</v>
      </c>
      <c r="G29" s="1" t="s">
        <v>18</v>
      </c>
      <c r="H29" s="1" t="s">
        <v>19</v>
      </c>
      <c r="I29" s="1" t="s">
        <v>20</v>
      </c>
      <c r="J29" s="1" t="s">
        <v>138</v>
      </c>
      <c r="K29" s="1" t="s">
        <v>22</v>
      </c>
      <c r="L29" s="1" t="str">
        <f>HYPERLINK("https://files.afu.se/Downloads/Transcripts/0%20-%20Government/USA%20-%20NASA%20Johnson/2023 04 03 - NASA Johnson - Jeremy Hansen Artemis II Crew Announcement Resource Reel_7nMlsS4-Lko - transcript (automated).pdf","Transcript Link")</f>
        <v>Transcript Link</v>
      </c>
      <c r="M29" s="2" t="str">
        <f>HYPERLINK("https://files.afu.se/Downloads/Transcripts/0%20-%20Government/USA%20-%20NASA%20Johnson/2023 04 03 - NASA Johnson - Jeremy Hansen Artemis II Crew Announcement Resource Reel_7nMlsS4-Lko - transcript (automated).pdf","Transcript Link")</f>
        <v>Transcript Link</v>
      </c>
    </row>
    <row r="30" ht="300" spans="1:13">
      <c r="A30" s="1" t="s">
        <v>139</v>
      </c>
      <c r="B30" s="1" t="s">
        <v>13</v>
      </c>
      <c r="C30" s="4" t="s">
        <v>140</v>
      </c>
      <c r="D30" s="1" t="s">
        <v>141</v>
      </c>
      <c r="E30" s="1" t="s">
        <v>31</v>
      </c>
      <c r="F30" s="4" t="s">
        <v>17</v>
      </c>
      <c r="G30" s="1" t="s">
        <v>18</v>
      </c>
      <c r="H30" s="1" t="s">
        <v>19</v>
      </c>
      <c r="I30" s="1" t="s">
        <v>20</v>
      </c>
      <c r="J30" s="1" t="s">
        <v>142</v>
      </c>
      <c r="K30" s="1" t="s">
        <v>22</v>
      </c>
      <c r="L30" s="1" t="str">
        <f>HYPERLINK("https://files.afu.se/Downloads/Transcripts/0%20-%20Government/USA%20-%20NASA%20Johnson/2023 03 30 - NASA Johnson - Space to Ground  Setting the Stage  March 31, 2023_7wJvq_dEl4A - transcript (automated).pdf","Transcript Link")</f>
        <v>Transcript Link</v>
      </c>
      <c r="M30" s="2" t="str">
        <f>HYPERLINK("https://files.afu.se/Downloads/Transcripts/0%20-%20Government/USA%20-%20NASA%20Johnson/2023 03 30 - NASA Johnson - Space to Ground  Setting the Stage  March 31, 2023_7wJvq_dEl4A - transcript (automated).pdf","Transcript Link")</f>
        <v>Transcript Link</v>
      </c>
    </row>
    <row r="31" ht="300" spans="1:13">
      <c r="A31" s="1" t="s">
        <v>143</v>
      </c>
      <c r="B31" s="1" t="s">
        <v>13</v>
      </c>
      <c r="C31" s="4" t="s">
        <v>144</v>
      </c>
      <c r="D31" s="1" t="s">
        <v>145</v>
      </c>
      <c r="E31" s="1" t="s">
        <v>31</v>
      </c>
      <c r="F31" s="4" t="s">
        <v>17</v>
      </c>
      <c r="G31" s="1" t="s">
        <v>18</v>
      </c>
      <c r="H31" s="1" t="s">
        <v>19</v>
      </c>
      <c r="I31" s="1" t="s">
        <v>20</v>
      </c>
      <c r="J31" s="1" t="s">
        <v>146</v>
      </c>
      <c r="K31" s="1" t="s">
        <v>22</v>
      </c>
      <c r="L31" s="1" t="str">
        <f>HYPERLINK("https://files.afu.se/Downloads/Transcripts/0%20-%20Government/USA%20-%20NASA%20Johnson/2023 03 23 - NASA Johnson - Space to Ground  It's All About Science  March 24, 2023_RcbveeLCN7Q - transcript (automated).pdf","Transcript Link")</f>
        <v>Transcript Link</v>
      </c>
      <c r="M31" s="2" t="str">
        <f>HYPERLINK("https://files.afu.se/Downloads/Transcripts/0%20-%20Government/USA%20-%20NASA%20Johnson/2023 03 23 - NASA Johnson - Space to Ground  It's All About Science  March 24, 2023_RcbveeLCN7Q - transcript (automated).pdf","Transcript Link")</f>
        <v>Transcript Link</v>
      </c>
    </row>
    <row r="32" ht="300" spans="1:13">
      <c r="A32" s="1" t="s">
        <v>147</v>
      </c>
      <c r="B32" s="1" t="s">
        <v>13</v>
      </c>
      <c r="C32" s="4" t="s">
        <v>148</v>
      </c>
      <c r="D32" s="1" t="s">
        <v>149</v>
      </c>
      <c r="E32" s="1" t="s">
        <v>31</v>
      </c>
      <c r="F32" s="4" t="s">
        <v>17</v>
      </c>
      <c r="G32" s="1" t="s">
        <v>18</v>
      </c>
      <c r="H32" s="1" t="s">
        <v>19</v>
      </c>
      <c r="I32" s="1" t="s">
        <v>20</v>
      </c>
      <c r="J32" s="1" t="s">
        <v>150</v>
      </c>
      <c r="K32" s="1" t="s">
        <v>22</v>
      </c>
      <c r="L32" s="1" t="str">
        <f>HYPERLINK("https://files.afu.se/Downloads/Transcripts/0%20-%20Government/USA%20-%20NASA%20Johnson/2023 03 17 - NASA Johnson - Space to Ground  Past, Present, Future  March 17, 2023_31-TonIy88A - transcript (automated).pdf","Transcript Link")</f>
        <v>Transcript Link</v>
      </c>
      <c r="M32" s="2" t="str">
        <f>HYPERLINK("https://files.afu.se/Downloads/Transcripts/0%20-%20Government/USA%20-%20NASA%20Johnson/2023 03 17 - NASA Johnson - Space to Ground  Past, Present, Future  March 17, 2023_31-TonIy88A - transcript (automated).pdf","Transcript Link")</f>
        <v>Transcript Link</v>
      </c>
    </row>
    <row r="33" ht="180" spans="1:13">
      <c r="A33" s="1" t="s">
        <v>151</v>
      </c>
      <c r="B33" s="1" t="s">
        <v>13</v>
      </c>
      <c r="C33" s="4" t="s">
        <v>152</v>
      </c>
      <c r="D33" s="1" t="s">
        <v>153</v>
      </c>
      <c r="E33" s="1" t="s">
        <v>154</v>
      </c>
      <c r="F33" s="4" t="s">
        <v>17</v>
      </c>
      <c r="G33" s="1" t="s">
        <v>18</v>
      </c>
      <c r="H33" s="1" t="s">
        <v>19</v>
      </c>
      <c r="I33" s="1" t="s">
        <v>20</v>
      </c>
      <c r="J33" s="1" t="s">
        <v>155</v>
      </c>
      <c r="K33" s="1" t="s">
        <v>22</v>
      </c>
      <c r="L33" s="1" t="str">
        <f>HYPERLINK("https://files.afu.se/Downloads/Transcripts/0%20-%20Government/USA%20-%20NASA%20Johnson/2023 03 16 - NASA Johnson - Homecoming    Down to Earth - S2 E8_aLIt84-vVt4 - transcript (automated).pdf","Transcript Link")</f>
        <v>Transcript Link</v>
      </c>
      <c r="M33" s="2" t="str">
        <f>HYPERLINK("https://files.afu.se/Downloads/Transcripts/0%20-%20Government/USA%20-%20NASA%20Johnson/2023 03 16 - NASA Johnson - Homecoming    Down to Earth - S2 E8_aLIt84-vVt4 - transcript (automated).pdf","Transcript Link")</f>
        <v>Transcript Link</v>
      </c>
    </row>
    <row r="34" ht="300" spans="1:13">
      <c r="A34" s="1" t="s">
        <v>156</v>
      </c>
      <c r="B34" s="1" t="s">
        <v>13</v>
      </c>
      <c r="C34" s="4" t="s">
        <v>157</v>
      </c>
      <c r="D34" s="1" t="s">
        <v>158</v>
      </c>
      <c r="E34" s="1" t="s">
        <v>31</v>
      </c>
      <c r="F34" s="4" t="s">
        <v>17</v>
      </c>
      <c r="G34" s="1" t="s">
        <v>18</v>
      </c>
      <c r="H34" s="1" t="s">
        <v>19</v>
      </c>
      <c r="I34" s="1" t="s">
        <v>20</v>
      </c>
      <c r="J34" s="1" t="s">
        <v>159</v>
      </c>
      <c r="K34" s="1" t="s">
        <v>22</v>
      </c>
      <c r="L34" s="1" t="str">
        <f>HYPERLINK("https://files.afu.se/Downloads/Transcripts/0%20-%20Government/USA%20-%20NASA%20Johnson/2023 03 09 - NASA Johnson - Space to Ground  Wrapping Up  March 10, 2023__qY9GpPGIbs - transcript (automated).pdf","Transcript Link")</f>
        <v>Transcript Link</v>
      </c>
      <c r="M34" s="2" t="str">
        <f>HYPERLINK("https://files.afu.se/Downloads/Transcripts/0%20-%20Government/USA%20-%20NASA%20Johnson/2023 03 09 - NASA Johnson - Space to Ground  Wrapping Up  March 10, 2023__qY9GpPGIbs - transcript (automated).pdf","Transcript Link")</f>
        <v>Transcript Link</v>
      </c>
    </row>
    <row r="35" ht="409.5" spans="1:13">
      <c r="A35" s="1" t="s">
        <v>160</v>
      </c>
      <c r="B35" s="1" t="s">
        <v>13</v>
      </c>
      <c r="C35" s="4" t="s">
        <v>161</v>
      </c>
      <c r="D35" s="1" t="s">
        <v>162</v>
      </c>
      <c r="E35" s="1" t="s">
        <v>163</v>
      </c>
      <c r="F35" s="4" t="s">
        <v>17</v>
      </c>
      <c r="G35" s="1" t="s">
        <v>18</v>
      </c>
      <c r="H35" s="1" t="s">
        <v>19</v>
      </c>
      <c r="I35" s="1" t="s">
        <v>20</v>
      </c>
      <c r="J35" s="1" t="s">
        <v>164</v>
      </c>
      <c r="K35" s="1" t="s">
        <v>22</v>
      </c>
      <c r="L35" s="1" t="str">
        <f>HYPERLINK("https://files.afu.se/Downloads/Transcripts/0%20-%20Government/USA%20-%20NASA%20Johnson/2023 03 07 - NASA Johnson - Students from the Caribbean and Central America Speak to the International Space Station_EbZF7wk4x-Q - transcript (automated).pdf","Transcript Link")</f>
        <v>Transcript Link</v>
      </c>
      <c r="M35" s="2" t="str">
        <f>HYPERLINK("https://files.afu.se/Downloads/Transcripts/0%20-%20Government/USA%20-%20NASA%20Johnson/2023 03 07 - NASA Johnson - Students from the Caribbean and Central America Speak to the International Space Station_EbZF7wk4x-Q - transcript (automated).pdf","Transcript Link")</f>
        <v>Transcript Link</v>
      </c>
    </row>
    <row r="36" ht="300" spans="1:13">
      <c r="A36" s="1" t="s">
        <v>165</v>
      </c>
      <c r="B36" s="1" t="s">
        <v>13</v>
      </c>
      <c r="C36" s="4" t="s">
        <v>166</v>
      </c>
      <c r="D36" s="1" t="s">
        <v>167</v>
      </c>
      <c r="E36" s="1" t="s">
        <v>31</v>
      </c>
      <c r="F36" s="4" t="s">
        <v>17</v>
      </c>
      <c r="G36" s="1" t="s">
        <v>18</v>
      </c>
      <c r="H36" s="1" t="s">
        <v>19</v>
      </c>
      <c r="I36" s="1" t="s">
        <v>20</v>
      </c>
      <c r="J36" s="1" t="s">
        <v>168</v>
      </c>
      <c r="K36" s="1" t="s">
        <v>22</v>
      </c>
      <c r="L36" s="1" t="str">
        <f>HYPERLINK("https://files.afu.se/Downloads/Transcripts/0%20-%20Government/USA%20-%20NASA%20Johnson/2023 03 03 - NASA Johnson - Space to Ground  Night Launch  March 3, 2023_m3x_XD6WVwk - transcript (automated).pdf","Transcript Link")</f>
        <v>Transcript Link</v>
      </c>
      <c r="M36" s="2" t="str">
        <f>HYPERLINK("https://files.afu.se/Downloads/Transcripts/0%20-%20Government/USA%20-%20NASA%20Johnson/2023 03 03 - NASA Johnson - Space to Ground  Night Launch  March 3, 2023_m3x_XD6WVwk - transcript (automated).pdf","Transcript Link")</f>
        <v>Transcript Link</v>
      </c>
    </row>
    <row r="37" ht="225" spans="1:13">
      <c r="A37" s="1" t="s">
        <v>169</v>
      </c>
      <c r="B37" s="1" t="s">
        <v>13</v>
      </c>
      <c r="C37" s="4" t="s">
        <v>170</v>
      </c>
      <c r="D37" s="1" t="s">
        <v>171</v>
      </c>
      <c r="E37" s="1" t="s">
        <v>172</v>
      </c>
      <c r="F37" s="4" t="s">
        <v>17</v>
      </c>
      <c r="G37" s="1" t="s">
        <v>18</v>
      </c>
      <c r="H37" s="1" t="s">
        <v>19</v>
      </c>
      <c r="I37" s="1" t="s">
        <v>20</v>
      </c>
      <c r="J37" s="1" t="s">
        <v>173</v>
      </c>
      <c r="K37" s="1" t="s">
        <v>22</v>
      </c>
      <c r="L37" s="1" t="str">
        <f>HYPERLINK("https://files.afu.se/Downloads/Transcripts/0%20-%20Government/USA%20-%20NASA%20Johnson/2023 02 24 - NASA Johnson - Meet Steve Bowen, Crew-6 Commander_SiE0OAFtPuw - transcript (automated).pdf","Transcript Link")</f>
        <v>Transcript Link</v>
      </c>
      <c r="M37" s="2" t="str">
        <f>HYPERLINK("https://files.afu.se/Downloads/Transcripts/0%20-%20Government/USA%20-%20NASA%20Johnson/2023 02 24 - NASA Johnson - Meet Steve Bowen, Crew-6 Commander_SiE0OAFtPuw - transcript (automated).pdf","Transcript Link")</f>
        <v>Transcript Link</v>
      </c>
    </row>
    <row r="38" ht="225" spans="1:13">
      <c r="A38" s="1" t="s">
        <v>169</v>
      </c>
      <c r="B38" s="1" t="s">
        <v>13</v>
      </c>
      <c r="C38" s="4" t="s">
        <v>174</v>
      </c>
      <c r="D38" s="1" t="s">
        <v>175</v>
      </c>
      <c r="E38" s="1" t="s">
        <v>176</v>
      </c>
      <c r="F38" s="4" t="s">
        <v>17</v>
      </c>
      <c r="G38" s="1" t="s">
        <v>18</v>
      </c>
      <c r="H38" s="1" t="s">
        <v>19</v>
      </c>
      <c r="I38" s="1" t="s">
        <v>20</v>
      </c>
      <c r="J38" s="1" t="s">
        <v>177</v>
      </c>
      <c r="K38" s="1" t="s">
        <v>22</v>
      </c>
      <c r="L38" s="1" t="str">
        <f>HYPERLINK("https://files.afu.se/Downloads/Transcripts/0%20-%20Government/USA%20-%20NASA%20Johnson/2023 02 24 - NASA Johnson - Meet Woody Hoburg, Crew-6 Pilot_QzpQJnoG0cI - transcript (automated).pdf","Transcript Link")</f>
        <v>Transcript Link</v>
      </c>
      <c r="M38" s="2" t="str">
        <f>HYPERLINK("https://files.afu.se/Downloads/Transcripts/0%20-%20Government/USA%20-%20NASA%20Johnson/2023 02 24 - NASA Johnson - Meet Woody Hoburg, Crew-6 Pilot_QzpQJnoG0cI - transcript (automated).pdf","Transcript Link")</f>
        <v>Transcript Link</v>
      </c>
    </row>
    <row r="39" ht="300" spans="1:13">
      <c r="A39" s="1" t="s">
        <v>169</v>
      </c>
      <c r="B39" s="1" t="s">
        <v>13</v>
      </c>
      <c r="C39" s="4" t="s">
        <v>178</v>
      </c>
      <c r="D39" s="1" t="s">
        <v>179</v>
      </c>
      <c r="E39" s="1" t="s">
        <v>31</v>
      </c>
      <c r="F39" s="4" t="s">
        <v>17</v>
      </c>
      <c r="G39" s="1" t="s">
        <v>18</v>
      </c>
      <c r="H39" s="1" t="s">
        <v>19</v>
      </c>
      <c r="I39" s="1" t="s">
        <v>20</v>
      </c>
      <c r="J39" s="1" t="s">
        <v>180</v>
      </c>
      <c r="K39" s="1" t="s">
        <v>22</v>
      </c>
      <c r="L39" s="1" t="str">
        <f>HYPERLINK("https://files.afu.se/Downloads/Transcripts/0%20-%20Government/USA%20-%20NASA%20Johnson/2023 02 24 - NASA Johnson - Space to Ground  4 for 6  Feb. 24, 2023_tf5X4Qp2kX4 - transcript (automated).pdf","Transcript Link")</f>
        <v>Transcript Link</v>
      </c>
      <c r="M39" s="2" t="str">
        <f>HYPERLINK("https://files.afu.se/Downloads/Transcripts/0%20-%20Government/USA%20-%20NASA%20Johnson/2023 02 24 - NASA Johnson - Space to Ground  4 for 6  Feb. 24, 2023_tf5X4Qp2kX4 - transcript (automated).pdf","Transcript Link")</f>
        <v>Transcript Link</v>
      </c>
    </row>
    <row r="40" ht="300" spans="1:13">
      <c r="A40" s="1" t="s">
        <v>181</v>
      </c>
      <c r="B40" s="1" t="s">
        <v>13</v>
      </c>
      <c r="C40" s="4" t="s">
        <v>182</v>
      </c>
      <c r="D40" s="1" t="s">
        <v>183</v>
      </c>
      <c r="E40" s="1" t="s">
        <v>31</v>
      </c>
      <c r="F40" s="4" t="s">
        <v>17</v>
      </c>
      <c r="G40" s="1" t="s">
        <v>18</v>
      </c>
      <c r="H40" s="1" t="s">
        <v>19</v>
      </c>
      <c r="I40" s="1" t="s">
        <v>20</v>
      </c>
      <c r="J40" s="1" t="s">
        <v>184</v>
      </c>
      <c r="K40" s="1" t="s">
        <v>22</v>
      </c>
      <c r="L40" s="1" t="str">
        <f>HYPERLINK("https://files.afu.se/Downloads/Transcripts/0%20-%20Government/USA%20-%20NASA%20Johnson/2023 02 17 - NASA Johnson - Space to Ground  A Grip on the Future  Feb. 17, 2023_eURrB55Tt_c - transcript (automated).pdf","Transcript Link")</f>
        <v>Transcript Link</v>
      </c>
      <c r="M40" s="2" t="str">
        <f>HYPERLINK("https://files.afu.se/Downloads/Transcripts/0%20-%20Government/USA%20-%20NASA%20Johnson/2023 02 17 - NASA Johnson - Space to Ground  A Grip on the Future  Feb. 17, 2023_eURrB55Tt_c - transcript (automated).pdf","Transcript Link")</f>
        <v>Transcript Link</v>
      </c>
    </row>
    <row r="41" ht="180" spans="1:13">
      <c r="A41" s="1" t="s">
        <v>185</v>
      </c>
      <c r="B41" s="1" t="s">
        <v>13</v>
      </c>
      <c r="C41" s="4" t="s">
        <v>186</v>
      </c>
      <c r="D41" s="1" t="s">
        <v>187</v>
      </c>
      <c r="E41" s="1" t="s">
        <v>188</v>
      </c>
      <c r="F41" s="4" t="s">
        <v>17</v>
      </c>
      <c r="G41" s="1" t="s">
        <v>18</v>
      </c>
      <c r="H41" s="1" t="s">
        <v>19</v>
      </c>
      <c r="I41" s="1" t="s">
        <v>20</v>
      </c>
      <c r="J41" s="1" t="s">
        <v>189</v>
      </c>
      <c r="K41" s="1" t="s">
        <v>22</v>
      </c>
      <c r="L41" s="1" t="str">
        <f>HYPERLINK("https://files.afu.se/Downloads/Transcripts/0%20-%20Government/USA%20-%20NASA%20Johnson/2023 02 15 - NASA Johnson - New Eyes   Down to Earth - S2 E7_ZE2cDHAx6fk - transcript (automated).pdf","Transcript Link")</f>
        <v>Transcript Link</v>
      </c>
      <c r="M41" s="2" t="str">
        <f>HYPERLINK("https://files.afu.se/Downloads/Transcripts/0%20-%20Government/USA%20-%20NASA%20Johnson/2023 02 15 - NASA Johnson - New Eyes   Down to Earth - S2 E7_ZE2cDHAx6fk - transcript (automated).pdf","Transcript Link")</f>
        <v>Transcript Link</v>
      </c>
    </row>
    <row r="42" ht="300" spans="1:13">
      <c r="A42" s="1" t="s">
        <v>190</v>
      </c>
      <c r="B42" s="1" t="s">
        <v>13</v>
      </c>
      <c r="C42" s="4" t="s">
        <v>191</v>
      </c>
      <c r="D42" s="1" t="s">
        <v>192</v>
      </c>
      <c r="E42" s="1" t="s">
        <v>31</v>
      </c>
      <c r="F42" s="4" t="s">
        <v>17</v>
      </c>
      <c r="G42" s="1" t="s">
        <v>18</v>
      </c>
      <c r="H42" s="1" t="s">
        <v>19</v>
      </c>
      <c r="I42" s="1" t="s">
        <v>20</v>
      </c>
      <c r="J42" s="1" t="s">
        <v>193</v>
      </c>
      <c r="K42" s="1" t="s">
        <v>22</v>
      </c>
      <c r="L42" s="1" t="str">
        <f>HYPERLINK("https://files.afu.se/Downloads/Transcripts/0%20-%20Government/USA%20-%20NASA%20Johnson/2023 02 10 - NASA Johnson - Space to Ground  Multifaceted Module  Feb. 10, 2023_UeD7TW7vC5c - transcript (automated).pdf","Transcript Link")</f>
        <v>Transcript Link</v>
      </c>
      <c r="M42" s="2" t="str">
        <f>HYPERLINK("https://files.afu.se/Downloads/Transcripts/0%20-%20Government/USA%20-%20NASA%20Johnson/2023 02 10 - NASA Johnson - Space to Ground  Multifaceted Module  Feb. 10, 2023_UeD7TW7vC5c - transcript (automated).pdf","Transcript Link")</f>
        <v>Transcript Link</v>
      </c>
    </row>
    <row r="43" ht="300" spans="1:13">
      <c r="A43" s="1" t="s">
        <v>194</v>
      </c>
      <c r="B43" s="1" t="s">
        <v>13</v>
      </c>
      <c r="C43" s="4" t="s">
        <v>195</v>
      </c>
      <c r="D43" s="1" t="s">
        <v>196</v>
      </c>
      <c r="E43" s="1" t="s">
        <v>31</v>
      </c>
      <c r="F43" s="4" t="s">
        <v>17</v>
      </c>
      <c r="G43" s="1" t="s">
        <v>18</v>
      </c>
      <c r="H43" s="1" t="s">
        <v>19</v>
      </c>
      <c r="I43" s="1" t="s">
        <v>20</v>
      </c>
      <c r="J43" s="1" t="s">
        <v>197</v>
      </c>
      <c r="K43" s="1" t="s">
        <v>22</v>
      </c>
      <c r="L43" s="1" t="str">
        <f>HYPERLINK("https://files.afu.se/Downloads/Transcripts/0%20-%20Government/USA%20-%20NASA%20Johnson/2023 02 03 - NASA Johnson - Space to Ground  Flame On  02 03 2023_-MM2AAHcMsc - transcript (automated).pdf","Transcript Link")</f>
        <v>Transcript Link</v>
      </c>
      <c r="M43" s="2" t="str">
        <f>HYPERLINK("https://files.afu.se/Downloads/Transcripts/0%20-%20Government/USA%20-%20NASA%20Johnson/2023 02 03 - NASA Johnson - Space to Ground  Flame On  02 03 2023_-MM2AAHcMsc - transcript (automated).pdf","Transcript Link")</f>
        <v>Transcript Link</v>
      </c>
    </row>
    <row r="44" ht="315" spans="1:13">
      <c r="A44" s="1" t="s">
        <v>198</v>
      </c>
      <c r="B44" s="1" t="s">
        <v>13</v>
      </c>
      <c r="C44" s="4" t="s">
        <v>199</v>
      </c>
      <c r="D44" s="1" t="s">
        <v>200</v>
      </c>
      <c r="E44" s="1" t="s">
        <v>201</v>
      </c>
      <c r="F44" s="4" t="s">
        <v>17</v>
      </c>
      <c r="G44" s="1" t="s">
        <v>18</v>
      </c>
      <c r="H44" s="1" t="s">
        <v>19</v>
      </c>
      <c r="I44" s="1" t="s">
        <v>20</v>
      </c>
      <c r="J44" s="1" t="s">
        <v>202</v>
      </c>
      <c r="K44" s="1" t="s">
        <v>22</v>
      </c>
      <c r="L44" s="1" t="str">
        <f>HYPERLINK("https://files.afu.se/Downloads/Transcripts/0%20-%20Government/USA%20-%20NASA%20Johnson/2023 02 01 - NASA Johnson - Orion spacecraft breaks records on Artemis I mission around the Moon_dCK_DXW3hgk - transcript (automated).pdf","Transcript Link")</f>
        <v>Transcript Link</v>
      </c>
      <c r="M44" s="2" t="str">
        <f>HYPERLINK("https://files.afu.se/Downloads/Transcripts/0%20-%20Government/USA%20-%20NASA%20Johnson/2023 02 01 - NASA Johnson - Orion spacecraft breaks records on Artemis I mission around the Moon_dCK_DXW3hgk - transcript (automated).pdf","Transcript Link")</f>
        <v>Transcript Link</v>
      </c>
    </row>
    <row r="45" ht="195" spans="1:13">
      <c r="A45" s="1" t="s">
        <v>203</v>
      </c>
      <c r="B45" s="1" t="s">
        <v>13</v>
      </c>
      <c r="C45" s="4" t="s">
        <v>204</v>
      </c>
      <c r="D45" s="1" t="s">
        <v>205</v>
      </c>
      <c r="E45" s="1" t="s">
        <v>206</v>
      </c>
      <c r="F45" s="4" t="s">
        <v>17</v>
      </c>
      <c r="G45" s="1" t="s">
        <v>18</v>
      </c>
      <c r="H45" s="1" t="s">
        <v>19</v>
      </c>
      <c r="I45" s="1" t="s">
        <v>20</v>
      </c>
      <c r="J45" s="1" t="s">
        <v>207</v>
      </c>
      <c r="K45" s="1" t="s">
        <v>22</v>
      </c>
      <c r="L45" s="1" t="str">
        <f>HYPERLINK("https://files.afu.se/Downloads/Transcripts/0%20-%20Government/USA%20-%20NASA%20Johnson/2023 01 31 - NASA Johnson - OKLAHOMA STUDENTS DISCUSS LIFE IN SPACE WITH SPACE STATION ASTRONAUT_2WsEVnBD1C0 - transcript (automated).pdf","Transcript Link")</f>
        <v>Transcript Link</v>
      </c>
      <c r="M45" s="2" t="str">
        <f>HYPERLINK("https://files.afu.se/Downloads/Transcripts/0%20-%20Government/USA%20-%20NASA%20Johnson/2023 01 31 - NASA Johnson - OKLAHOMA STUDENTS DISCUSS LIFE IN SPACE WITH SPACE STATION ASTRONAUT_2WsEVnBD1C0 - transcript (automated).pdf","Transcript Link")</f>
        <v>Transcript Link</v>
      </c>
    </row>
    <row r="46" ht="345" spans="1:13">
      <c r="A46" s="1" t="s">
        <v>208</v>
      </c>
      <c r="B46" s="1" t="s">
        <v>13</v>
      </c>
      <c r="C46" s="4" t="s">
        <v>209</v>
      </c>
      <c r="D46" s="1" t="s">
        <v>210</v>
      </c>
      <c r="E46" s="1" t="s">
        <v>211</v>
      </c>
      <c r="F46" s="4" t="s">
        <v>17</v>
      </c>
      <c r="G46" s="1" t="s">
        <v>18</v>
      </c>
      <c r="H46" s="1" t="s">
        <v>19</v>
      </c>
      <c r="I46" s="1" t="s">
        <v>20</v>
      </c>
      <c r="J46" s="1" t="s">
        <v>212</v>
      </c>
      <c r="K46" s="1" t="s">
        <v>22</v>
      </c>
      <c r="L46" s="1" t="str">
        <f>HYPERLINK("https://files.afu.se/Downloads/Transcripts/0%20-%20Government/USA%20-%20NASA%20Johnson/2023 01 27 - NASA Johnson - 2022 Annual Highlights of Results from the International Space Station_yJ6J_--hzGs - transcript (automated).pdf","Transcript Link")</f>
        <v>Transcript Link</v>
      </c>
      <c r="M46" s="2" t="str">
        <f>HYPERLINK("https://files.afu.se/Downloads/Transcripts/0%20-%20Government/USA%20-%20NASA%20Johnson/2023 01 27 - NASA Johnson - 2022 Annual Highlights of Results from the International Space Station_yJ6J_--hzGs - transcript (automated).pdf","Transcript Link")</f>
        <v>Transcript Link</v>
      </c>
    </row>
    <row r="47" ht="300" spans="1:13">
      <c r="A47" s="1" t="s">
        <v>208</v>
      </c>
      <c r="B47" s="1" t="s">
        <v>13</v>
      </c>
      <c r="C47" s="4" t="s">
        <v>213</v>
      </c>
      <c r="D47" s="1" t="s">
        <v>214</v>
      </c>
      <c r="E47" s="1" t="s">
        <v>31</v>
      </c>
      <c r="F47" s="4" t="s">
        <v>17</v>
      </c>
      <c r="G47" s="1" t="s">
        <v>18</v>
      </c>
      <c r="H47" s="1" t="s">
        <v>19</v>
      </c>
      <c r="I47" s="1" t="s">
        <v>20</v>
      </c>
      <c r="J47" s="1" t="s">
        <v>215</v>
      </c>
      <c r="K47" s="1" t="s">
        <v>22</v>
      </c>
      <c r="L47" s="1" t="str">
        <f>HYPERLINK("https://files.afu.se/Downloads/Transcripts/0%20-%20Government/USA%20-%20NASA%20Johnson/2023 01 27 - NASA Johnson - Space to Ground  Crew-6  01 27 2023_tHCMuoZNT9s - transcript (automated).pdf","Transcript Link")</f>
        <v>Transcript Link</v>
      </c>
      <c r="M47" s="2" t="str">
        <f>HYPERLINK("https://files.afu.se/Downloads/Transcripts/0%20-%20Government/USA%20-%20NASA%20Johnson/2023 01 27 - NASA Johnson - Space to Ground  Crew-6  01 27 2023_tHCMuoZNT9s - transcript (automated).pdf","Transcript Link")</f>
        <v>Transcript Link</v>
      </c>
    </row>
    <row r="48" ht="300" spans="1:13">
      <c r="A48" s="1" t="s">
        <v>216</v>
      </c>
      <c r="B48" s="1" t="s">
        <v>13</v>
      </c>
      <c r="C48" s="4" t="s">
        <v>217</v>
      </c>
      <c r="D48" s="1" t="s">
        <v>218</v>
      </c>
      <c r="E48" s="1" t="s">
        <v>31</v>
      </c>
      <c r="F48" s="4" t="s">
        <v>17</v>
      </c>
      <c r="G48" s="1" t="s">
        <v>18</v>
      </c>
      <c r="H48" s="1" t="s">
        <v>19</v>
      </c>
      <c r="I48" s="1" t="s">
        <v>20</v>
      </c>
      <c r="J48" s="1" t="s">
        <v>219</v>
      </c>
      <c r="K48" s="1" t="s">
        <v>22</v>
      </c>
      <c r="L48" s="1" t="str">
        <f>HYPERLINK("https://files.afu.se/Downloads/Transcripts/0%20-%20Government/USA%20-%20NASA%20Johnson/2023 01 20 - NASA Johnson - Space to Ground  First Timers  01 20 2023_q_Vzkxi49Tc - transcript (automated).pdf","Transcript Link")</f>
        <v>Transcript Link</v>
      </c>
      <c r="M48" s="2" t="str">
        <f>HYPERLINK("https://files.afu.se/Downloads/Transcripts/0%20-%20Government/USA%20-%20NASA%20Johnson/2023 01 20 - NASA Johnson - Space to Ground  First Timers  01 20 2023_q_Vzkxi49Tc - transcript (automated).pdf","Transcript Link")</f>
        <v>Transcript Link</v>
      </c>
    </row>
    <row r="49" ht="240" spans="1:13">
      <c r="A49" s="1" t="s">
        <v>220</v>
      </c>
      <c r="B49" s="1" t="s">
        <v>13</v>
      </c>
      <c r="C49" s="4" t="s">
        <v>221</v>
      </c>
      <c r="D49" s="1" t="s">
        <v>222</v>
      </c>
      <c r="E49" s="1" t="s">
        <v>223</v>
      </c>
      <c r="F49" s="4" t="s">
        <v>17</v>
      </c>
      <c r="G49" s="1" t="s">
        <v>18</v>
      </c>
      <c r="H49" s="1" t="s">
        <v>19</v>
      </c>
      <c r="I49" s="1" t="s">
        <v>20</v>
      </c>
      <c r="J49" s="1" t="s">
        <v>224</v>
      </c>
      <c r="K49" s="1" t="s">
        <v>22</v>
      </c>
      <c r="L49" s="1" t="str">
        <f>HYPERLINK("https://files.afu.se/Downloads/Transcripts/0%20-%20Government/USA%20-%20NASA%20Johnson/2023 01 17 - NASA Johnson - U.S. Spacewalk 84 Animation - January 20, 2023_P1OuYsjEUlA - transcript (automated).pdf","Transcript Link")</f>
        <v>Transcript Link</v>
      </c>
      <c r="M49" s="2" t="str">
        <f>HYPERLINK("https://files.afu.se/Downloads/Transcripts/0%20-%20Government/USA%20-%20NASA%20Johnson/2023 01 17 - NASA Johnson - U.S. Spacewalk 84 Animation - January 20, 2023_P1OuYsjEUlA - transcript (automated).pdf","Transcript Link")</f>
        <v>Transcript Link</v>
      </c>
    </row>
    <row r="50" ht="300" spans="1:13">
      <c r="A50" s="1" t="s">
        <v>225</v>
      </c>
      <c r="B50" s="1" t="s">
        <v>13</v>
      </c>
      <c r="C50" s="4" t="s">
        <v>226</v>
      </c>
      <c r="D50" s="1" t="s">
        <v>227</v>
      </c>
      <c r="E50" s="1" t="s">
        <v>31</v>
      </c>
      <c r="F50" s="4" t="s">
        <v>17</v>
      </c>
      <c r="G50" s="1" t="s">
        <v>18</v>
      </c>
      <c r="H50" s="1" t="s">
        <v>19</v>
      </c>
      <c r="I50" s="1" t="s">
        <v>20</v>
      </c>
      <c r="J50" s="1" t="s">
        <v>228</v>
      </c>
      <c r="K50" s="1" t="s">
        <v>22</v>
      </c>
      <c r="L50" s="1" t="str">
        <f>HYPERLINK("https://files.afu.se/Downloads/Transcripts/0%20-%20Government/USA%20-%20NASA%20Johnson/2023 01 13 - NASA Johnson - Space to Ground  The Work Continues  01 13 2023_NjwWBJsDOMs - transcript (automated).pdf","Transcript Link")</f>
        <v>Transcript Link</v>
      </c>
      <c r="M50" s="2" t="str">
        <f>HYPERLINK("https://files.afu.se/Downloads/Transcripts/0%20-%20Government/USA%20-%20NASA%20Johnson/2023 01 13 - NASA Johnson - Space to Ground  The Work Continues  01 13 2023_NjwWBJsDOMs - transcript (automated).pdf","Transcript Link")</f>
        <v>Transcript Link</v>
      </c>
    </row>
    <row r="51" ht="300" spans="1:13">
      <c r="A51" s="1" t="s">
        <v>229</v>
      </c>
      <c r="B51" s="1" t="s">
        <v>13</v>
      </c>
      <c r="C51" s="4" t="s">
        <v>230</v>
      </c>
      <c r="D51" s="1" t="s">
        <v>231</v>
      </c>
      <c r="E51" s="1" t="s">
        <v>31</v>
      </c>
      <c r="F51" s="4" t="s">
        <v>17</v>
      </c>
      <c r="G51" s="1" t="s">
        <v>18</v>
      </c>
      <c r="H51" s="1" t="s">
        <v>19</v>
      </c>
      <c r="I51" s="1" t="s">
        <v>20</v>
      </c>
      <c r="J51" s="1" t="s">
        <v>232</v>
      </c>
      <c r="K51" s="1" t="s">
        <v>22</v>
      </c>
      <c r="L51" s="1" t="str">
        <f>HYPERLINK("https://files.afu.se/Downloads/Transcripts/0%20-%20Government/USA%20-%20NASA%20Johnson/2023 01 06 - NASA Johnson - Space to Ground  New Year, New Food  01 06 2023_tmyDcWE4DQg - transcript (automated).pdf","Transcript Link")</f>
        <v>Transcript Link</v>
      </c>
      <c r="M51" s="2" t="str">
        <f>HYPERLINK("https://files.afu.se/Downloads/Transcripts/0%20-%20Government/USA%20-%20NASA%20Johnson/2023 01 06 - NASA Johnson - Space to Ground  New Year, New Food  01 06 2023_tmyDcWE4DQg - transcript (automated).pdf","Transcript Link")</f>
        <v>Transcript Link</v>
      </c>
    </row>
    <row r="52" ht="180" spans="1:13">
      <c r="A52" s="1" t="s">
        <v>233</v>
      </c>
      <c r="B52" s="1" t="s">
        <v>13</v>
      </c>
      <c r="C52" s="4" t="s">
        <v>234</v>
      </c>
      <c r="D52" s="1" t="s">
        <v>235</v>
      </c>
      <c r="E52" s="1" t="s">
        <v>236</v>
      </c>
      <c r="F52" s="4" t="s">
        <v>17</v>
      </c>
      <c r="G52" s="1" t="s">
        <v>18</v>
      </c>
      <c r="H52" s="1" t="s">
        <v>19</v>
      </c>
      <c r="I52" s="1" t="s">
        <v>20</v>
      </c>
      <c r="J52" s="1" t="s">
        <v>237</v>
      </c>
      <c r="K52" s="1" t="s">
        <v>22</v>
      </c>
      <c r="L52" s="1" t="str">
        <f>HYPERLINK("https://files.afu.se/Downloads/Transcripts/0%20-%20Government/USA%20-%20NASA%20Johnson/2023 01 04 - NASA Johnson - JETT (Joint Extravehicular Activity and Human Surface Mobility Program Test Team ) Feature_ebtTgwxAnZk - transcript (automated).pdf","Transcript Link")</f>
        <v>Transcript Link</v>
      </c>
      <c r="M52" s="2" t="str">
        <f>HYPERLINK("https://files.afu.se/Downloads/Transcripts/0%20-%20Government/USA%20-%20NASA%20Johnson/2023 01 04 - NASA Johnson - JETT (Joint Extravehicular Activity and Human Surface Mobility Program Test Team ) Feature_ebtTgwxAnZk - transcript (automated).pdf","Transcript Link")</f>
        <v>Transcript Link</v>
      </c>
    </row>
    <row r="53" ht="360" spans="1:13">
      <c r="A53" s="1" t="s">
        <v>238</v>
      </c>
      <c r="B53" s="1" t="s">
        <v>13</v>
      </c>
      <c r="C53" s="4" t="s">
        <v>239</v>
      </c>
      <c r="D53" s="1" t="s">
        <v>240</v>
      </c>
      <c r="E53" s="1" t="s">
        <v>241</v>
      </c>
      <c r="F53" s="4" t="s">
        <v>17</v>
      </c>
      <c r="G53" s="1" t="s">
        <v>18</v>
      </c>
      <c r="H53" s="1" t="s">
        <v>19</v>
      </c>
      <c r="I53" s="1" t="s">
        <v>20</v>
      </c>
      <c r="J53" s="1" t="s">
        <v>242</v>
      </c>
      <c r="K53" s="1" t="s">
        <v>22</v>
      </c>
      <c r="L53" s="1" t="str">
        <f>HYPERLINK("https://files.afu.se/Downloads/Transcripts/0%20-%20Government/USA%20-%20NASA%20Johnson/2022 12 28 - NASA Johnson - Best Space Station Science Images of 2022_58LtbqqUGWc - transcript (automated).pdf","Transcript Link")</f>
        <v>Transcript Link</v>
      </c>
      <c r="M53" s="2" t="str">
        <f>HYPERLINK("https://files.afu.se/Downloads/Transcripts/0%20-%20Government/USA%20-%20NASA%20Johnson/2022 12 28 - NASA Johnson - Best Space Station Science Images of 2022_58LtbqqUGWc - transcript (automated).pdf","Transcript Link")</f>
        <v>Transcript Link</v>
      </c>
    </row>
    <row r="54" ht="180" spans="1:13">
      <c r="A54" s="1" t="s">
        <v>243</v>
      </c>
      <c r="B54" s="1" t="s">
        <v>13</v>
      </c>
      <c r="C54" s="4" t="s">
        <v>244</v>
      </c>
      <c r="D54" s="1" t="s">
        <v>245</v>
      </c>
      <c r="E54" s="1" t="s">
        <v>246</v>
      </c>
      <c r="F54" s="4" t="s">
        <v>17</v>
      </c>
      <c r="G54" s="1" t="s">
        <v>18</v>
      </c>
      <c r="H54" s="1" t="s">
        <v>19</v>
      </c>
      <c r="I54" s="1" t="s">
        <v>20</v>
      </c>
      <c r="J54" s="1" t="s">
        <v>247</v>
      </c>
      <c r="K54" s="1" t="s">
        <v>22</v>
      </c>
      <c r="L54" s="1" t="str">
        <f>HYPERLINK("https://files.afu.se/Downloads/Transcripts/0%20-%20Government/USA%20-%20NASA%20Johnson/2022 12 21 - NASA Johnson - Happy Holidays from the International Space Station!_KDBHBTi4wJQ - transcript (automated).pdf","Transcript Link")</f>
        <v>Transcript Link</v>
      </c>
      <c r="M54" s="2" t="str">
        <f>HYPERLINK("https://files.afu.se/Downloads/Transcripts/0%20-%20Government/USA%20-%20NASA%20Johnson/2022 12 21 - NASA Johnson - Happy Holidays from the International Space Station!_KDBHBTi4wJQ - transcript (automated).pdf","Transcript Link")</f>
        <v>Transcript Link</v>
      </c>
    </row>
    <row r="55" ht="180" spans="1:13">
      <c r="A55" s="1" t="s">
        <v>243</v>
      </c>
      <c r="B55" s="1" t="s">
        <v>13</v>
      </c>
      <c r="C55" s="4" t="s">
        <v>248</v>
      </c>
      <c r="D55" s="1" t="s">
        <v>249</v>
      </c>
      <c r="F55" s="4" t="s">
        <v>17</v>
      </c>
      <c r="G55" s="1" t="s">
        <v>18</v>
      </c>
      <c r="H55" s="1" t="s">
        <v>19</v>
      </c>
      <c r="I55" s="1" t="s">
        <v>20</v>
      </c>
      <c r="J55" s="1" t="s">
        <v>250</v>
      </c>
      <c r="K55" s="1" t="s">
        <v>22</v>
      </c>
      <c r="L55" s="1" t="str">
        <f>HYPERLINK("https://files.afu.se/Downloads/Transcripts/0%20-%20Government/USA%20-%20NASA%20Johnson/2022 12 21 - NASA Johnson - JSC Year in Review 2022_-ZsXNCNp-GE - transcript (automated).pdf","Transcript Link")</f>
        <v>Transcript Link</v>
      </c>
      <c r="M55" s="2" t="str">
        <f>HYPERLINK("https://files.afu.se/Downloads/Transcripts/0%20-%20Government/USA%20-%20NASA%20Johnson/2022 12 21 - NASA Johnson - JSC Year in Review 2022_-ZsXNCNp-GE - transcript (automated).pdf","Transcript Link")</f>
        <v>Transcript Link</v>
      </c>
    </row>
    <row r="56" ht="375" spans="1:13">
      <c r="A56" s="1" t="s">
        <v>251</v>
      </c>
      <c r="B56" s="1" t="s">
        <v>13</v>
      </c>
      <c r="C56" s="4" t="s">
        <v>252</v>
      </c>
      <c r="D56" s="1" t="s">
        <v>253</v>
      </c>
      <c r="E56" s="1" t="s">
        <v>254</v>
      </c>
      <c r="F56" s="4" t="s">
        <v>17</v>
      </c>
      <c r="G56" s="1" t="s">
        <v>18</v>
      </c>
      <c r="H56" s="1" t="s">
        <v>19</v>
      </c>
      <c r="I56" s="1" t="s">
        <v>20</v>
      </c>
      <c r="J56" s="1" t="s">
        <v>255</v>
      </c>
      <c r="K56" s="1" t="s">
        <v>22</v>
      </c>
      <c r="L56" s="1" t="str">
        <f>HYPERLINK("https://files.afu.se/Downloads/Transcripts/0%20-%20Government/USA%20-%20NASA%20Johnson/2022 12 20 - NASA Johnson - Space to Ground  2022_ty-ZMomNhis - transcript (automated).pdf","Transcript Link")</f>
        <v>Transcript Link</v>
      </c>
      <c r="M56" s="2" t="str">
        <f>HYPERLINK("https://files.afu.se/Downloads/Transcripts/0%20-%20Government/USA%20-%20NASA%20Johnson/2022 12 20 - NASA Johnson - Space to Ground  2022_ty-ZMomNhis - transcript (automated).pdf","Transcript Link")</f>
        <v>Transcript Link</v>
      </c>
    </row>
    <row r="57" ht="300" spans="1:13">
      <c r="A57" s="1" t="s">
        <v>256</v>
      </c>
      <c r="B57" s="1" t="s">
        <v>13</v>
      </c>
      <c r="C57" s="4" t="s">
        <v>257</v>
      </c>
      <c r="D57" s="1" t="s">
        <v>258</v>
      </c>
      <c r="E57" s="1" t="s">
        <v>31</v>
      </c>
      <c r="F57" s="4" t="s">
        <v>17</v>
      </c>
      <c r="G57" s="1" t="s">
        <v>18</v>
      </c>
      <c r="H57" s="1" t="s">
        <v>19</v>
      </c>
      <c r="I57" s="1" t="s">
        <v>20</v>
      </c>
      <c r="J57" s="1" t="s">
        <v>259</v>
      </c>
      <c r="K57" s="1" t="s">
        <v>22</v>
      </c>
      <c r="L57" s="1" t="str">
        <f>HYPERLINK("https://files.afu.se/Downloads/Transcripts/0%20-%20Government/USA%20-%20NASA%20Johnson/2022 12 16 - NASA Johnson - Space to Ground  What's Past is Prologue  12 16 2022_Kgu3KETBGHw - transcript (automated).pdf","Transcript Link")</f>
        <v>Transcript Link</v>
      </c>
      <c r="M57" s="2" t="str">
        <f>HYPERLINK("https://files.afu.se/Downloads/Transcripts/0%20-%20Government/USA%20-%20NASA%20Johnson/2022 12 16 - NASA Johnson - Space to Ground  What's Past is Prologue  12 16 2022_Kgu3KETBGHw - transcript (automated).pdf","Transcript Link")</f>
        <v>Transcript Link</v>
      </c>
    </row>
    <row r="58" ht="409.5" spans="1:13">
      <c r="A58" s="1" t="s">
        <v>260</v>
      </c>
      <c r="B58" s="1" t="s">
        <v>13</v>
      </c>
      <c r="C58" s="4" t="s">
        <v>261</v>
      </c>
      <c r="D58" s="1" t="s">
        <v>262</v>
      </c>
      <c r="E58" s="1" t="s">
        <v>263</v>
      </c>
      <c r="F58" s="4" t="s">
        <v>17</v>
      </c>
      <c r="G58" s="1" t="s">
        <v>18</v>
      </c>
      <c r="H58" s="1" t="s">
        <v>19</v>
      </c>
      <c r="I58" s="1" t="s">
        <v>20</v>
      </c>
      <c r="J58" s="1" t="s">
        <v>264</v>
      </c>
      <c r="K58" s="1" t="s">
        <v>22</v>
      </c>
      <c r="L58" s="1" t="str">
        <f>HYPERLINK("https://files.afu.se/Downloads/Transcripts/0%20-%20Government/USA%20-%20NASA%20Johnson/2022 12 11 - NASA Johnson - Artemis I Mission Highlights_kZ20H8sHo9w - transcript (automated).pdf","Transcript Link")</f>
        <v>Transcript Link</v>
      </c>
      <c r="M58" s="2" t="str">
        <f>HYPERLINK("https://files.afu.se/Downloads/Transcripts/0%20-%20Government/USA%20-%20NASA%20Johnson/2022 12 11 - NASA Johnson - Artemis I Mission Highlights_kZ20H8sHo9w - transcript (automated).pdf","Transcript Link")</f>
        <v>Transcript Link</v>
      </c>
    </row>
    <row r="59" ht="390" spans="1:13">
      <c r="A59" s="1" t="s">
        <v>265</v>
      </c>
      <c r="B59" s="1" t="s">
        <v>13</v>
      </c>
      <c r="C59" s="4" t="s">
        <v>266</v>
      </c>
      <c r="D59" s="1" t="s">
        <v>267</v>
      </c>
      <c r="E59" s="1" t="s">
        <v>268</v>
      </c>
      <c r="F59" s="4" t="s">
        <v>17</v>
      </c>
      <c r="G59" s="1" t="s">
        <v>18</v>
      </c>
      <c r="H59" s="1" t="s">
        <v>19</v>
      </c>
      <c r="I59" s="1" t="s">
        <v>20</v>
      </c>
      <c r="J59" s="1" t="s">
        <v>269</v>
      </c>
      <c r="K59" s="1" t="s">
        <v>22</v>
      </c>
      <c r="L59" s="1" t="str">
        <f>HYPERLINK("https://files.afu.se/Downloads/Transcripts/0%20-%20Government/USA%20-%20NASA%20Johnson/2022 12 09 - NASA Johnson - Artemis All Access – Updates on Orion’s Journey in Space – 12 9 22_fcc7C0FPNwc - transcript (automated).pdf","Transcript Link")</f>
        <v>Transcript Link</v>
      </c>
      <c r="M59" s="2" t="str">
        <f>HYPERLINK("https://files.afu.se/Downloads/Transcripts/0%20-%20Government/USA%20-%20NASA%20Johnson/2022 12 09 - NASA Johnson - Artemis All Access – Updates on Orion’s Journey in Space – 12 9 22_fcc7C0FPNwc - transcript (automated).pdf","Transcript Link")</f>
        <v>Transcript Link</v>
      </c>
    </row>
    <row r="60" ht="195" spans="1:13">
      <c r="A60" s="1" t="s">
        <v>265</v>
      </c>
      <c r="B60" s="1" t="s">
        <v>13</v>
      </c>
      <c r="C60" s="4" t="s">
        <v>270</v>
      </c>
      <c r="D60" s="1" t="s">
        <v>271</v>
      </c>
      <c r="E60" s="1" t="s">
        <v>272</v>
      </c>
      <c r="F60" s="4" t="s">
        <v>17</v>
      </c>
      <c r="G60" s="1" t="s">
        <v>18</v>
      </c>
      <c r="H60" s="1" t="s">
        <v>19</v>
      </c>
      <c r="I60" s="1" t="s">
        <v>20</v>
      </c>
      <c r="J60" s="1" t="s">
        <v>273</v>
      </c>
      <c r="K60" s="1" t="s">
        <v>22</v>
      </c>
      <c r="L60" s="1" t="str">
        <f>HYPERLINK("https://files.afu.se/Downloads/Transcripts/0%20-%20Government/USA%20-%20NASA%20Johnson/2022 12 09 - NASA Johnson - Parachutes  Bringing Orion Home_HIjS3gahze4 - transcript (automated).pdf","Transcript Link")</f>
        <v>Transcript Link</v>
      </c>
      <c r="M60" s="2" t="str">
        <f>HYPERLINK("https://files.afu.se/Downloads/Transcripts/0%20-%20Government/USA%20-%20NASA%20Johnson/2022 12 09 - NASA Johnson - Parachutes  Bringing Orion Home_HIjS3gahze4 - transcript (automated).pdf","Transcript Link")</f>
        <v>Transcript Link</v>
      </c>
    </row>
    <row r="61" ht="315" spans="1:13">
      <c r="A61" s="1" t="s">
        <v>265</v>
      </c>
      <c r="B61" s="1" t="s">
        <v>13</v>
      </c>
      <c r="C61" s="4" t="s">
        <v>274</v>
      </c>
      <c r="D61" s="1" t="s">
        <v>275</v>
      </c>
      <c r="E61" s="1" t="s">
        <v>276</v>
      </c>
      <c r="F61" s="4" t="s">
        <v>17</v>
      </c>
      <c r="G61" s="1" t="s">
        <v>18</v>
      </c>
      <c r="H61" s="1" t="s">
        <v>19</v>
      </c>
      <c r="I61" s="1" t="s">
        <v>20</v>
      </c>
      <c r="J61" s="1" t="s">
        <v>277</v>
      </c>
      <c r="K61" s="1" t="s">
        <v>22</v>
      </c>
      <c r="L61" s="1" t="str">
        <f>HYPERLINK("https://files.afu.se/Downloads/Transcripts/0%20-%20Government/USA%20-%20NASA%20Johnson/2022 12 09 - NASA Johnson - Space to Ground  The Power of Teamwork  12 09 2022_oFNlkNwM3A0 - transcript (automated).pdf","Transcript Link")</f>
        <v>Transcript Link</v>
      </c>
      <c r="M61" s="2" t="str">
        <f>HYPERLINK("https://files.afu.se/Downloads/Transcripts/0%20-%20Government/USA%20-%20NASA%20Johnson/2022 12 09 - NASA Johnson - Space to Ground  The Power of Teamwork  12 09 2022_oFNlkNwM3A0 - transcript (automated).pdf","Transcript Link")</f>
        <v>Transcript Link</v>
      </c>
    </row>
    <row r="62" ht="195" spans="1:13">
      <c r="A62" s="1" t="s">
        <v>278</v>
      </c>
      <c r="B62" s="1" t="s">
        <v>13</v>
      </c>
      <c r="C62" s="4" t="s">
        <v>279</v>
      </c>
      <c r="D62" s="1" t="s">
        <v>280</v>
      </c>
      <c r="E62" s="1" t="s">
        <v>281</v>
      </c>
      <c r="F62" s="4" t="s">
        <v>17</v>
      </c>
      <c r="G62" s="1" t="s">
        <v>18</v>
      </c>
      <c r="H62" s="1" t="s">
        <v>19</v>
      </c>
      <c r="I62" s="1" t="s">
        <v>20</v>
      </c>
      <c r="J62" s="1" t="s">
        <v>282</v>
      </c>
      <c r="K62" s="1" t="s">
        <v>22</v>
      </c>
      <c r="L62" s="1" t="str">
        <f>HYPERLINK("https://files.afu.se/Downloads/Transcripts/0%20-%20Government/USA%20-%20NASA%20Johnson/2022 12 08 - NASA Johnson - Mission Control Houston During Artemis I Launch_plhnzQ8NAso - transcript (automated).pdf","Transcript Link")</f>
        <v>Transcript Link</v>
      </c>
      <c r="M62" s="2" t="str">
        <f>HYPERLINK("https://files.afu.se/Downloads/Transcripts/0%20-%20Government/USA%20-%20NASA%20Johnson/2022 12 08 - NASA Johnson - Mission Control Houston During Artemis I Launch_plhnzQ8NAso - transcript (automated).pdf","Transcript Link")</f>
        <v>Transcript Link</v>
      </c>
    </row>
    <row r="63" ht="210" spans="1:13">
      <c r="A63" s="1" t="s">
        <v>283</v>
      </c>
      <c r="B63" s="1" t="s">
        <v>13</v>
      </c>
      <c r="C63" s="4" t="s">
        <v>284</v>
      </c>
      <c r="D63" s="1" t="s">
        <v>285</v>
      </c>
      <c r="E63" s="1" t="s">
        <v>286</v>
      </c>
      <c r="F63" s="4" t="s">
        <v>17</v>
      </c>
      <c r="G63" s="1" t="s">
        <v>18</v>
      </c>
      <c r="H63" s="1" t="s">
        <v>19</v>
      </c>
      <c r="I63" s="1" t="s">
        <v>20</v>
      </c>
      <c r="J63" s="1" t="s">
        <v>287</v>
      </c>
      <c r="K63" s="1" t="s">
        <v>22</v>
      </c>
      <c r="L63" s="1" t="str">
        <f>HYPERLINK("https://files.afu.se/Downloads/Transcripts/0%20-%20Government/USA%20-%20NASA%20Johnson/2022 12 07 - NASA Johnson - Explore the Orion Crew Capsule with Astronaut Randy Bresnik_3V4CGKLqZkQ - transcript (automated).pdf","Transcript Link")</f>
        <v>Transcript Link</v>
      </c>
      <c r="M63" s="2" t="str">
        <f>HYPERLINK("https://files.afu.se/Downloads/Transcripts/0%20-%20Government/USA%20-%20NASA%20Johnson/2022 12 07 - NASA Johnson - Explore the Orion Crew Capsule with Astronaut Randy Bresnik_3V4CGKLqZkQ - transcript (automated).pdf","Transcript Link")</f>
        <v>Transcript Link</v>
      </c>
    </row>
    <row r="64" ht="360" spans="1:13">
      <c r="A64" s="1" t="s">
        <v>283</v>
      </c>
      <c r="B64" s="1" t="s">
        <v>13</v>
      </c>
      <c r="C64" s="4" t="s">
        <v>288</v>
      </c>
      <c r="D64" s="1" t="s">
        <v>289</v>
      </c>
      <c r="E64" s="1" t="s">
        <v>290</v>
      </c>
      <c r="F64" s="4" t="s">
        <v>17</v>
      </c>
      <c r="G64" s="1" t="s">
        <v>18</v>
      </c>
      <c r="H64" s="1" t="s">
        <v>19</v>
      </c>
      <c r="I64" s="1" t="s">
        <v>20</v>
      </c>
      <c r="J64" s="1" t="s">
        <v>291</v>
      </c>
      <c r="K64" s="1" t="s">
        <v>22</v>
      </c>
      <c r="L64" s="1" t="str">
        <f>HYPERLINK("https://files.afu.se/Downloads/Transcripts/0%20-%20Government/USA%20-%20NASA%20Johnson/2022 12 07 - NASA Johnson - Artemis All Access – Updates on Orion’s Journey in Space – 12 7 22_bgFSLWU4gs0 - transcript (automated).pdf","Transcript Link")</f>
        <v>Transcript Link</v>
      </c>
      <c r="M64" s="2" t="str">
        <f>HYPERLINK("https://files.afu.se/Downloads/Transcripts/0%20-%20Government/USA%20-%20NASA%20Johnson/2022 12 07 - NASA Johnson - Artemis All Access – Updates on Orion’s Journey in Space – 12 7 22_bgFSLWU4gs0 - transcript (automated).pdf","Transcript Link")</f>
        <v>Transcript Link</v>
      </c>
    </row>
    <row r="65" ht="225" spans="1:13">
      <c r="A65" s="1" t="s">
        <v>292</v>
      </c>
      <c r="B65" s="1" t="s">
        <v>13</v>
      </c>
      <c r="C65" s="4" t="s">
        <v>293</v>
      </c>
      <c r="D65" s="1" t="s">
        <v>294</v>
      </c>
      <c r="E65" s="1" t="s">
        <v>295</v>
      </c>
      <c r="F65" s="4" t="s">
        <v>17</v>
      </c>
      <c r="G65" s="1" t="s">
        <v>18</v>
      </c>
      <c r="H65" s="1" t="s">
        <v>19</v>
      </c>
      <c r="I65" s="1" t="s">
        <v>20</v>
      </c>
      <c r="J65" s="1" t="s">
        <v>296</v>
      </c>
      <c r="K65" s="1" t="s">
        <v>22</v>
      </c>
      <c r="L65" s="1" t="str">
        <f>HYPERLINK("https://files.afu.se/Downloads/Transcripts/0%20-%20Government/USA%20-%20NASA%20Johnson/2022 12 06 - NASA Johnson - Simulating a New Mission to the Moon_RvJnTnJxwZk - transcript (automated).pdf","Transcript Link")</f>
        <v>Transcript Link</v>
      </c>
      <c r="M65" s="2" t="str">
        <f>HYPERLINK("https://files.afu.se/Downloads/Transcripts/0%20-%20Government/USA%20-%20NASA%20Johnson/2022 12 06 - NASA Johnson - Simulating a New Mission to the Moon_RvJnTnJxwZk - transcript (automated).pdf","Transcript Link")</f>
        <v>Transcript Link</v>
      </c>
    </row>
    <row r="66" ht="255" spans="1:13">
      <c r="A66" s="1" t="s">
        <v>297</v>
      </c>
      <c r="B66" s="1" t="s">
        <v>13</v>
      </c>
      <c r="C66" s="4" t="s">
        <v>298</v>
      </c>
      <c r="D66" s="1" t="s">
        <v>299</v>
      </c>
      <c r="E66" s="1" t="s">
        <v>300</v>
      </c>
      <c r="F66" s="4" t="s">
        <v>17</v>
      </c>
      <c r="G66" s="1" t="s">
        <v>18</v>
      </c>
      <c r="H66" s="1" t="s">
        <v>19</v>
      </c>
      <c r="I66" s="1" t="s">
        <v>20</v>
      </c>
      <c r="J66" s="1" t="s">
        <v>301</v>
      </c>
      <c r="K66" s="1" t="s">
        <v>22</v>
      </c>
      <c r="L66" s="1" t="str">
        <f>HYPERLINK("https://files.afu.se/Downloads/Transcripts/0%20-%20Government/USA%20-%20NASA%20Johnson/2022 12 05 - NASA Johnson - Flight Directors of Artemis I_e1wKVLKeel0 - transcript (automated).pdf","Transcript Link")</f>
        <v>Transcript Link</v>
      </c>
      <c r="M66" s="2" t="str">
        <f>HYPERLINK("https://files.afu.se/Downloads/Transcripts/0%20-%20Government/USA%20-%20NASA%20Johnson/2022 12 05 - NASA Johnson - Flight Directors of Artemis I_e1wKVLKeel0 - transcript (automated).pdf","Transcript Link")</f>
        <v>Transcript Link</v>
      </c>
    </row>
    <row r="67" ht="180" spans="1:13">
      <c r="A67" s="1" t="s">
        <v>302</v>
      </c>
      <c r="B67" s="1" t="s">
        <v>13</v>
      </c>
      <c r="C67" s="4" t="s">
        <v>303</v>
      </c>
      <c r="D67" s="1" t="s">
        <v>304</v>
      </c>
      <c r="E67" s="1" t="s">
        <v>305</v>
      </c>
      <c r="F67" s="4" t="s">
        <v>17</v>
      </c>
      <c r="G67" s="1" t="s">
        <v>18</v>
      </c>
      <c r="H67" s="1" t="s">
        <v>19</v>
      </c>
      <c r="I67" s="1" t="s">
        <v>20</v>
      </c>
      <c r="J67" s="1" t="s">
        <v>306</v>
      </c>
      <c r="K67" s="1" t="s">
        <v>22</v>
      </c>
      <c r="L67" s="1" t="str">
        <f>HYPERLINK("https://files.afu.se/Downloads/Transcripts/0%20-%20Government/USA%20-%20NASA%20Johnson/2022 12 02 - NASA Johnson - Astronauts Reading Fan Mail %233_Srbp4gAUj4Y - transcript (automated).pdf","Transcript Link")</f>
        <v>Transcript Link</v>
      </c>
      <c r="M67" s="2" t="str">
        <f>HYPERLINK("https://files.afu.se/Downloads/Transcripts/0%20-%20Government/USA%20-%20NASA%20Johnson/2022 12 02 - NASA Johnson - Astronauts Reading Fan Mail %233_Srbp4gAUj4Y - transcript (automated).pdf","Transcript Link")</f>
        <v>Transcript Link</v>
      </c>
    </row>
    <row r="68" ht="360" spans="1:13">
      <c r="A68" s="1" t="s">
        <v>302</v>
      </c>
      <c r="B68" s="1" t="s">
        <v>13</v>
      </c>
      <c r="C68" s="4" t="s">
        <v>307</v>
      </c>
      <c r="D68" s="1" t="s">
        <v>308</v>
      </c>
      <c r="E68" s="1" t="s">
        <v>309</v>
      </c>
      <c r="F68" s="4" t="s">
        <v>17</v>
      </c>
      <c r="G68" s="1" t="s">
        <v>18</v>
      </c>
      <c r="H68" s="1" t="s">
        <v>19</v>
      </c>
      <c r="I68" s="1" t="s">
        <v>20</v>
      </c>
      <c r="J68" s="1" t="s">
        <v>310</v>
      </c>
      <c r="K68" s="1" t="s">
        <v>22</v>
      </c>
      <c r="L68" s="1" t="str">
        <f>HYPERLINK("https://files.afu.se/Downloads/Transcripts/0%20-%20Government/USA%20-%20NASA%20Johnson/2022 12 02 - NASA Johnson - Artemis All Access – Updates on Orion’s Journey in Space – 12 2 22_n0r6oQtJJ4M - transcript (automated).pdf","Transcript Link")</f>
        <v>Transcript Link</v>
      </c>
      <c r="M68" s="2" t="str">
        <f>HYPERLINK("https://files.afu.se/Downloads/Transcripts/0%20-%20Government/USA%20-%20NASA%20Johnson/2022 12 02 - NASA Johnson - Artemis All Access – Updates on Orion’s Journey in Space – 12 2 22_n0r6oQtJJ4M - transcript (automated).pdf","Transcript Link")</f>
        <v>Transcript Link</v>
      </c>
    </row>
    <row r="69" ht="300" spans="1:13">
      <c r="A69" s="1" t="s">
        <v>302</v>
      </c>
      <c r="B69" s="1" t="s">
        <v>13</v>
      </c>
      <c r="C69" s="4" t="s">
        <v>311</v>
      </c>
      <c r="D69" s="1" t="s">
        <v>312</v>
      </c>
      <c r="E69" s="1" t="s">
        <v>31</v>
      </c>
      <c r="F69" s="4" t="s">
        <v>17</v>
      </c>
      <c r="G69" s="1" t="s">
        <v>18</v>
      </c>
      <c r="H69" s="1" t="s">
        <v>19</v>
      </c>
      <c r="I69" s="1" t="s">
        <v>20</v>
      </c>
      <c r="J69" s="1" t="s">
        <v>313</v>
      </c>
      <c r="K69" s="1" t="s">
        <v>22</v>
      </c>
      <c r="L69" s="1" t="str">
        <f>HYPERLINK("https://files.afu.se/Downloads/Transcripts/0%20-%20Government/USA%20-%20NASA%20Johnson/2022 12 02 - NASA Johnson - Space to Ground  Power Preparations  12 02 2022_Bv3tUfCGkBE - transcript (automated).pdf","Transcript Link")</f>
        <v>Transcript Link</v>
      </c>
      <c r="M69" s="2" t="str">
        <f>HYPERLINK("https://files.afu.se/Downloads/Transcripts/0%20-%20Government/USA%20-%20NASA%20Johnson/2022 12 02 - NASA Johnson - Space to Ground  Power Preparations  12 02 2022_Bv3tUfCGkBE - transcript (automated).pdf","Transcript Link")</f>
        <v>Transcript Link</v>
      </c>
    </row>
    <row r="70" ht="360" spans="1:13">
      <c r="A70" s="1" t="s">
        <v>314</v>
      </c>
      <c r="B70" s="1" t="s">
        <v>13</v>
      </c>
      <c r="C70" s="4" t="s">
        <v>315</v>
      </c>
      <c r="D70" s="1" t="s">
        <v>316</v>
      </c>
      <c r="E70" s="1" t="s">
        <v>317</v>
      </c>
      <c r="F70" s="4" t="s">
        <v>17</v>
      </c>
      <c r="G70" s="1" t="s">
        <v>18</v>
      </c>
      <c r="H70" s="1" t="s">
        <v>19</v>
      </c>
      <c r="I70" s="1" t="s">
        <v>20</v>
      </c>
      <c r="J70" s="1" t="s">
        <v>318</v>
      </c>
      <c r="K70" s="1" t="s">
        <v>22</v>
      </c>
      <c r="L70" s="1" t="str">
        <f>HYPERLINK("https://files.afu.se/Downloads/Transcripts/0%20-%20Government/USA%20-%20NASA%20Johnson/2022 11 29 - NASA Johnson - Artemis All Access – Updates on Orion’s Journey in Space – 11 29 22_rKtfgtYaQ3M - transcript (automated).pdf","Transcript Link")</f>
        <v>Transcript Link</v>
      </c>
      <c r="M70" s="2" t="str">
        <f>HYPERLINK("https://files.afu.se/Downloads/Transcripts/0%20-%20Government/USA%20-%20NASA%20Johnson/2022 11 29 - NASA Johnson - Artemis All Access – Updates on Orion’s Journey in Space – 11 29 22_rKtfgtYaQ3M - transcript (automated).pdf","Transcript Link")</f>
        <v>Transcript Link</v>
      </c>
    </row>
    <row r="71" ht="195" spans="1:13">
      <c r="A71" s="1" t="s">
        <v>319</v>
      </c>
      <c r="B71" s="1" t="s">
        <v>13</v>
      </c>
      <c r="C71" s="4" t="s">
        <v>320</v>
      </c>
      <c r="D71" s="1" t="s">
        <v>321</v>
      </c>
      <c r="E71" s="1" t="s">
        <v>322</v>
      </c>
      <c r="F71" s="4" t="s">
        <v>17</v>
      </c>
      <c r="G71" s="1" t="s">
        <v>18</v>
      </c>
      <c r="H71" s="1" t="s">
        <v>19</v>
      </c>
      <c r="I71" s="1" t="s">
        <v>20</v>
      </c>
      <c r="J71" s="1" t="s">
        <v>323</v>
      </c>
      <c r="K71" s="1" t="s">
        <v>22</v>
      </c>
      <c r="L71" s="1" t="str">
        <f>HYPERLINK("https://files.afu.se/Downloads/Transcripts/0%20-%20Government/USA%20-%20NASA%20Johnson/2022 11 23 - NASA Johnson - Russian Spacewalk 56 - Nov. 23, 2022_ERa0b7nzj-M - transcript (automated).pdf","Transcript Link")</f>
        <v>Transcript Link</v>
      </c>
      <c r="M71" s="2" t="str">
        <f>HYPERLINK("https://files.afu.se/Downloads/Transcripts/0%20-%20Government/USA%20-%20NASA%20Johnson/2022 11 23 - NASA Johnson - Russian Spacewalk 56 - Nov. 23, 2022_ERa0b7nzj-M - transcript (automated).pdf","Transcript Link")</f>
        <v>Transcript Link</v>
      </c>
    </row>
    <row r="72" ht="360" spans="1:13">
      <c r="A72" s="1" t="s">
        <v>319</v>
      </c>
      <c r="B72" s="1" t="s">
        <v>13</v>
      </c>
      <c r="C72" s="4" t="s">
        <v>324</v>
      </c>
      <c r="D72" s="1" t="s">
        <v>325</v>
      </c>
      <c r="E72" s="1" t="s">
        <v>326</v>
      </c>
      <c r="F72" s="4" t="s">
        <v>17</v>
      </c>
      <c r="G72" s="1" t="s">
        <v>18</v>
      </c>
      <c r="H72" s="1" t="s">
        <v>19</v>
      </c>
      <c r="I72" s="1" t="s">
        <v>20</v>
      </c>
      <c r="J72" s="1" t="s">
        <v>327</v>
      </c>
      <c r="K72" s="1" t="s">
        <v>22</v>
      </c>
      <c r="L72" s="1" t="str">
        <f>HYPERLINK("https://files.afu.se/Downloads/Transcripts/0%20-%20Government/USA%20-%20NASA%20Johnson/2022 11 23 - NASA Johnson - Artemis All Access – Updates on Orion's Journey in Space - 11 23 2022_-C_0ZzHheJk - transcript (automated).pdf","Transcript Link")</f>
        <v>Transcript Link</v>
      </c>
      <c r="M72" s="2" t="str">
        <f>HYPERLINK("https://files.afu.se/Downloads/Transcripts/0%20-%20Government/USA%20-%20NASA%20Johnson/2022 11 23 - NASA Johnson - Artemis All Access – Updates on Orion's Journey in Space - 11 23 2022_-C_0ZzHheJk - transcript (automated).pdf","Transcript Link")</f>
        <v>Transcript Link</v>
      </c>
    </row>
    <row r="73" ht="300" spans="1:13">
      <c r="A73" s="1" t="s">
        <v>319</v>
      </c>
      <c r="B73" s="1" t="s">
        <v>13</v>
      </c>
      <c r="C73" s="4" t="s">
        <v>328</v>
      </c>
      <c r="D73" s="1" t="s">
        <v>329</v>
      </c>
      <c r="E73" s="1" t="s">
        <v>31</v>
      </c>
      <c r="F73" s="4" t="s">
        <v>17</v>
      </c>
      <c r="G73" s="1" t="s">
        <v>18</v>
      </c>
      <c r="H73" s="1" t="s">
        <v>19</v>
      </c>
      <c r="I73" s="1" t="s">
        <v>20</v>
      </c>
      <c r="J73" s="1" t="s">
        <v>330</v>
      </c>
      <c r="K73" s="1" t="s">
        <v>22</v>
      </c>
      <c r="L73" s="1" t="str">
        <f>HYPERLINK("https://files.afu.se/Downloads/Transcripts/0%20-%20Government/USA%20-%20NASA%20Johnson/2022 11 23 - NASA Johnson - Space to Ground  It's a Feast  11 23 2022_a2JKH3licUo - transcript (automated).pdf","Transcript Link")</f>
        <v>Transcript Link</v>
      </c>
      <c r="M73" s="2" t="str">
        <f>HYPERLINK("https://files.afu.se/Downloads/Transcripts/0%20-%20Government/USA%20-%20NASA%20Johnson/2022 11 23 - NASA Johnson - Space to Ground  It's a Feast  11 23 2022_a2JKH3licUo - transcript (automated).pdf","Transcript Link")</f>
        <v>Transcript Link</v>
      </c>
    </row>
    <row r="74" ht="180" spans="1:13">
      <c r="A74" s="1" t="s">
        <v>331</v>
      </c>
      <c r="B74" s="1" t="s">
        <v>13</v>
      </c>
      <c r="C74" s="4" t="s">
        <v>332</v>
      </c>
      <c r="D74" s="1" t="s">
        <v>333</v>
      </c>
      <c r="E74" s="1" t="s">
        <v>334</v>
      </c>
      <c r="F74" s="4" t="s">
        <v>17</v>
      </c>
      <c r="G74" s="1" t="s">
        <v>18</v>
      </c>
      <c r="H74" s="1" t="s">
        <v>19</v>
      </c>
      <c r="I74" s="1" t="s">
        <v>20</v>
      </c>
      <c r="J74" s="1" t="s">
        <v>335</v>
      </c>
      <c r="K74" s="1" t="s">
        <v>22</v>
      </c>
      <c r="L74" s="1" t="str">
        <f>HYPERLINK("https://files.afu.se/Downloads/Transcripts/0%20-%20Government/USA%20-%20NASA%20Johnson/2022 11 22 - NASA Johnson - Earth Rise as Seen from Orion Spacecraft_jXLZakQWa6A - transcript (automated).pdf","Transcript Link")</f>
        <v>Transcript Link</v>
      </c>
      <c r="M74" s="2" t="str">
        <f>HYPERLINK("https://files.afu.se/Downloads/Transcripts/0%20-%20Government/USA%20-%20NASA%20Johnson/2022 11 22 - NASA Johnson - Earth Rise as Seen from Orion Spacecraft_jXLZakQWa6A - transcript (automated).pdf","Transcript Link")</f>
        <v>Transcript Link</v>
      </c>
    </row>
    <row r="75" ht="180" spans="1:13">
      <c r="A75" s="1" t="s">
        <v>336</v>
      </c>
      <c r="B75" s="1" t="s">
        <v>13</v>
      </c>
      <c r="C75" s="4" t="s">
        <v>337</v>
      </c>
      <c r="D75" s="1" t="s">
        <v>338</v>
      </c>
      <c r="E75" s="1" t="s">
        <v>339</v>
      </c>
      <c r="F75" s="4" t="s">
        <v>17</v>
      </c>
      <c r="G75" s="1" t="s">
        <v>18</v>
      </c>
      <c r="H75" s="1" t="s">
        <v>19</v>
      </c>
      <c r="I75" s="1" t="s">
        <v>20</v>
      </c>
      <c r="J75" s="1" t="s">
        <v>340</v>
      </c>
      <c r="K75" s="1" t="s">
        <v>22</v>
      </c>
      <c r="L75" s="1" t="str">
        <f>HYPERLINK("https://files.afu.se/Downloads/Transcripts/0%20-%20Government/USA%20-%20NASA%20Johnson/2022 11 19 - NASA Johnson - Fly me to the Moon_ziPITyCd1yA - transcript (automated).pdf","Transcript Link")</f>
        <v>Transcript Link</v>
      </c>
      <c r="M75" s="2" t="str">
        <f>HYPERLINK("https://files.afu.se/Downloads/Transcripts/0%20-%20Government/USA%20-%20NASA%20Johnson/2022 11 19 - NASA Johnson - Fly me to the Moon_ziPITyCd1yA - transcript (automated).pdf","Transcript Link")</f>
        <v>Transcript Link</v>
      </c>
    </row>
    <row r="76" ht="300" spans="1:13">
      <c r="A76" s="1" t="s">
        <v>341</v>
      </c>
      <c r="B76" s="1" t="s">
        <v>13</v>
      </c>
      <c r="C76" s="4" t="s">
        <v>342</v>
      </c>
      <c r="D76" s="1" t="s">
        <v>343</v>
      </c>
      <c r="E76" s="1" t="s">
        <v>344</v>
      </c>
      <c r="F76" s="4" t="s">
        <v>17</v>
      </c>
      <c r="G76" s="1" t="s">
        <v>18</v>
      </c>
      <c r="H76" s="1" t="s">
        <v>19</v>
      </c>
      <c r="I76" s="1" t="s">
        <v>20</v>
      </c>
      <c r="J76" s="1" t="s">
        <v>345</v>
      </c>
      <c r="K76" s="1" t="s">
        <v>22</v>
      </c>
      <c r="L76" s="1" t="str">
        <f>HYPERLINK("https://files.afu.se/Downloads/Transcripts/0%20-%20Government/USA%20-%20NASA%20Johnson/2022 11 18 - NASA Johnson - Artemis All Access – Updates on Orion's Journey in Space - 11 18 2022_CA3papkjb6Y - transcript (automated).pdf","Transcript Link")</f>
        <v>Transcript Link</v>
      </c>
      <c r="M76" s="2" t="str">
        <f>HYPERLINK("https://files.afu.se/Downloads/Transcripts/0%20-%20Government/USA%20-%20NASA%20Johnson/2022 11 18 - NASA Johnson - Artemis All Access – Updates on Orion's Journey in Space - 11 18 2022_CA3papkjb6Y - transcript (automated).pdf","Transcript Link")</f>
        <v>Transcript Link</v>
      </c>
    </row>
    <row r="77" ht="330" spans="1:13">
      <c r="A77" s="1" t="s">
        <v>341</v>
      </c>
      <c r="B77" s="1" t="s">
        <v>13</v>
      </c>
      <c r="C77" s="4" t="s">
        <v>346</v>
      </c>
      <c r="D77" s="1" t="s">
        <v>347</v>
      </c>
      <c r="E77" s="1" t="s">
        <v>348</v>
      </c>
      <c r="F77" s="4" t="s">
        <v>17</v>
      </c>
      <c r="G77" s="1" t="s">
        <v>18</v>
      </c>
      <c r="H77" s="1" t="s">
        <v>19</v>
      </c>
      <c r="I77" s="1" t="s">
        <v>20</v>
      </c>
      <c r="J77" s="1" t="s">
        <v>349</v>
      </c>
      <c r="K77" s="1" t="s">
        <v>22</v>
      </c>
      <c r="L77" s="1" t="str">
        <f>HYPERLINK("https://files.afu.se/Downloads/Transcripts/0%20-%20Government/USA%20-%20NASA%20Johnson/2022 11 18 - NASA Johnson - Space to Ground  Dual Excursions  11 18 2022_PhvGz9KOq8I - transcript (automated).pdf","Transcript Link")</f>
        <v>Transcript Link</v>
      </c>
      <c r="M77" s="2" t="str">
        <f>HYPERLINK("https://files.afu.se/Downloads/Transcripts/0%20-%20Government/USA%20-%20NASA%20Johnson/2022 11 18 - NASA Johnson - Space to Ground  Dual Excursions  11 18 2022_PhvGz9KOq8I - transcript (automated).pdf","Transcript Link")</f>
        <v>Transcript Link</v>
      </c>
    </row>
    <row r="78" ht="180" spans="1:13">
      <c r="A78" s="1" t="s">
        <v>350</v>
      </c>
      <c r="B78" s="1" t="s">
        <v>13</v>
      </c>
      <c r="C78" s="4" t="s">
        <v>351</v>
      </c>
      <c r="D78" s="1" t="s">
        <v>352</v>
      </c>
      <c r="F78" s="4" t="s">
        <v>17</v>
      </c>
      <c r="G78" s="1" t="s">
        <v>18</v>
      </c>
      <c r="H78" s="1" t="s">
        <v>19</v>
      </c>
      <c r="I78" s="1" t="s">
        <v>20</v>
      </c>
      <c r="J78" s="1" t="s">
        <v>353</v>
      </c>
      <c r="K78" s="1" t="s">
        <v>22</v>
      </c>
      <c r="L78" s="1" t="str">
        <f>HYPERLINK("https://files.afu.se/Downloads/Transcripts/0%20-%20Government/USA%20-%20NASA%20Johnson/2022 11 17 - NASA Johnson - Gateway Overview Video_Dnp-yqdUGNM - transcript (automated).pdf","Transcript Link")</f>
        <v>Transcript Link</v>
      </c>
      <c r="M78" s="2" t="str">
        <f>HYPERLINK("https://files.afu.se/Downloads/Transcripts/0%20-%20Government/USA%20-%20NASA%20Johnson/2022 11 17 - NASA Johnson - Gateway Overview Video_Dnp-yqdUGNM - transcript (automated).pdf","Transcript Link")</f>
        <v>Transcript Link</v>
      </c>
    </row>
    <row r="79" ht="270" spans="1:13">
      <c r="A79" s="1" t="s">
        <v>354</v>
      </c>
      <c r="B79" s="1" t="s">
        <v>13</v>
      </c>
      <c r="C79" s="4" t="s">
        <v>355</v>
      </c>
      <c r="D79" s="1" t="s">
        <v>356</v>
      </c>
      <c r="E79" s="1" t="s">
        <v>357</v>
      </c>
      <c r="F79" s="4" t="s">
        <v>17</v>
      </c>
      <c r="G79" s="1" t="s">
        <v>18</v>
      </c>
      <c r="H79" s="1" t="s">
        <v>19</v>
      </c>
      <c r="I79" s="1" t="s">
        <v>20</v>
      </c>
      <c r="J79" s="1" t="s">
        <v>358</v>
      </c>
      <c r="K79" s="1" t="s">
        <v>22</v>
      </c>
      <c r="L79" s="1" t="str">
        <f>HYPERLINK("https://files.afu.se/Downloads/Transcripts/0%20-%20Government/USA%20-%20NASA%20Johnson/2022 11 16 - NASA Johnson - Russian Spacewalk 55 Animation - November 16, 2022_IC9Ejde89rQ - transcript (automated).pdf","Transcript Link")</f>
        <v>Transcript Link</v>
      </c>
      <c r="M79" s="2" t="str">
        <f>HYPERLINK("https://files.afu.se/Downloads/Transcripts/0%20-%20Government/USA%20-%20NASA%20Johnson/2022 11 16 - NASA Johnson - Russian Spacewalk 55 Animation - November 16, 2022_IC9Ejde89rQ - transcript (automated).pdf","Transcript Link")</f>
        <v>Transcript Link</v>
      </c>
    </row>
    <row r="80" ht="300" spans="1:13">
      <c r="A80" s="1" t="s">
        <v>359</v>
      </c>
      <c r="B80" s="1" t="s">
        <v>13</v>
      </c>
      <c r="C80" s="4" t="s">
        <v>360</v>
      </c>
      <c r="D80" s="1" t="s">
        <v>361</v>
      </c>
      <c r="E80" s="1" t="s">
        <v>31</v>
      </c>
      <c r="F80" s="4" t="s">
        <v>17</v>
      </c>
      <c r="G80" s="1" t="s">
        <v>18</v>
      </c>
      <c r="H80" s="1" t="s">
        <v>19</v>
      </c>
      <c r="I80" s="1" t="s">
        <v>20</v>
      </c>
      <c r="J80" s="1" t="s">
        <v>362</v>
      </c>
      <c r="K80" s="1" t="s">
        <v>22</v>
      </c>
      <c r="L80" s="1" t="str">
        <f>HYPERLINK("https://files.afu.se/Downloads/Transcripts/0%20-%20Government/USA%20-%20NASA%20Johnson/2022 11 11 - NASA Johnson - Space to Ground  Spacewalk Season  11 11 2022_YMQUJMuh6sU - transcript (automated).pdf","Transcript Link")</f>
        <v>Transcript Link</v>
      </c>
      <c r="M80" s="2" t="str">
        <f>HYPERLINK("https://files.afu.se/Downloads/Transcripts/0%20-%20Government/USA%20-%20NASA%20Johnson/2022 11 11 - NASA Johnson - Space to Ground  Spacewalk Season  11 11 2022_YMQUJMuh6sU - transcript (automated).pdf","Transcript Link")</f>
        <v>Transcript Link</v>
      </c>
    </row>
    <row r="81" ht="300" spans="1:13">
      <c r="A81" s="1" t="s">
        <v>363</v>
      </c>
      <c r="B81" s="1" t="s">
        <v>13</v>
      </c>
      <c r="C81" s="4" t="s">
        <v>364</v>
      </c>
      <c r="D81" s="1" t="s">
        <v>365</v>
      </c>
      <c r="E81" s="1" t="s">
        <v>31</v>
      </c>
      <c r="F81" s="4" t="s">
        <v>17</v>
      </c>
      <c r="G81" s="1" t="s">
        <v>18</v>
      </c>
      <c r="H81" s="1" t="s">
        <v>19</v>
      </c>
      <c r="I81" s="1" t="s">
        <v>20</v>
      </c>
      <c r="J81" s="1" t="s">
        <v>366</v>
      </c>
      <c r="K81" s="1" t="s">
        <v>22</v>
      </c>
      <c r="L81" s="1" t="str">
        <f>HYPERLINK("https://files.afu.se/Downloads/Transcripts/0%20-%20Government/USA%20-%20NASA%20Johnson/2022 11 04 - NASA Johnson - Space to Ground  Scientific Ride  11 04 2022_iBgs_XLv1ng - transcript (automated).pdf","Transcript Link")</f>
        <v>Transcript Link</v>
      </c>
      <c r="M81" s="2" t="str">
        <f>HYPERLINK("https://files.afu.se/Downloads/Transcripts/0%20-%20Government/USA%20-%20NASA%20Johnson/2022 11 04 - NASA Johnson - Space to Ground  Scientific Ride  11 04 2022_iBgs_XLv1ng - transcript (automated).pdf","Transcript Link")</f>
        <v>Transcript Link</v>
      </c>
    </row>
    <row r="82" ht="300" spans="1:13">
      <c r="A82" s="1" t="s">
        <v>367</v>
      </c>
      <c r="B82" s="1" t="s">
        <v>13</v>
      </c>
      <c r="C82" s="4" t="s">
        <v>368</v>
      </c>
      <c r="D82" s="1" t="s">
        <v>369</v>
      </c>
      <c r="E82" s="1" t="s">
        <v>31</v>
      </c>
      <c r="F82" s="4" t="s">
        <v>17</v>
      </c>
      <c r="G82" s="1" t="s">
        <v>18</v>
      </c>
      <c r="H82" s="1" t="s">
        <v>19</v>
      </c>
      <c r="I82" s="1" t="s">
        <v>20</v>
      </c>
      <c r="J82" s="1" t="s">
        <v>370</v>
      </c>
      <c r="K82" s="1" t="s">
        <v>22</v>
      </c>
      <c r="L82" s="1" t="str">
        <f>HYPERLINK("https://files.afu.se/Downloads/Transcripts/0%20-%20Government/USA%20-%20NASA%20Johnson/2022 10 28 - NASA Johnson - Space to Ground  Taking Stock  10 28 2022_LqmS_mYDnpM - transcript (automated).pdf","Transcript Link")</f>
        <v>Transcript Link</v>
      </c>
      <c r="M82" s="2" t="str">
        <f>HYPERLINK("https://files.afu.se/Downloads/Transcripts/0%20-%20Government/USA%20-%20NASA%20Johnson/2022 10 28 - NASA Johnson - Space to Ground  Taking Stock  10 28 2022_LqmS_mYDnpM - transcript (automated).pdf","Transcript Link")</f>
        <v>Transcript Link</v>
      </c>
    </row>
    <row r="83" ht="300" spans="1:13">
      <c r="A83" s="1" t="s">
        <v>371</v>
      </c>
      <c r="B83" s="1" t="s">
        <v>13</v>
      </c>
      <c r="C83" s="4" t="s">
        <v>372</v>
      </c>
      <c r="D83" s="1" t="s">
        <v>373</v>
      </c>
      <c r="E83" s="1" t="s">
        <v>31</v>
      </c>
      <c r="F83" s="4" t="s">
        <v>17</v>
      </c>
      <c r="G83" s="1" t="s">
        <v>18</v>
      </c>
      <c r="H83" s="1" t="s">
        <v>19</v>
      </c>
      <c r="I83" s="1" t="s">
        <v>20</v>
      </c>
      <c r="J83" s="1" t="s">
        <v>374</v>
      </c>
      <c r="K83" s="1" t="s">
        <v>22</v>
      </c>
      <c r="L83" s="1" t="str">
        <f>HYPERLINK("https://files.afu.se/Downloads/Transcripts/0%20-%20Government/USA%20-%20NASA%20Johnson/2022 10 21 - NASA Johnson - Space to Ground  Flawless Splashdown  10 21 2022_AeHvv4kCSk8 - transcript (automated).pdf","Transcript Link")</f>
        <v>Transcript Link</v>
      </c>
      <c r="M83" s="2" t="str">
        <f>HYPERLINK("https://files.afu.se/Downloads/Transcripts/0%20-%20Government/USA%20-%20NASA%20Johnson/2022 10 21 - NASA Johnson - Space to Ground  Flawless Splashdown  10 21 2022_AeHvv4kCSk8 - transcript (automated).pdf","Transcript Link")</f>
        <v>Transcript Link</v>
      </c>
    </row>
    <row r="84" ht="300" spans="1:13">
      <c r="A84" s="1" t="s">
        <v>375</v>
      </c>
      <c r="B84" s="1" t="s">
        <v>13</v>
      </c>
      <c r="C84" s="4" t="s">
        <v>376</v>
      </c>
      <c r="D84" s="1" t="s">
        <v>377</v>
      </c>
      <c r="E84" s="1" t="s">
        <v>31</v>
      </c>
      <c r="F84" s="4" t="s">
        <v>17</v>
      </c>
      <c r="G84" s="1" t="s">
        <v>18</v>
      </c>
      <c r="H84" s="1" t="s">
        <v>19</v>
      </c>
      <c r="I84" s="1" t="s">
        <v>20</v>
      </c>
      <c r="J84" s="1" t="s">
        <v>378</v>
      </c>
      <c r="K84" s="1" t="s">
        <v>22</v>
      </c>
      <c r="L84" s="1" t="str">
        <f>HYPERLINK("https://files.afu.se/Downloads/Transcripts/0%20-%20Government/USA%20-%20NASA%20Johnson/2022 10 14 - NASA Johnson - Space to Ground  A Full House  10 14 2022_vnCkV-vZk3I - transcript (automated).pdf","Transcript Link")</f>
        <v>Transcript Link</v>
      </c>
      <c r="M84" s="2" t="str">
        <f>HYPERLINK("https://files.afu.se/Downloads/Transcripts/0%20-%20Government/USA%20-%20NASA%20Johnson/2022 10 14 - NASA Johnson - Space to Ground  A Full House  10 14 2022_vnCkV-vZk3I - transcript (automated).pdf","Transcript Link")</f>
        <v>Transcript Link</v>
      </c>
    </row>
    <row r="85" ht="180" spans="1:13">
      <c r="A85" s="1" t="s">
        <v>379</v>
      </c>
      <c r="B85" s="1" t="s">
        <v>13</v>
      </c>
      <c r="C85" s="4" t="s">
        <v>380</v>
      </c>
      <c r="D85" s="1" t="s">
        <v>381</v>
      </c>
      <c r="E85" s="1" t="s">
        <v>382</v>
      </c>
      <c r="F85" s="4" t="s">
        <v>17</v>
      </c>
      <c r="G85" s="1" t="s">
        <v>18</v>
      </c>
      <c r="H85" s="1" t="s">
        <v>19</v>
      </c>
      <c r="I85" s="1" t="s">
        <v>20</v>
      </c>
      <c r="J85" s="1" t="s">
        <v>383</v>
      </c>
      <c r="K85" s="1" t="s">
        <v>22</v>
      </c>
      <c r="L85" s="1" t="str">
        <f>HYPERLINK("https://files.afu.se/Downloads/Transcripts/0%20-%20Government/USA%20-%20NASA%20Johnson/2022 10 11 - NASA Johnson - Giant Leaps Start Here - NASA's Johnson Space Center_I9FLyL68It0 - transcript (automated).pdf","Transcript Link")</f>
        <v>Transcript Link</v>
      </c>
      <c r="M85" s="2" t="str">
        <f>HYPERLINK("https://files.afu.se/Downloads/Transcripts/0%20-%20Government/USA%20-%20NASA%20Johnson/2022 10 11 - NASA Johnson - Giant Leaps Start Here - NASA's Johnson Space Center_I9FLyL68It0 - transcript (automated).pdf","Transcript Link")</f>
        <v>Transcript Link</v>
      </c>
    </row>
    <row r="86" ht="300" spans="1:13">
      <c r="A86" s="1" t="s">
        <v>384</v>
      </c>
      <c r="B86" s="1" t="s">
        <v>13</v>
      </c>
      <c r="C86" s="4" t="s">
        <v>385</v>
      </c>
      <c r="D86" s="1" t="s">
        <v>386</v>
      </c>
      <c r="E86" s="1" t="s">
        <v>31</v>
      </c>
      <c r="F86" s="4" t="s">
        <v>17</v>
      </c>
      <c r="G86" s="1" t="s">
        <v>18</v>
      </c>
      <c r="H86" s="1" t="s">
        <v>19</v>
      </c>
      <c r="I86" s="1" t="s">
        <v>20</v>
      </c>
      <c r="J86" s="1" t="s">
        <v>387</v>
      </c>
      <c r="K86" s="1" t="s">
        <v>22</v>
      </c>
      <c r="L86" s="1" t="str">
        <f>HYPERLINK("https://files.afu.se/Downloads/Transcripts/0%20-%20Government/USA%20-%20NASA%20Johnson/2022 10 07 - NASA Johnson - Space to Ground  Einstein's Happiest Thought  10 07 2022_56yo70bavDE - transcript (automated).pdf","Transcript Link")</f>
        <v>Transcript Link</v>
      </c>
      <c r="M86" s="2" t="str">
        <f>HYPERLINK("https://files.afu.se/Downloads/Transcripts/0%20-%20Government/USA%20-%20NASA%20Johnson/2022 10 07 - NASA Johnson - Space to Ground  Einstein's Happiest Thought  10 07 2022_56yo70bavDE - transcript (automated).pdf","Transcript Link")</f>
        <v>Transcript Link</v>
      </c>
    </row>
    <row r="87" ht="195" spans="1:13">
      <c r="A87" s="1" t="s">
        <v>388</v>
      </c>
      <c r="B87" s="1" t="s">
        <v>13</v>
      </c>
      <c r="C87" s="4" t="s">
        <v>389</v>
      </c>
      <c r="D87" s="1" t="s">
        <v>390</v>
      </c>
      <c r="E87" s="1" t="s">
        <v>391</v>
      </c>
      <c r="F87" s="4" t="s">
        <v>17</v>
      </c>
      <c r="G87" s="1" t="s">
        <v>18</v>
      </c>
      <c r="H87" s="1" t="s">
        <v>19</v>
      </c>
      <c r="I87" s="1" t="s">
        <v>20</v>
      </c>
      <c r="J87" s="1" t="s">
        <v>392</v>
      </c>
      <c r="K87" s="1" t="s">
        <v>22</v>
      </c>
      <c r="L87" s="1" t="str">
        <f>HYPERLINK("https://files.afu.se/Downloads/Transcripts/0%20-%20Government/USA%20-%20NASA%20Johnson/2022 10 05 - NASA Johnson - Meet Nicole Mann, Crew-5 Commander_2alomhpjEew - transcript (automated).pdf","Transcript Link")</f>
        <v>Transcript Link</v>
      </c>
      <c r="M87" s="2" t="str">
        <f>HYPERLINK("https://files.afu.se/Downloads/Transcripts/0%20-%20Government/USA%20-%20NASA%20Johnson/2022 10 05 - NASA Johnson - Meet Nicole Mann, Crew-5 Commander_2alomhpjEew - transcript (automated).pdf","Transcript Link")</f>
        <v>Transcript Link</v>
      </c>
    </row>
    <row r="88" ht="195" spans="1:13">
      <c r="A88" s="1" t="s">
        <v>388</v>
      </c>
      <c r="B88" s="1" t="s">
        <v>13</v>
      </c>
      <c r="C88" s="4" t="s">
        <v>393</v>
      </c>
      <c r="D88" s="1" t="s">
        <v>394</v>
      </c>
      <c r="E88" s="1" t="s">
        <v>395</v>
      </c>
      <c r="F88" s="4" t="s">
        <v>17</v>
      </c>
      <c r="G88" s="1" t="s">
        <v>18</v>
      </c>
      <c r="H88" s="1" t="s">
        <v>19</v>
      </c>
      <c r="I88" s="1" t="s">
        <v>20</v>
      </c>
      <c r="J88" s="1" t="s">
        <v>396</v>
      </c>
      <c r="K88" s="1" t="s">
        <v>22</v>
      </c>
      <c r="L88" s="1" t="str">
        <f>HYPERLINK("https://files.afu.se/Downloads/Transcripts/0%20-%20Government/USA%20-%20NASA%20Johnson/2022 10 05 - NASA Johnson - Meet Josh Cassada, Crew-5 Pilot_OPQOGS8XRnU - transcript (automated).pdf","Transcript Link")</f>
        <v>Transcript Link</v>
      </c>
      <c r="M88" s="2" t="str">
        <f>HYPERLINK("https://files.afu.se/Downloads/Transcripts/0%20-%20Government/USA%20-%20NASA%20Johnson/2022 10 05 - NASA Johnson - Meet Josh Cassada, Crew-5 Pilot_OPQOGS8XRnU - transcript (automated).pdf","Transcript Link")</f>
        <v>Transcript Link</v>
      </c>
    </row>
    <row r="89" ht="300" spans="1:13">
      <c r="A89" s="1" t="s">
        <v>397</v>
      </c>
      <c r="B89" s="1" t="s">
        <v>13</v>
      </c>
      <c r="C89" s="4" t="s">
        <v>398</v>
      </c>
      <c r="D89" s="1" t="s">
        <v>399</v>
      </c>
      <c r="E89" s="1" t="s">
        <v>31</v>
      </c>
      <c r="F89" s="4" t="s">
        <v>17</v>
      </c>
      <c r="G89" s="1" t="s">
        <v>18</v>
      </c>
      <c r="H89" s="1" t="s">
        <v>19</v>
      </c>
      <c r="I89" s="1" t="s">
        <v>20</v>
      </c>
      <c r="J89" s="1" t="s">
        <v>400</v>
      </c>
      <c r="K89" s="1" t="s">
        <v>22</v>
      </c>
      <c r="L89" s="1" t="str">
        <f>HYPERLINK("https://files.afu.se/Downloads/Transcripts/0%20-%20Government/USA%20-%20NASA%20Johnson/2022 09 30 - NASA Johnson - Space to Ground  Assuming Command  09 30 2020_X7G0BKKB12E - transcript (automated).pdf","Transcript Link")</f>
        <v>Transcript Link</v>
      </c>
      <c r="M89" s="2" t="str">
        <f>HYPERLINK("https://files.afu.se/Downloads/Transcripts/0%20-%20Government/USA%20-%20NASA%20Johnson/2022 09 30 - NASA Johnson - Space to Ground  Assuming Command  09 30 2020_X7G0BKKB12E - transcript (automated).pdf","Transcript Link")</f>
        <v>Transcript Link</v>
      </c>
    </row>
    <row r="90" ht="300" spans="1:13">
      <c r="A90" s="1" t="s">
        <v>401</v>
      </c>
      <c r="B90" s="1" t="s">
        <v>13</v>
      </c>
      <c r="C90" s="4" t="s">
        <v>402</v>
      </c>
      <c r="D90" s="1" t="s">
        <v>403</v>
      </c>
      <c r="E90" s="1" t="s">
        <v>404</v>
      </c>
      <c r="F90" s="4" t="s">
        <v>17</v>
      </c>
      <c r="G90" s="1" t="s">
        <v>18</v>
      </c>
      <c r="H90" s="1" t="s">
        <v>19</v>
      </c>
      <c r="I90" s="1" t="s">
        <v>20</v>
      </c>
      <c r="J90" s="1" t="s">
        <v>405</v>
      </c>
      <c r="K90" s="1" t="s">
        <v>22</v>
      </c>
      <c r="L90" s="1" t="str">
        <f>HYPERLINK("https://files.afu.se/Downloads/Transcripts/0%20-%20Government/USA%20-%20NASA%20Johnson/2022 09 29 - NASA Johnson - A Phone Call to Space_0vU9x0QK-7s - transcript (automated).pdf","Transcript Link")</f>
        <v>Transcript Link</v>
      </c>
      <c r="M90" s="2" t="str">
        <f>HYPERLINK("https://files.afu.se/Downloads/Transcripts/0%20-%20Government/USA%20-%20NASA%20Johnson/2022 09 29 - NASA Johnson - A Phone Call to Space_0vU9x0QK-7s - transcript (automated).pdf","Transcript Link")</f>
        <v>Transcript Link</v>
      </c>
    </row>
    <row r="91" ht="300" spans="1:13">
      <c r="A91" s="1" t="s">
        <v>406</v>
      </c>
      <c r="B91" s="1" t="s">
        <v>13</v>
      </c>
      <c r="C91" s="4" t="s">
        <v>407</v>
      </c>
      <c r="D91" s="1" t="s">
        <v>408</v>
      </c>
      <c r="E91" s="1" t="s">
        <v>31</v>
      </c>
      <c r="F91" s="4" t="s">
        <v>17</v>
      </c>
      <c r="G91" s="1" t="s">
        <v>18</v>
      </c>
      <c r="H91" s="1" t="s">
        <v>19</v>
      </c>
      <c r="I91" s="1" t="s">
        <v>20</v>
      </c>
      <c r="J91" s="1" t="s">
        <v>409</v>
      </c>
      <c r="K91" s="1" t="s">
        <v>22</v>
      </c>
      <c r="L91" s="1" t="str">
        <f>HYPERLINK("https://files.afu.se/Downloads/Transcripts/0%20-%20Government/USA%20-%20NASA%20Johnson/2022 09 23 - NASA Johnson - Space to Ground  Flying Turtles  09 23 2022_M4g8Cq01XbE - transcript (automated).pdf","Transcript Link")</f>
        <v>Transcript Link</v>
      </c>
      <c r="M91" s="2" t="str">
        <f>HYPERLINK("https://files.afu.se/Downloads/Transcripts/0%20-%20Government/USA%20-%20NASA%20Johnson/2022 09 23 - NASA Johnson - Space to Ground  Flying Turtles  09 23 2022_M4g8Cq01XbE - transcript (automated).pdf","Transcript Link")</f>
        <v>Transcript Link</v>
      </c>
    </row>
    <row r="92" ht="180" spans="1:13">
      <c r="A92" s="1" t="s">
        <v>410</v>
      </c>
      <c r="B92" s="1" t="s">
        <v>13</v>
      </c>
      <c r="C92" s="4" t="s">
        <v>411</v>
      </c>
      <c r="D92" s="1" t="s">
        <v>412</v>
      </c>
      <c r="E92" s="1" t="s">
        <v>413</v>
      </c>
      <c r="F92" s="4" t="s">
        <v>17</v>
      </c>
      <c r="G92" s="1" t="s">
        <v>18</v>
      </c>
      <c r="H92" s="1" t="s">
        <v>19</v>
      </c>
      <c r="I92" s="1" t="s">
        <v>20</v>
      </c>
      <c r="J92" s="1" t="s">
        <v>414</v>
      </c>
      <c r="K92" s="1" t="s">
        <v>22</v>
      </c>
      <c r="L92" s="1" t="str">
        <f>HYPERLINK("https://files.afu.se/Downloads/Transcripts/0%20-%20Government/USA%20-%20NASA%20Johnson/2022 09 20 - NASA Johnson - The 60th Anniversary Commemoration of President John F. Kennedy’s Speech at Rice University_Etq7LodNJnM - transcript (automated).pdf","Transcript Link")</f>
        <v>Transcript Link</v>
      </c>
      <c r="M92" s="2" t="str">
        <f>HYPERLINK("https://files.afu.se/Downloads/Transcripts/0%20-%20Government/USA%20-%20NASA%20Johnson/2022 09 20 - NASA Johnson - The 60th Anniversary Commemoration of President John F. Kennedy’s Speech at Rice University_Etq7LodNJnM - transcript (automated).pdf","Transcript Link")</f>
        <v>Transcript Link</v>
      </c>
    </row>
    <row r="93" ht="180" spans="1:13">
      <c r="A93" s="1" t="s">
        <v>410</v>
      </c>
      <c r="B93" s="1" t="s">
        <v>13</v>
      </c>
      <c r="C93" s="4" t="s">
        <v>415</v>
      </c>
      <c r="D93" s="1" t="s">
        <v>416</v>
      </c>
      <c r="E93" s="1" t="s">
        <v>417</v>
      </c>
      <c r="F93" s="4" t="s">
        <v>17</v>
      </c>
      <c r="G93" s="1" t="s">
        <v>18</v>
      </c>
      <c r="H93" s="1" t="s">
        <v>19</v>
      </c>
      <c r="I93" s="1" t="s">
        <v>20</v>
      </c>
      <c r="J93" s="1" t="s">
        <v>418</v>
      </c>
      <c r="K93" s="1" t="s">
        <v>22</v>
      </c>
      <c r="L93" s="1" t="str">
        <f>HYPERLINK("https://files.afu.se/Downloads/Transcripts/0%20-%20Government/USA%20-%20NASA%20Johnson/2022 09 20 - NASA Johnson - Leaving Home   Down to Earth - S2 E6_mHzK41IHwr4 - transcript (automated).pdf","Transcript Link")</f>
        <v>Transcript Link</v>
      </c>
      <c r="M93" s="2" t="str">
        <f>HYPERLINK("https://files.afu.se/Downloads/Transcripts/0%20-%20Government/USA%20-%20NASA%20Johnson/2022 09 20 - NASA Johnson - Leaving Home   Down to Earth - S2 E6_mHzK41IHwr4 - transcript (automated).pdf","Transcript Link")</f>
        <v>Transcript Link</v>
      </c>
    </row>
    <row r="94" ht="300" spans="1:13">
      <c r="A94" s="1" t="s">
        <v>419</v>
      </c>
      <c r="B94" s="1" t="s">
        <v>13</v>
      </c>
      <c r="C94" s="4" t="s">
        <v>420</v>
      </c>
      <c r="D94" s="1" t="s">
        <v>421</v>
      </c>
      <c r="E94" s="1" t="s">
        <v>422</v>
      </c>
      <c r="F94" s="4" t="s">
        <v>17</v>
      </c>
      <c r="G94" s="1" t="s">
        <v>18</v>
      </c>
      <c r="H94" s="1" t="s">
        <v>19</v>
      </c>
      <c r="I94" s="1" t="s">
        <v>20</v>
      </c>
      <c r="J94" s="1" t="s">
        <v>423</v>
      </c>
      <c r="K94" s="1" t="s">
        <v>22</v>
      </c>
      <c r="L94" s="1" t="str">
        <f>HYPERLINK("https://files.afu.se/Downloads/Transcripts/0%20-%20Government/USA%20-%20NASA%20Johnson/2022 09 19 - NASA Johnson - Astronaut Moments with NASA Astronaut Frank Rubio_qLYIAWlsG7U - transcript (automated).pdf","Transcript Link")</f>
        <v>Transcript Link</v>
      </c>
      <c r="M94" s="2" t="str">
        <f>HYPERLINK("https://files.afu.se/Downloads/Transcripts/0%20-%20Government/USA%20-%20NASA%20Johnson/2022 09 19 - NASA Johnson - Astronaut Moments with NASA Astronaut Frank Rubio_qLYIAWlsG7U - transcript (automated).pdf","Transcript Link")</f>
        <v>Transcript Link</v>
      </c>
    </row>
    <row r="95" ht="300" spans="1:13">
      <c r="A95" s="1" t="s">
        <v>424</v>
      </c>
      <c r="B95" s="1" t="s">
        <v>13</v>
      </c>
      <c r="C95" s="4" t="s">
        <v>425</v>
      </c>
      <c r="D95" s="1" t="s">
        <v>426</v>
      </c>
      <c r="E95" s="1" t="s">
        <v>31</v>
      </c>
      <c r="F95" s="4" t="s">
        <v>17</v>
      </c>
      <c r="G95" s="1" t="s">
        <v>18</v>
      </c>
      <c r="H95" s="1" t="s">
        <v>19</v>
      </c>
      <c r="I95" s="1" t="s">
        <v>20</v>
      </c>
      <c r="J95" s="1" t="s">
        <v>427</v>
      </c>
      <c r="K95" s="1" t="s">
        <v>22</v>
      </c>
      <c r="L95" s="1" t="str">
        <f>HYPERLINK("https://files.afu.se/Downloads/Transcripts/0%20-%20Government/USA%20-%20NASA%20Johnson/2022 09 16 - NASA Johnson - Space to Ground  Windows to the World_00jNOM1YbIg - transcript (automated).pdf","Transcript Link")</f>
        <v>Transcript Link</v>
      </c>
      <c r="M95" s="2" t="str">
        <f>HYPERLINK("https://files.afu.se/Downloads/Transcripts/0%20-%20Government/USA%20-%20NASA%20Johnson/2022 09 16 - NASA Johnson - Space to Ground  Windows to the World_00jNOM1YbIg - transcript (automated).pdf","Transcript Link")</f>
        <v>Transcript Link</v>
      </c>
    </row>
    <row r="96" ht="300" spans="1:13">
      <c r="A96" s="1" t="s">
        <v>428</v>
      </c>
      <c r="B96" s="1" t="s">
        <v>13</v>
      </c>
      <c r="C96" s="4" t="s">
        <v>429</v>
      </c>
      <c r="D96" s="1" t="s">
        <v>430</v>
      </c>
      <c r="E96" s="1" t="s">
        <v>31</v>
      </c>
      <c r="F96" s="4" t="s">
        <v>17</v>
      </c>
      <c r="G96" s="1" t="s">
        <v>18</v>
      </c>
      <c r="H96" s="1" t="s">
        <v>19</v>
      </c>
      <c r="I96" s="1" t="s">
        <v>20</v>
      </c>
      <c r="J96" s="1" t="s">
        <v>431</v>
      </c>
      <c r="K96" s="1" t="s">
        <v>22</v>
      </c>
      <c r="L96" s="1" t="str">
        <f>HYPERLINK("https://files.afu.se/Downloads/Transcripts/0%20-%20Government/USA%20-%20NASA%20Johnson/2022 09 09 - NASA Johnson - Space to Ground  For the Progress of All  09 09 2022_7lnGeGucACo - transcript (automated).pdf","Transcript Link")</f>
        <v>Transcript Link</v>
      </c>
      <c r="M96" s="2" t="str">
        <f>HYPERLINK("https://files.afu.se/Downloads/Transcripts/0%20-%20Government/USA%20-%20NASA%20Johnson/2022 09 09 - NASA Johnson - Space to Ground  For the Progress of All  09 09 2022_7lnGeGucACo - transcript (automated).pdf","Transcript Link")</f>
        <v>Transcript Link</v>
      </c>
    </row>
    <row r="97" ht="180" spans="1:13">
      <c r="A97" s="1" t="s">
        <v>432</v>
      </c>
      <c r="B97" s="1" t="s">
        <v>13</v>
      </c>
      <c r="C97" s="4" t="s">
        <v>433</v>
      </c>
      <c r="D97" s="1" t="s">
        <v>434</v>
      </c>
      <c r="E97" s="1" t="s">
        <v>435</v>
      </c>
      <c r="F97" s="4" t="s">
        <v>17</v>
      </c>
      <c r="G97" s="1" t="s">
        <v>18</v>
      </c>
      <c r="H97" s="1" t="s">
        <v>19</v>
      </c>
      <c r="I97" s="1" t="s">
        <v>20</v>
      </c>
      <c r="J97" s="1" t="s">
        <v>436</v>
      </c>
      <c r="K97" s="1" t="s">
        <v>22</v>
      </c>
      <c r="L97" s="1" t="str">
        <f>HYPERLINK("https://files.afu.se/Downloads/Transcripts/0%20-%20Government/USA%20-%20NASA%20Johnson/2022 09 08 - NASA Johnson - Behind-the-Scenes aboard a T-38 Jet flying over Artemis I Launch Pad_Qk27MINlDhw - transcript (automated).pdf","Transcript Link")</f>
        <v>Transcript Link</v>
      </c>
      <c r="M97" s="2" t="str">
        <f>HYPERLINK("https://files.afu.se/Downloads/Transcripts/0%20-%20Government/USA%20-%20NASA%20Johnson/2022 09 08 - NASA Johnson - Behind-the-Scenes aboard a T-38 Jet flying over Artemis I Launch Pad_Qk27MINlDhw - transcript (automated).pdf","Transcript Link")</f>
        <v>Transcript Link</v>
      </c>
    </row>
    <row r="98" ht="300" spans="1:13">
      <c r="A98" s="1" t="s">
        <v>437</v>
      </c>
      <c r="B98" s="1" t="s">
        <v>13</v>
      </c>
      <c r="C98" s="4" t="s">
        <v>438</v>
      </c>
      <c r="D98" s="1" t="s">
        <v>439</v>
      </c>
      <c r="E98" s="1" t="s">
        <v>31</v>
      </c>
      <c r="F98" s="4" t="s">
        <v>17</v>
      </c>
      <c r="G98" s="1" t="s">
        <v>18</v>
      </c>
      <c r="H98" s="1" t="s">
        <v>19</v>
      </c>
      <c r="I98" s="1" t="s">
        <v>20</v>
      </c>
      <c r="J98" s="1" t="s">
        <v>440</v>
      </c>
      <c r="K98" s="1" t="s">
        <v>22</v>
      </c>
      <c r="L98" s="1" t="str">
        <f>HYPERLINK("https://files.afu.se/Downloads/Transcripts/0%20-%20Government/USA%20-%20NASA%20Johnson/2022 09 01 - NASA Johnson - Space to Ground  Outfitting the Arm  09 01 2022_y81sbuvUTaQ - transcript (automated).pdf","Transcript Link")</f>
        <v>Transcript Link</v>
      </c>
      <c r="M98" s="2" t="str">
        <f>HYPERLINK("https://files.afu.se/Downloads/Transcripts/0%20-%20Government/USA%20-%20NASA%20Johnson/2022 09 01 - NASA Johnson - Space to Ground  Outfitting the Arm  09 01 2022_y81sbuvUTaQ - transcript (automated).pdf","Transcript Link")</f>
        <v>Transcript Link</v>
      </c>
    </row>
    <row r="99" ht="300" spans="1:13">
      <c r="A99" s="1" t="s">
        <v>441</v>
      </c>
      <c r="B99" s="1" t="s">
        <v>13</v>
      </c>
      <c r="C99" s="4" t="s">
        <v>442</v>
      </c>
      <c r="D99" s="1" t="s">
        <v>443</v>
      </c>
      <c r="E99" s="1" t="s">
        <v>444</v>
      </c>
      <c r="F99" s="4" t="s">
        <v>17</v>
      </c>
      <c r="G99" s="1" t="s">
        <v>18</v>
      </c>
      <c r="H99" s="1" t="s">
        <v>19</v>
      </c>
      <c r="I99" s="1" t="s">
        <v>20</v>
      </c>
      <c r="J99" s="1" t="s">
        <v>445</v>
      </c>
      <c r="K99" s="1" t="s">
        <v>22</v>
      </c>
      <c r="L99" s="1" t="str">
        <f>HYPERLINK("https://files.afu.se/Downloads/Transcripts/0%20-%20Government/USA%20-%20NASA%20Johnson/2022 08 26 - NASA Johnson - Space to Ground  Paving the Way  08 26 2022_rae5VG_ivao - transcript (automated).pdf","Transcript Link")</f>
        <v>Transcript Link</v>
      </c>
      <c r="M99" s="2" t="str">
        <f>HYPERLINK("https://files.afu.se/Downloads/Transcripts/0%20-%20Government/USA%20-%20NASA%20Johnson/2022 08 26 - NASA Johnson - Space to Ground  Paving the Way  08 26 2022_rae5VG_ivao - transcript (automated).pdf","Transcript Link")</f>
        <v>Transcript Link</v>
      </c>
    </row>
    <row r="100" ht="180" spans="1:13">
      <c r="A100" s="1" t="s">
        <v>446</v>
      </c>
      <c r="B100" s="1" t="s">
        <v>13</v>
      </c>
      <c r="C100" s="4" t="s">
        <v>447</v>
      </c>
      <c r="D100" s="1" t="s">
        <v>448</v>
      </c>
      <c r="E100" s="1" t="s">
        <v>449</v>
      </c>
      <c r="F100" s="4" t="s">
        <v>17</v>
      </c>
      <c r="G100" s="1" t="s">
        <v>18</v>
      </c>
      <c r="H100" s="1" t="s">
        <v>19</v>
      </c>
      <c r="I100" s="1" t="s">
        <v>20</v>
      </c>
      <c r="J100" s="1" t="s">
        <v>450</v>
      </c>
      <c r="K100" s="1" t="s">
        <v>22</v>
      </c>
      <c r="L100" s="1" t="str">
        <f>HYPERLINK("https://files.afu.se/Downloads/Transcripts/0%20-%20Government/USA%20-%20NASA%20Johnson/2022 08 23 - NASA Johnson - From Station to Artemis  Enabling the Next Steps of Exploration_nrclYTzoARA - transcript (automated).pdf","Transcript Link")</f>
        <v>Transcript Link</v>
      </c>
      <c r="M100" s="2" t="str">
        <f>HYPERLINK("https://files.afu.se/Downloads/Transcripts/0%20-%20Government/USA%20-%20NASA%20Johnson/2022 08 23 - NASA Johnson - From Station to Artemis  Enabling the Next Steps of Exploration_nrclYTzoARA - transcript (automated).pdf","Transcript Link")</f>
        <v>Transcript Link</v>
      </c>
    </row>
    <row r="101" ht="180" spans="1:13">
      <c r="A101" s="1" t="s">
        <v>451</v>
      </c>
      <c r="B101" s="1" t="s">
        <v>13</v>
      </c>
      <c r="C101" s="4" t="s">
        <v>452</v>
      </c>
      <c r="D101" s="1" t="s">
        <v>453</v>
      </c>
      <c r="E101" s="1" t="s">
        <v>454</v>
      </c>
      <c r="F101" s="4" t="s">
        <v>17</v>
      </c>
      <c r="G101" s="1" t="s">
        <v>18</v>
      </c>
      <c r="H101" s="1" t="s">
        <v>19</v>
      </c>
      <c r="I101" s="1" t="s">
        <v>20</v>
      </c>
      <c r="J101" s="1" t="s">
        <v>455</v>
      </c>
      <c r="K101" s="1" t="s">
        <v>22</v>
      </c>
      <c r="L101" s="1" t="str">
        <f>HYPERLINK("https://files.afu.se/Downloads/Transcripts/0%20-%20Government/USA%20-%20NASA%20Johnson/2022 08 22 - NASA Johnson - Back to School with NASA Astronaut Megan McArthur_st1zPqUPbzU - transcript (automated).pdf","Transcript Link")</f>
        <v>Transcript Link</v>
      </c>
      <c r="M101" s="2" t="str">
        <f>HYPERLINK("https://files.afu.se/Downloads/Transcripts/0%20-%20Government/USA%20-%20NASA%20Johnson/2022 08 22 - NASA Johnson - Back to School with NASA Astronaut Megan McArthur_st1zPqUPbzU - transcript (automated).pdf","Transcript Link")</f>
        <v>Transcript Link</v>
      </c>
    </row>
    <row r="102" ht="300" spans="1:13">
      <c r="A102" s="1" t="s">
        <v>456</v>
      </c>
      <c r="B102" s="1" t="s">
        <v>13</v>
      </c>
      <c r="C102" s="4" t="s">
        <v>457</v>
      </c>
      <c r="D102" s="1" t="s">
        <v>458</v>
      </c>
      <c r="E102" s="1" t="s">
        <v>31</v>
      </c>
      <c r="F102" s="4" t="s">
        <v>17</v>
      </c>
      <c r="G102" s="1" t="s">
        <v>18</v>
      </c>
      <c r="H102" s="1" t="s">
        <v>19</v>
      </c>
      <c r="I102" s="1" t="s">
        <v>20</v>
      </c>
      <c r="J102" s="1" t="s">
        <v>459</v>
      </c>
      <c r="K102" s="1" t="s">
        <v>22</v>
      </c>
      <c r="L102" s="1" t="str">
        <f>HYPERLINK("https://files.afu.se/Downloads/Transcripts/0%20-%20Government/USA%20-%20NASA%20Johnson/2022 08 19 - NASA Johnson - Space to Ground  A Critical Steppingstone  08 19 2022_JBHB7Mrvuhg - transcript (automated).pdf","Transcript Link")</f>
        <v>Transcript Link</v>
      </c>
      <c r="M102" s="2" t="str">
        <f>HYPERLINK("https://files.afu.se/Downloads/Transcripts/0%20-%20Government/USA%20-%20NASA%20Johnson/2022 08 19 - NASA Johnson - Space to Ground  A Critical Steppingstone  08 19 2022_JBHB7Mrvuhg - transcript (automated).pdf","Transcript Link")</f>
        <v>Transcript Link</v>
      </c>
    </row>
    <row r="103" ht="180" spans="1:13">
      <c r="A103" s="1" t="s">
        <v>460</v>
      </c>
      <c r="B103" s="1" t="s">
        <v>13</v>
      </c>
      <c r="C103" s="4" t="s">
        <v>461</v>
      </c>
      <c r="D103" s="1" t="s">
        <v>462</v>
      </c>
      <c r="E103" s="1" t="s">
        <v>463</v>
      </c>
      <c r="F103" s="4" t="s">
        <v>17</v>
      </c>
      <c r="G103" s="1" t="s">
        <v>18</v>
      </c>
      <c r="H103" s="1" t="s">
        <v>19</v>
      </c>
      <c r="I103" s="1" t="s">
        <v>20</v>
      </c>
      <c r="J103" s="1" t="s">
        <v>464</v>
      </c>
      <c r="K103" s="1" t="s">
        <v>22</v>
      </c>
      <c r="L103" s="1" t="str">
        <f>HYPERLINK("https://files.afu.se/Downloads/Transcripts/0%20-%20Government/USA%20-%20NASA%20Johnson/2022 08 16 - NASA Johnson - Depiction of the August 17th ISS Expedition 67 Russian Spacewalk_OTbm3nAD3eY - transcript (automated).pdf","Transcript Link")</f>
        <v>Transcript Link</v>
      </c>
      <c r="M103" s="2" t="str">
        <f>HYPERLINK("https://files.afu.se/Downloads/Transcripts/0%20-%20Government/USA%20-%20NASA%20Johnson/2022 08 16 - NASA Johnson - Depiction of the August 17th ISS Expedition 67 Russian Spacewalk_OTbm3nAD3eY - transcript (automated).pdf","Transcript Link")</f>
        <v>Transcript Link</v>
      </c>
    </row>
    <row r="104" ht="300" spans="1:13">
      <c r="A104" s="1" t="s">
        <v>465</v>
      </c>
      <c r="B104" s="1" t="s">
        <v>13</v>
      </c>
      <c r="C104" s="4" t="s">
        <v>466</v>
      </c>
      <c r="D104" s="1" t="s">
        <v>467</v>
      </c>
      <c r="E104" s="1" t="s">
        <v>31</v>
      </c>
      <c r="F104" s="4" t="s">
        <v>17</v>
      </c>
      <c r="G104" s="1" t="s">
        <v>18</v>
      </c>
      <c r="H104" s="1" t="s">
        <v>19</v>
      </c>
      <c r="I104" s="1" t="s">
        <v>20</v>
      </c>
      <c r="J104" s="1" t="s">
        <v>468</v>
      </c>
      <c r="K104" s="1" t="s">
        <v>22</v>
      </c>
      <c r="L104" s="1" t="str">
        <f>HYPERLINK("https://files.afu.se/Downloads/Transcripts/0%20-%20Government/USA%20-%20NASA%20Johnson/2022 08 12 - NASA Johnson - Space to Ground  Space Gardening  08 12 2022_tRtiw8Tz-Lk - transcript (automated).pdf","Transcript Link")</f>
        <v>Transcript Link</v>
      </c>
      <c r="M104" s="2" t="str">
        <f>HYPERLINK("https://files.afu.se/Downloads/Transcripts/0%20-%20Government/USA%20-%20NASA%20Johnson/2022 08 12 - NASA Johnson - Space to Ground  Space Gardening  08 12 2022_tRtiw8Tz-Lk - transcript (automated).pdf","Transcript Link")</f>
        <v>Transcript Link</v>
      </c>
    </row>
    <row r="105" ht="300" spans="1:13">
      <c r="A105" s="1" t="s">
        <v>469</v>
      </c>
      <c r="B105" s="1" t="s">
        <v>13</v>
      </c>
      <c r="C105" s="4" t="s">
        <v>470</v>
      </c>
      <c r="D105" s="1" t="s">
        <v>471</v>
      </c>
      <c r="E105" s="1" t="s">
        <v>472</v>
      </c>
      <c r="F105" s="4" t="s">
        <v>17</v>
      </c>
      <c r="G105" s="1" t="s">
        <v>18</v>
      </c>
      <c r="H105" s="1" t="s">
        <v>19</v>
      </c>
      <c r="I105" s="1" t="s">
        <v>20</v>
      </c>
      <c r="J105" s="1" t="s">
        <v>473</v>
      </c>
      <c r="K105" s="1" t="s">
        <v>22</v>
      </c>
      <c r="L105" s="1" t="str">
        <f>HYPERLINK("https://files.afu.se/Downloads/Transcripts/0%20-%20Government/USA%20-%20NASA%20Johnson/2022 08 08 - NASA Johnson - Earth from Space in 4K – Expedition 65 Edition_yQNEKTOL_oA - transcript (automated).pdf","Transcript Link")</f>
        <v>Transcript Link</v>
      </c>
      <c r="M105" s="2" t="str">
        <f>HYPERLINK("https://files.afu.se/Downloads/Transcripts/0%20-%20Government/USA%20-%20NASA%20Johnson/2022 08 08 - NASA Johnson - Earth from Space in 4K – Expedition 65 Edition_yQNEKTOL_oA - transcript (automated).pdf","Transcript Link")</f>
        <v>Transcript Link</v>
      </c>
    </row>
    <row r="106" ht="300" spans="1:13">
      <c r="A106" s="1" t="s">
        <v>474</v>
      </c>
      <c r="B106" s="1" t="s">
        <v>13</v>
      </c>
      <c r="C106" s="4" t="s">
        <v>475</v>
      </c>
      <c r="D106" s="1" t="s">
        <v>476</v>
      </c>
      <c r="E106" s="1" t="s">
        <v>31</v>
      </c>
      <c r="F106" s="4" t="s">
        <v>17</v>
      </c>
      <c r="G106" s="1" t="s">
        <v>18</v>
      </c>
      <c r="H106" s="1" t="s">
        <v>19</v>
      </c>
      <c r="I106" s="1" t="s">
        <v>20</v>
      </c>
      <c r="J106" s="1" t="s">
        <v>477</v>
      </c>
      <c r="K106" s="1" t="s">
        <v>22</v>
      </c>
      <c r="L106" s="1" t="str">
        <f>HYPERLINK("https://files.afu.se/Downloads/Transcripts/0%20-%20Government/USA%20-%20NASA%20Johnson/2022 08 05 - NASA Johnson - Space to Ground  The Gateway Connection  08 05 2022_uL36x4n5wLQ - transcript (automated).pdf","Transcript Link")</f>
        <v>Transcript Link</v>
      </c>
      <c r="M106" s="2" t="str">
        <f>HYPERLINK("https://files.afu.se/Downloads/Transcripts/0%20-%20Government/USA%20-%20NASA%20Johnson/2022 08 05 - NASA Johnson - Space to Ground  The Gateway Connection  08 05 2022_uL36x4n5wLQ - transcript (automated).pdf","Transcript Link")</f>
        <v>Transcript Link</v>
      </c>
    </row>
    <row r="107" ht="300" spans="1:13">
      <c r="A107" s="1" t="s">
        <v>478</v>
      </c>
      <c r="B107" s="1" t="s">
        <v>13</v>
      </c>
      <c r="C107" s="4" t="s">
        <v>479</v>
      </c>
      <c r="D107" s="1" t="s">
        <v>480</v>
      </c>
      <c r="E107" s="1" t="s">
        <v>31</v>
      </c>
      <c r="F107" s="4" t="s">
        <v>17</v>
      </c>
      <c r="G107" s="1" t="s">
        <v>18</v>
      </c>
      <c r="H107" s="1" t="s">
        <v>19</v>
      </c>
      <c r="I107" s="1" t="s">
        <v>20</v>
      </c>
      <c r="J107" s="1" t="s">
        <v>481</v>
      </c>
      <c r="K107" s="1" t="s">
        <v>22</v>
      </c>
      <c r="L107" s="1" t="str">
        <f>HYPERLINK("https://files.afu.se/Downloads/Transcripts/0%20-%20Government/USA%20-%20NASA%20Johnson/2022 07 29 - NASA Johnson - Space to Ground  Decades of Results  07 29 2022_W-N4U30kSoY - transcript (automated).pdf","Transcript Link")</f>
        <v>Transcript Link</v>
      </c>
      <c r="M107" s="2" t="str">
        <f>HYPERLINK("https://files.afu.se/Downloads/Transcripts/0%20-%20Government/USA%20-%20NASA%20Johnson/2022 07 29 - NASA Johnson - Space to Ground  Decades of Results  07 29 2022_W-N4U30kSoY - transcript (automated).pdf","Transcript Link")</f>
        <v>Transcript Link</v>
      </c>
    </row>
    <row r="108" ht="180" spans="1:13">
      <c r="A108" s="1" t="s">
        <v>482</v>
      </c>
      <c r="B108" s="1" t="s">
        <v>13</v>
      </c>
      <c r="C108" s="4" t="s">
        <v>483</v>
      </c>
      <c r="D108" s="1" t="s">
        <v>484</v>
      </c>
      <c r="E108" s="1" t="s">
        <v>485</v>
      </c>
      <c r="F108" s="4" t="s">
        <v>17</v>
      </c>
      <c r="G108" s="1" t="s">
        <v>18</v>
      </c>
      <c r="H108" s="1" t="s">
        <v>19</v>
      </c>
      <c r="I108" s="1" t="s">
        <v>20</v>
      </c>
      <c r="J108" s="1" t="s">
        <v>486</v>
      </c>
      <c r="K108" s="1" t="s">
        <v>22</v>
      </c>
      <c r="L108" s="1" t="str">
        <f>HYPERLINK("https://files.afu.se/Downloads/Transcripts/0%20-%20Government/USA%20-%20NASA%20Johnson/2022 07 28 - NASA Johnson - We Belong Here_7vPGdmQR944 - transcript (automated).pdf","Transcript Link")</f>
        <v>Transcript Link</v>
      </c>
      <c r="M108" s="2" t="str">
        <f>HYPERLINK("https://files.afu.se/Downloads/Transcripts/0%20-%20Government/USA%20-%20NASA%20Johnson/2022 07 28 - NASA Johnson - We Belong Here_7vPGdmQR944 - transcript (automated).pdf","Transcript Link")</f>
        <v>Transcript Link</v>
      </c>
    </row>
    <row r="109" ht="180" spans="1:13">
      <c r="A109" s="1" t="s">
        <v>487</v>
      </c>
      <c r="B109" s="1" t="s">
        <v>13</v>
      </c>
      <c r="C109" s="4" t="s">
        <v>488</v>
      </c>
      <c r="D109" s="1" t="s">
        <v>489</v>
      </c>
      <c r="E109" s="1" t="s">
        <v>490</v>
      </c>
      <c r="F109" s="4" t="s">
        <v>17</v>
      </c>
      <c r="G109" s="1" t="s">
        <v>18</v>
      </c>
      <c r="H109" s="1" t="s">
        <v>19</v>
      </c>
      <c r="I109" s="1" t="s">
        <v>20</v>
      </c>
      <c r="J109" s="1" t="s">
        <v>491</v>
      </c>
      <c r="K109" s="1" t="s">
        <v>22</v>
      </c>
      <c r="L109" s="1" t="str">
        <f>HYPERLINK("https://files.afu.se/Downloads/Transcripts/0%20-%20Government/USA%20-%20NASA%20Johnson/2022 07 26 - NASA Johnson - Gateway Buildup Animation_Pme6SrG_-ZA - transcript (automated).pdf","Transcript Link")</f>
        <v>Transcript Link</v>
      </c>
      <c r="M109" s="2" t="str">
        <f>HYPERLINK("https://files.afu.se/Downloads/Transcripts/0%20-%20Government/USA%20-%20NASA%20Johnson/2022 07 26 - NASA Johnson - Gateway Buildup Animation_Pme6SrG_-ZA - transcript (automated).pdf","Transcript Link")</f>
        <v>Transcript Link</v>
      </c>
    </row>
    <row r="110" ht="180" spans="1:13">
      <c r="A110" s="1" t="s">
        <v>492</v>
      </c>
      <c r="B110" s="1" t="s">
        <v>13</v>
      </c>
      <c r="C110" s="4" t="s">
        <v>493</v>
      </c>
      <c r="D110" s="1" t="s">
        <v>494</v>
      </c>
      <c r="E110" s="1" t="s">
        <v>495</v>
      </c>
      <c r="F110" s="4" t="s">
        <v>17</v>
      </c>
      <c r="G110" s="1" t="s">
        <v>18</v>
      </c>
      <c r="H110" s="1" t="s">
        <v>19</v>
      </c>
      <c r="I110" s="1" t="s">
        <v>20</v>
      </c>
      <c r="J110" s="1" t="s">
        <v>496</v>
      </c>
      <c r="K110" s="1" t="s">
        <v>22</v>
      </c>
      <c r="L110" s="1" t="str">
        <f>HYPERLINK("https://files.afu.se/Downloads/Transcripts/0%20-%20Government/USA%20-%20NASA%20Johnson/2022 07 22 - NASA Johnson - 15 Benefits of Space Station Research_o5DpMYDJ22o - transcript (automated).pdf","Transcript Link")</f>
        <v>Transcript Link</v>
      </c>
      <c r="M110" s="2" t="str">
        <f>HYPERLINK("https://files.afu.se/Downloads/Transcripts/0%20-%20Government/USA%20-%20NASA%20Johnson/2022 07 22 - NASA Johnson - 15 Benefits of Space Station Research_o5DpMYDJ22o - transcript (automated).pdf","Transcript Link")</f>
        <v>Transcript Link</v>
      </c>
    </row>
    <row r="111" ht="180" spans="1:13">
      <c r="A111" s="1" t="s">
        <v>492</v>
      </c>
      <c r="B111" s="1" t="s">
        <v>13</v>
      </c>
      <c r="C111" s="4" t="s">
        <v>497</v>
      </c>
      <c r="D111" s="1" t="s">
        <v>498</v>
      </c>
      <c r="E111" s="1" t="s">
        <v>499</v>
      </c>
      <c r="F111" s="4" t="s">
        <v>17</v>
      </c>
      <c r="G111" s="1" t="s">
        <v>18</v>
      </c>
      <c r="H111" s="1" t="s">
        <v>19</v>
      </c>
      <c r="I111" s="1" t="s">
        <v>20</v>
      </c>
      <c r="J111" s="1" t="s">
        <v>500</v>
      </c>
      <c r="K111" s="1" t="s">
        <v>22</v>
      </c>
      <c r="L111" s="1" t="str">
        <f>HYPERLINK("https://files.afu.se/Downloads/Transcripts/0%20-%20Government/USA%20-%20NASA%20Johnson/2022 07 22 - NASA Johnson - International Space Station Benefits for Humanity 2022_IomdsbwYPrI - transcript (automated).pdf","Transcript Link")</f>
        <v>Transcript Link</v>
      </c>
      <c r="M111" s="2" t="str">
        <f>HYPERLINK("https://files.afu.se/Downloads/Transcripts/0%20-%20Government/USA%20-%20NASA%20Johnson/2022 07 22 - NASA Johnson - International Space Station Benefits for Humanity 2022_IomdsbwYPrI - transcript (automated).pdf","Transcript Link")</f>
        <v>Transcript Link</v>
      </c>
    </row>
    <row r="112" ht="300" spans="1:13">
      <c r="A112" s="1" t="s">
        <v>492</v>
      </c>
      <c r="B112" s="1" t="s">
        <v>13</v>
      </c>
      <c r="C112" s="4" t="s">
        <v>501</v>
      </c>
      <c r="D112" s="1" t="s">
        <v>502</v>
      </c>
      <c r="E112" s="1" t="s">
        <v>31</v>
      </c>
      <c r="F112" s="4" t="s">
        <v>17</v>
      </c>
      <c r="G112" s="1" t="s">
        <v>18</v>
      </c>
      <c r="H112" s="1" t="s">
        <v>19</v>
      </c>
      <c r="I112" s="1" t="s">
        <v>20</v>
      </c>
      <c r="J112" s="1" t="s">
        <v>503</v>
      </c>
      <c r="K112" s="1" t="s">
        <v>22</v>
      </c>
      <c r="L112" s="1" t="str">
        <f>HYPERLINK("https://files.afu.se/Downloads/Transcripts/0%20-%20Government/USA%20-%20NASA%20Johnson/2022 07 22 - NASA Johnson - Space to Ground  Double Dragons  07 22 2022_P0qzVV6r3sE - transcript (automated).pdf","Transcript Link")</f>
        <v>Transcript Link</v>
      </c>
      <c r="M112" s="2" t="str">
        <f>HYPERLINK("https://files.afu.se/Downloads/Transcripts/0%20-%20Government/USA%20-%20NASA%20Johnson/2022 07 22 - NASA Johnson - Space to Ground  Double Dragons  07 22 2022_P0qzVV6r3sE - transcript (automated).pdf","Transcript Link")</f>
        <v>Transcript Link</v>
      </c>
    </row>
    <row r="113" ht="300" spans="1:13">
      <c r="A113" s="1" t="s">
        <v>504</v>
      </c>
      <c r="B113" s="1" t="s">
        <v>13</v>
      </c>
      <c r="C113" s="4" t="s">
        <v>505</v>
      </c>
      <c r="D113" s="1" t="s">
        <v>506</v>
      </c>
      <c r="E113" s="1" t="s">
        <v>31</v>
      </c>
      <c r="F113" s="4" t="s">
        <v>17</v>
      </c>
      <c r="G113" s="1" t="s">
        <v>18</v>
      </c>
      <c r="H113" s="1" t="s">
        <v>19</v>
      </c>
      <c r="I113" s="1" t="s">
        <v>20</v>
      </c>
      <c r="J113" s="1" t="s">
        <v>507</v>
      </c>
      <c r="K113" s="1" t="s">
        <v>22</v>
      </c>
      <c r="L113" s="1" t="str">
        <f>HYPERLINK("https://files.afu.se/Downloads/Transcripts/0%20-%20Government/USA%20-%20NASA%20Johnson/2022 07 15 - NASA Johnson - Space to Ground  Something Incredible  07 15 2022_yMqMREkFfXA - transcript (automated).pdf","Transcript Link")</f>
        <v>Transcript Link</v>
      </c>
      <c r="M113" s="2" t="str">
        <f>HYPERLINK("https://files.afu.se/Downloads/Transcripts/0%20-%20Government/USA%20-%20NASA%20Johnson/2022 07 15 - NASA Johnson - Space to Ground  Something Incredible  07 15 2022_yMqMREkFfXA - transcript (automated).pdf","Transcript Link")</f>
        <v>Transcript Link</v>
      </c>
    </row>
    <row r="114" ht="300" spans="1:13">
      <c r="A114" s="1" t="s">
        <v>508</v>
      </c>
      <c r="B114" s="1" t="s">
        <v>13</v>
      </c>
      <c r="C114" s="4" t="s">
        <v>509</v>
      </c>
      <c r="D114" s="1" t="s">
        <v>510</v>
      </c>
      <c r="E114" s="1" t="s">
        <v>31</v>
      </c>
      <c r="F114" s="4" t="s">
        <v>17</v>
      </c>
      <c r="G114" s="1" t="s">
        <v>18</v>
      </c>
      <c r="H114" s="1" t="s">
        <v>19</v>
      </c>
      <c r="I114" s="1" t="s">
        <v>20</v>
      </c>
      <c r="J114" s="1" t="s">
        <v>511</v>
      </c>
      <c r="K114" s="1" t="s">
        <v>22</v>
      </c>
      <c r="L114" s="1" t="str">
        <f>HYPERLINK("https://files.afu.se/Downloads/Transcripts/0%20-%20Government/USA%20-%20NASA%20Johnson/2022 07 08 - NASA Johnson - Space to Ground  Cargo Countdown  07 08 2022_f3QEex_8LZQ - transcript (automated).pdf","Transcript Link")</f>
        <v>Transcript Link</v>
      </c>
      <c r="M114" s="2" t="str">
        <f>HYPERLINK("https://files.afu.se/Downloads/Transcripts/0%20-%20Government/USA%20-%20NASA%20Johnson/2022 07 08 - NASA Johnson - Space to Ground  Cargo Countdown  07 08 2022_f3QEex_8LZQ - transcript (automated).pdf","Transcript Link")</f>
        <v>Transcript Link</v>
      </c>
    </row>
    <row r="115" ht="180" spans="1:13">
      <c r="A115" s="1" t="s">
        <v>512</v>
      </c>
      <c r="B115" s="1" t="s">
        <v>13</v>
      </c>
      <c r="C115" s="4" t="s">
        <v>513</v>
      </c>
      <c r="D115" s="1" t="s">
        <v>514</v>
      </c>
      <c r="E115" s="1" t="s">
        <v>515</v>
      </c>
      <c r="F115" s="4" t="s">
        <v>17</v>
      </c>
      <c r="G115" s="1" t="s">
        <v>18</v>
      </c>
      <c r="H115" s="1" t="s">
        <v>19</v>
      </c>
      <c r="I115" s="1" t="s">
        <v>20</v>
      </c>
      <c r="J115" s="1" t="s">
        <v>516</v>
      </c>
      <c r="K115" s="1" t="s">
        <v>22</v>
      </c>
      <c r="L115" s="1" t="str">
        <f>HYPERLINK("https://files.afu.se/Downloads/Transcripts/0%20-%20Government/USA%20-%20NASA%20Johnson/2022 07 06 - NASA Johnson - Spacesuits for Artemis  Moon Dust and Mobility_cLRaP4SVvCc - transcript (automated).pdf","Transcript Link")</f>
        <v>Transcript Link</v>
      </c>
      <c r="M115" s="2" t="str">
        <f>HYPERLINK("https://files.afu.se/Downloads/Transcripts/0%20-%20Government/USA%20-%20NASA%20Johnson/2022 07 06 - NASA Johnson - Spacesuits for Artemis  Moon Dust and Mobility_cLRaP4SVvCc - transcript (automated).pdf","Transcript Link")</f>
        <v>Transcript Link</v>
      </c>
    </row>
    <row r="116" ht="300" spans="1:13">
      <c r="A116" s="1" t="s">
        <v>517</v>
      </c>
      <c r="B116" s="1" t="s">
        <v>13</v>
      </c>
      <c r="C116" s="4" t="s">
        <v>518</v>
      </c>
      <c r="D116" s="1" t="s">
        <v>519</v>
      </c>
      <c r="E116" s="1" t="s">
        <v>31</v>
      </c>
      <c r="F116" s="4" t="s">
        <v>17</v>
      </c>
      <c r="G116" s="1" t="s">
        <v>18</v>
      </c>
      <c r="H116" s="1" t="s">
        <v>19</v>
      </c>
      <c r="I116" s="1" t="s">
        <v>20</v>
      </c>
      <c r="J116" s="1" t="s">
        <v>520</v>
      </c>
      <c r="K116" s="1" t="s">
        <v>22</v>
      </c>
      <c r="L116" s="1" t="str">
        <f>HYPERLINK("https://files.afu.se/Downloads/Transcripts/0%20-%20Government/USA%20-%20NASA%20Johnson/2022 07 01 - NASA Johnson - Space to Ground  Halftime Report  07 01 2022_HUkP9E5-5ds - transcript (automated).pdf","Transcript Link")</f>
        <v>Transcript Link</v>
      </c>
      <c r="M116" s="2" t="str">
        <f>HYPERLINK("https://files.afu.se/Downloads/Transcripts/0%20-%20Government/USA%20-%20NASA%20Johnson/2022 07 01 - NASA Johnson - Space to Ground  Halftime Report  07 01 2022_HUkP9E5-5ds - transcript (automated).pdf","Transcript Link")</f>
        <v>Transcript Link</v>
      </c>
    </row>
    <row r="117" ht="180" spans="1:13">
      <c r="A117" s="1" t="s">
        <v>521</v>
      </c>
      <c r="B117" s="1" t="s">
        <v>13</v>
      </c>
      <c r="C117" s="4" t="s">
        <v>522</v>
      </c>
      <c r="D117" s="1" t="s">
        <v>523</v>
      </c>
      <c r="E117" s="1" t="s">
        <v>524</v>
      </c>
      <c r="F117" s="4" t="s">
        <v>17</v>
      </c>
      <c r="G117" s="1" t="s">
        <v>18</v>
      </c>
      <c r="H117" s="1" t="s">
        <v>19</v>
      </c>
      <c r="I117" s="1" t="s">
        <v>20</v>
      </c>
      <c r="J117" s="1" t="s">
        <v>525</v>
      </c>
      <c r="K117" s="1" t="s">
        <v>22</v>
      </c>
      <c r="L117" s="1" t="str">
        <f>HYPERLINK("https://files.afu.se/Downloads/Transcripts/0%20-%20Government/USA%20-%20NASA%20Johnson/2022 06 24 - NASA Johnson - A New Chapter   Down to Earth - S2 E5_1TPn-lFIYE4 - transcript (automated).pdf","Transcript Link")</f>
        <v>Transcript Link</v>
      </c>
      <c r="M117" s="2" t="str">
        <f>HYPERLINK("https://files.afu.se/Downloads/Transcripts/0%20-%20Government/USA%20-%20NASA%20Johnson/2022 06 24 - NASA Johnson - A New Chapter   Down to Earth - S2 E5_1TPn-lFIYE4 - transcript (automated).pdf","Transcript Link")</f>
        <v>Transcript Link</v>
      </c>
    </row>
    <row r="118" ht="180" spans="1:13">
      <c r="A118" s="1" t="s">
        <v>521</v>
      </c>
      <c r="B118" s="1" t="s">
        <v>13</v>
      </c>
      <c r="C118" s="4" t="s">
        <v>526</v>
      </c>
      <c r="D118" s="1" t="s">
        <v>527</v>
      </c>
      <c r="E118" s="1" t="s">
        <v>528</v>
      </c>
      <c r="F118" s="4" t="s">
        <v>17</v>
      </c>
      <c r="G118" s="1" t="s">
        <v>18</v>
      </c>
      <c r="H118" s="1" t="s">
        <v>19</v>
      </c>
      <c r="I118" s="1" t="s">
        <v>20</v>
      </c>
      <c r="J118" s="1" t="s">
        <v>529</v>
      </c>
      <c r="K118" s="1" t="s">
        <v>22</v>
      </c>
      <c r="L118" s="1" t="str">
        <f>HYPERLINK("https://files.afu.se/Downloads/Transcripts/0%20-%20Government/USA%20-%20NASA%20Johnson/2022 06 24 - NASA Johnson - SpaceCast Weekly - June 24, 2022_mscfcvlkbDk - transcript (automated).pdf","Transcript Link")</f>
        <v>Transcript Link</v>
      </c>
      <c r="M118" s="2" t="str">
        <f>HYPERLINK("https://files.afu.se/Downloads/Transcripts/0%20-%20Government/USA%20-%20NASA%20Johnson/2022 06 24 - NASA Johnson - SpaceCast Weekly - June 24, 2022_mscfcvlkbDk - transcript (automated).pdf","Transcript Link")</f>
        <v>Transcript Link</v>
      </c>
    </row>
    <row r="119" ht="300" spans="1:13">
      <c r="A119" s="1" t="s">
        <v>521</v>
      </c>
      <c r="B119" s="1" t="s">
        <v>13</v>
      </c>
      <c r="C119" s="4" t="s">
        <v>530</v>
      </c>
      <c r="D119" s="1" t="s">
        <v>531</v>
      </c>
      <c r="E119" s="1" t="s">
        <v>31</v>
      </c>
      <c r="F119" s="4" t="s">
        <v>17</v>
      </c>
      <c r="G119" s="1" t="s">
        <v>18</v>
      </c>
      <c r="H119" s="1" t="s">
        <v>19</v>
      </c>
      <c r="I119" s="1" t="s">
        <v>20</v>
      </c>
      <c r="J119" s="1" t="s">
        <v>532</v>
      </c>
      <c r="K119" s="1" t="s">
        <v>22</v>
      </c>
      <c r="L119" s="1" t="str">
        <f>HYPERLINK("https://files.afu.se/Downloads/Transcripts/0%20-%20Government/USA%20-%20NASA%20Johnson/2022 06 24 - NASA Johnson - Space to Ground  Wearable Wireless  06 24 2022_G_FYCymbO4w - transcript (automated).pdf","Transcript Link")</f>
        <v>Transcript Link</v>
      </c>
      <c r="M119" s="2" t="str">
        <f>HYPERLINK("https://files.afu.se/Downloads/Transcripts/0%20-%20Government/USA%20-%20NASA%20Johnson/2022 06 24 - NASA Johnson - Space to Ground  Wearable Wireless  06 24 2022_G_FYCymbO4w - transcript (automated).pdf","Transcript Link")</f>
        <v>Transcript Link</v>
      </c>
    </row>
    <row r="120" ht="180" spans="1:13">
      <c r="A120" s="1" t="s">
        <v>533</v>
      </c>
      <c r="B120" s="1" t="s">
        <v>13</v>
      </c>
      <c r="C120" s="4" t="s">
        <v>534</v>
      </c>
      <c r="D120" s="1" t="s">
        <v>535</v>
      </c>
      <c r="E120" s="1" t="s">
        <v>536</v>
      </c>
      <c r="F120" s="4" t="s">
        <v>17</v>
      </c>
      <c r="G120" s="1" t="s">
        <v>18</v>
      </c>
      <c r="H120" s="1" t="s">
        <v>19</v>
      </c>
      <c r="I120" s="1" t="s">
        <v>20</v>
      </c>
      <c r="J120" s="1" t="s">
        <v>537</v>
      </c>
      <c r="K120" s="1" t="s">
        <v>22</v>
      </c>
      <c r="L120" s="1" t="str">
        <f>HYPERLINK("https://files.afu.se/Downloads/Transcripts/0%20-%20Government/USA%20-%20NASA%20Johnson/2022 06 22 - NASA Johnson - STEMonstrations  Simple Machines_8U2BPtYyvW8 - transcript (automated).pdf","Transcript Link")</f>
        <v>Transcript Link</v>
      </c>
      <c r="M120" s="2" t="str">
        <f>HYPERLINK("https://files.afu.se/Downloads/Transcripts/0%20-%20Government/USA%20-%20NASA%20Johnson/2022 06 22 - NASA Johnson - STEMonstrations  Simple Machines_8U2BPtYyvW8 - transcript (automated).pdf","Transcript Link")</f>
        <v>Transcript Link</v>
      </c>
    </row>
    <row r="121" ht="300" spans="1:13">
      <c r="A121" s="1" t="s">
        <v>538</v>
      </c>
      <c r="B121" s="1" t="s">
        <v>13</v>
      </c>
      <c r="C121" s="4" t="s">
        <v>539</v>
      </c>
      <c r="D121" s="1" t="s">
        <v>540</v>
      </c>
      <c r="E121" s="1" t="s">
        <v>31</v>
      </c>
      <c r="F121" s="4" t="s">
        <v>17</v>
      </c>
      <c r="G121" s="1" t="s">
        <v>18</v>
      </c>
      <c r="H121" s="1" t="s">
        <v>19</v>
      </c>
      <c r="I121" s="1" t="s">
        <v>20</v>
      </c>
      <c r="J121" s="1" t="s">
        <v>541</v>
      </c>
      <c r="K121" s="1" t="s">
        <v>22</v>
      </c>
      <c r="L121" s="1" t="str">
        <f>HYPERLINK("https://files.afu.se/Downloads/Transcripts/0%20-%20Government/USA%20-%20NASA%20Johnson/2022 06 17 - NASA Johnson - Space to Ground  One Million Hours  06 17 2022_mtmsHpo-H9Q - transcript (automated).pdf","Transcript Link")</f>
        <v>Transcript Link</v>
      </c>
      <c r="M121" s="2" t="str">
        <f>HYPERLINK("https://files.afu.se/Downloads/Transcripts/0%20-%20Government/USA%20-%20NASA%20Johnson/2022 06 17 - NASA Johnson - Space to Ground  One Million Hours  06 17 2022_mtmsHpo-H9Q - transcript (automated).pdf","Transcript Link")</f>
        <v>Transcript Link</v>
      </c>
    </row>
    <row r="122" ht="180" spans="1:13">
      <c r="A122" s="1" t="s">
        <v>542</v>
      </c>
      <c r="B122" s="1" t="s">
        <v>13</v>
      </c>
      <c r="C122" s="4" t="s">
        <v>543</v>
      </c>
      <c r="D122" s="1" t="s">
        <v>544</v>
      </c>
      <c r="E122" s="1" t="s">
        <v>545</v>
      </c>
      <c r="F122" s="4" t="s">
        <v>17</v>
      </c>
      <c r="G122" s="1" t="s">
        <v>18</v>
      </c>
      <c r="H122" s="1" t="s">
        <v>19</v>
      </c>
      <c r="I122" s="1" t="s">
        <v>20</v>
      </c>
      <c r="J122" s="1" t="s">
        <v>546</v>
      </c>
      <c r="K122" s="1" t="s">
        <v>22</v>
      </c>
      <c r="L122" s="1" t="str">
        <f>HYPERLINK("https://files.afu.se/Downloads/Transcripts/0%20-%20Government/USA%20-%20NASA%20Johnson/2022 06 10 - NASA Johnson - Adapt   Down to Earth - S2 E4_DzqFaQ8rZDE - transcript (automated).pdf","Transcript Link")</f>
        <v>Transcript Link</v>
      </c>
      <c r="M122" s="2" t="str">
        <f>HYPERLINK("https://files.afu.se/Downloads/Transcripts/0%20-%20Government/USA%20-%20NASA%20Johnson/2022 06 10 - NASA Johnson - Adapt   Down to Earth - S2 E4_DzqFaQ8rZDE - transcript (automated).pdf","Transcript Link")</f>
        <v>Transcript Link</v>
      </c>
    </row>
    <row r="123" ht="300" spans="1:13">
      <c r="A123" s="1" t="s">
        <v>542</v>
      </c>
      <c r="B123" s="1" t="s">
        <v>13</v>
      </c>
      <c r="C123" s="4" t="s">
        <v>547</v>
      </c>
      <c r="D123" s="1" t="s">
        <v>548</v>
      </c>
      <c r="E123" s="1" t="s">
        <v>31</v>
      </c>
      <c r="F123" s="4" t="s">
        <v>17</v>
      </c>
      <c r="G123" s="1" t="s">
        <v>18</v>
      </c>
      <c r="H123" s="1" t="s">
        <v>19</v>
      </c>
      <c r="I123" s="1" t="s">
        <v>20</v>
      </c>
      <c r="J123" s="1" t="s">
        <v>549</v>
      </c>
      <c r="K123" s="1" t="s">
        <v>22</v>
      </c>
      <c r="L123" s="1" t="str">
        <f>HYPERLINK("https://files.afu.se/Downloads/Transcripts/0%20-%20Government/USA%20-%20NASA%20Johnson/2022 06 10 - NASA Johnson - Space to Ground  The To-Do List  06 10 2022_OuiMC5oTY7A - transcript (automated).pdf","Transcript Link")</f>
        <v>Transcript Link</v>
      </c>
      <c r="M123" s="2" t="str">
        <f>HYPERLINK("https://files.afu.se/Downloads/Transcripts/0%20-%20Government/USA%20-%20NASA%20Johnson/2022 06 10 - NASA Johnson - Space to Ground  The To-Do List  06 10 2022_OuiMC5oTY7A - transcript (automated).pdf","Transcript Link")</f>
        <v>Transcript Link</v>
      </c>
    </row>
    <row r="124" ht="180" spans="1:13">
      <c r="A124" s="1" t="s">
        <v>550</v>
      </c>
      <c r="B124" s="1" t="s">
        <v>13</v>
      </c>
      <c r="C124" s="4" t="s">
        <v>551</v>
      </c>
      <c r="D124" s="1" t="s">
        <v>552</v>
      </c>
      <c r="E124" s="1" t="s">
        <v>553</v>
      </c>
      <c r="F124" s="4" t="s">
        <v>17</v>
      </c>
      <c r="G124" s="1" t="s">
        <v>18</v>
      </c>
      <c r="H124" s="1" t="s">
        <v>19</v>
      </c>
      <c r="I124" s="1" t="s">
        <v>20</v>
      </c>
      <c r="J124" s="1" t="s">
        <v>554</v>
      </c>
      <c r="K124" s="1" t="s">
        <v>22</v>
      </c>
      <c r="L124" s="1" t="str">
        <f>HYPERLINK("https://files.afu.se/Downloads/Transcripts/0%20-%20Government/USA%20-%20NASA%20Johnson/2022 06 06 - NASA Johnson - Going Outside  Exploring the Future_Or7ZiVvj2cE - transcript (automated).pdf","Transcript Link")</f>
        <v>Transcript Link</v>
      </c>
      <c r="M124" s="2" t="str">
        <f>HYPERLINK("https://files.afu.se/Downloads/Transcripts/0%20-%20Government/USA%20-%20NASA%20Johnson/2022 06 06 - NASA Johnson - Going Outside  Exploring the Future_Or7ZiVvj2cE - transcript (automated).pdf","Transcript Link")</f>
        <v>Transcript Link</v>
      </c>
    </row>
    <row r="125" ht="300" spans="1:13">
      <c r="A125" s="1" t="s">
        <v>555</v>
      </c>
      <c r="B125" s="1" t="s">
        <v>13</v>
      </c>
      <c r="C125" s="4" t="s">
        <v>556</v>
      </c>
      <c r="D125" s="1" t="s">
        <v>557</v>
      </c>
      <c r="E125" s="1" t="s">
        <v>31</v>
      </c>
      <c r="F125" s="4" t="s">
        <v>17</v>
      </c>
      <c r="G125" s="1" t="s">
        <v>18</v>
      </c>
      <c r="H125" s="1" t="s">
        <v>19</v>
      </c>
      <c r="I125" s="1" t="s">
        <v>20</v>
      </c>
      <c r="J125" s="1" t="s">
        <v>558</v>
      </c>
      <c r="K125" s="1" t="s">
        <v>22</v>
      </c>
      <c r="L125" s="1" t="str">
        <f>HYPERLINK("https://files.afu.se/Downloads/Transcripts/0%20-%20Government/USA%20-%20NASA%20Johnson/2022 06 03 - NASA Johnson - Space to Ground  The Study of Dust  06 03 2022__2SvDVkZDhU - transcript (automated).pdf","Transcript Link")</f>
        <v>Transcript Link</v>
      </c>
      <c r="M125" s="2" t="str">
        <f>HYPERLINK("https://files.afu.se/Downloads/Transcripts/0%20-%20Government/USA%20-%20NASA%20Johnson/2022 06 03 - NASA Johnson - Space to Ground  The Study of Dust  06 03 2022__2SvDVkZDhU - transcript (automated).pdf","Transcript Link")</f>
        <v>Transcript Link</v>
      </c>
    </row>
    <row r="126" ht="180" spans="1:13">
      <c r="A126" s="1" t="s">
        <v>555</v>
      </c>
      <c r="B126" s="1" t="s">
        <v>13</v>
      </c>
      <c r="C126" s="4" t="s">
        <v>559</v>
      </c>
      <c r="D126" s="1" t="s">
        <v>560</v>
      </c>
      <c r="E126" s="1" t="s">
        <v>561</v>
      </c>
      <c r="F126" s="4" t="s">
        <v>17</v>
      </c>
      <c r="G126" s="1" t="s">
        <v>18</v>
      </c>
      <c r="H126" s="1" t="s">
        <v>19</v>
      </c>
      <c r="I126" s="1" t="s">
        <v>20</v>
      </c>
      <c r="J126" s="1" t="s">
        <v>562</v>
      </c>
      <c r="K126" s="1" t="s">
        <v>22</v>
      </c>
      <c r="L126" s="1" t="str">
        <f>HYPERLINK("https://files.afu.se/Downloads/Transcripts/0%20-%20Government/USA%20-%20NASA%20Johnson/2022 06 03 - NASA Johnson - Orion’s Journey - Part 1  Leaving Earth_Ah-jnpya4-s - transcript (automated).pdf","Transcript Link")</f>
        <v>Transcript Link</v>
      </c>
      <c r="M126" s="2" t="str">
        <f>HYPERLINK("https://files.afu.se/Downloads/Transcripts/0%20-%20Government/USA%20-%20NASA%20Johnson/2022 06 03 - NASA Johnson - Orion’s Journey - Part 1  Leaving Earth_Ah-jnpya4-s - transcript (automated).pdf","Transcript Link")</f>
        <v>Transcript Link</v>
      </c>
    </row>
    <row r="127" ht="180" spans="1:13">
      <c r="A127" s="1" t="s">
        <v>555</v>
      </c>
      <c r="B127" s="1" t="s">
        <v>13</v>
      </c>
      <c r="C127" s="4" t="s">
        <v>563</v>
      </c>
      <c r="D127" s="1" t="s">
        <v>564</v>
      </c>
      <c r="E127" s="1" t="s">
        <v>565</v>
      </c>
      <c r="F127" s="4" t="s">
        <v>17</v>
      </c>
      <c r="G127" s="1" t="s">
        <v>18</v>
      </c>
      <c r="H127" s="1" t="s">
        <v>19</v>
      </c>
      <c r="I127" s="1" t="s">
        <v>20</v>
      </c>
      <c r="J127" s="1" t="s">
        <v>566</v>
      </c>
      <c r="K127" s="1" t="s">
        <v>22</v>
      </c>
      <c r="L127" s="1" t="str">
        <f>HYPERLINK("https://files.afu.se/Downloads/Transcripts/0%20-%20Government/USA%20-%20NASA%20Johnson/2022 06 03 - NASA Johnson - Orion’s Journey - Part 2  Entering Distant Retrograde Orbit (DRO)_qxRwx6klbeg - transcript (automated).pdf","Transcript Link")</f>
        <v>Transcript Link</v>
      </c>
      <c r="M127" s="2" t="str">
        <f>HYPERLINK("https://files.afu.se/Downloads/Transcripts/0%20-%20Government/USA%20-%20NASA%20Johnson/2022 06 03 - NASA Johnson - Orion’s Journey - Part 2  Entering Distant Retrograde Orbit (DRO)_qxRwx6klbeg - transcript (automated).pdf","Transcript Link")</f>
        <v>Transcript Link</v>
      </c>
    </row>
    <row r="128" ht="180" spans="1:13">
      <c r="A128" s="1" t="s">
        <v>555</v>
      </c>
      <c r="B128" s="1" t="s">
        <v>13</v>
      </c>
      <c r="C128" s="4" t="s">
        <v>567</v>
      </c>
      <c r="D128" s="1" t="s">
        <v>568</v>
      </c>
      <c r="E128" s="1" t="s">
        <v>569</v>
      </c>
      <c r="F128" s="4" t="s">
        <v>17</v>
      </c>
      <c r="G128" s="1" t="s">
        <v>18</v>
      </c>
      <c r="H128" s="1" t="s">
        <v>19</v>
      </c>
      <c r="I128" s="1" t="s">
        <v>20</v>
      </c>
      <c r="J128" s="1" t="s">
        <v>570</v>
      </c>
      <c r="K128" s="1" t="s">
        <v>22</v>
      </c>
      <c r="L128" s="1" t="str">
        <f>HYPERLINK("https://files.afu.se/Downloads/Transcripts/0%20-%20Government/USA%20-%20NASA%20Johnson/2022 06 03 - NASA Johnson - Orion’s Journey - Part 3  Returning Home_t0XhcsWoAPM - transcript (automated).pdf","Transcript Link")</f>
        <v>Transcript Link</v>
      </c>
      <c r="M128" s="2" t="str">
        <f>HYPERLINK("https://files.afu.se/Downloads/Transcripts/0%20-%20Government/USA%20-%20NASA%20Johnson/2022 06 03 - NASA Johnson - Orion’s Journey - Part 3  Returning Home_t0XhcsWoAPM - transcript (automated).pdf","Transcript Link")</f>
        <v>Transcript Link</v>
      </c>
    </row>
    <row r="129" ht="300" spans="1:13">
      <c r="A129" s="1" t="s">
        <v>571</v>
      </c>
      <c r="B129" s="1" t="s">
        <v>13</v>
      </c>
      <c r="C129" s="4" t="s">
        <v>572</v>
      </c>
      <c r="D129" s="1" t="s">
        <v>573</v>
      </c>
      <c r="E129" s="1" t="s">
        <v>31</v>
      </c>
      <c r="F129" s="4" t="s">
        <v>17</v>
      </c>
      <c r="G129" s="1" t="s">
        <v>18</v>
      </c>
      <c r="H129" s="1" t="s">
        <v>19</v>
      </c>
      <c r="I129" s="1" t="s">
        <v>20</v>
      </c>
      <c r="J129" s="1" t="s">
        <v>574</v>
      </c>
      <c r="K129" s="1" t="s">
        <v>22</v>
      </c>
      <c r="L129" s="1" t="str">
        <f>HYPERLINK("https://files.afu.se/Downloads/Transcripts/0%20-%20Government/USA%20-%20NASA%20Johnson/2022 05 27 - NASA Johnson - Space to Ground  Starliner  05 27 2022_EZxmX_E2zs8 - transcript (automated).pdf","Transcript Link")</f>
        <v>Transcript Link</v>
      </c>
      <c r="M129" s="2" t="str">
        <f>HYPERLINK("https://files.afu.se/Downloads/Transcripts/0%20-%20Government/USA%20-%20NASA%20Johnson/2022 05 27 - NASA Johnson - Space to Ground  Starliner  05 27 2022_EZxmX_E2zs8 - transcript (automated).pdf","Transcript Link")</f>
        <v>Transcript Link</v>
      </c>
    </row>
    <row r="130" ht="180" spans="1:13">
      <c r="A130" s="1" t="s">
        <v>575</v>
      </c>
      <c r="B130" s="1" t="s">
        <v>13</v>
      </c>
      <c r="C130" s="4" t="s">
        <v>576</v>
      </c>
      <c r="D130" s="1" t="s">
        <v>577</v>
      </c>
      <c r="E130" s="1" t="s">
        <v>578</v>
      </c>
      <c r="F130" s="4" t="s">
        <v>17</v>
      </c>
      <c r="G130" s="1" t="s">
        <v>18</v>
      </c>
      <c r="H130" s="1" t="s">
        <v>19</v>
      </c>
      <c r="I130" s="1" t="s">
        <v>20</v>
      </c>
      <c r="J130" s="1" t="s">
        <v>579</v>
      </c>
      <c r="K130" s="1" t="s">
        <v>22</v>
      </c>
      <c r="L130" s="1" t="str">
        <f>HYPERLINK("https://files.afu.se/Downloads/Transcripts/0%20-%20Government/USA%20-%20NASA%20Johnson/2022 05 23 - NASA Johnson - The Miracle Planet   Down to Earth - S2 E3_Mn6GRKISsoE - transcript (automated).pdf","Transcript Link")</f>
        <v>Transcript Link</v>
      </c>
      <c r="M130" s="2" t="str">
        <f>HYPERLINK("https://files.afu.se/Downloads/Transcripts/0%20-%20Government/USA%20-%20NASA%20Johnson/2022 05 23 - NASA Johnson - The Miracle Planet   Down to Earth - S2 E3_Mn6GRKISsoE - transcript (automated).pdf","Transcript Link")</f>
        <v>Transcript Link</v>
      </c>
    </row>
    <row r="131" ht="180" spans="1:13">
      <c r="A131" s="1" t="s">
        <v>580</v>
      </c>
      <c r="B131" s="1" t="s">
        <v>13</v>
      </c>
      <c r="C131" s="4" t="s">
        <v>581</v>
      </c>
      <c r="D131" s="1" t="s">
        <v>582</v>
      </c>
      <c r="E131" s="1" t="s">
        <v>583</v>
      </c>
      <c r="F131" s="4" t="s">
        <v>17</v>
      </c>
      <c r="G131" s="1" t="s">
        <v>18</v>
      </c>
      <c r="H131" s="1" t="s">
        <v>19</v>
      </c>
      <c r="I131" s="1" t="s">
        <v>20</v>
      </c>
      <c r="J131" s="1" t="s">
        <v>584</v>
      </c>
      <c r="K131" s="1" t="s">
        <v>22</v>
      </c>
      <c r="L131" s="1" t="str">
        <f>HYPERLINK("https://files.afu.se/Downloads/Transcripts/0%20-%20Government/USA%20-%20NASA%20Johnson/2022 05 20 - NASA Johnson - NASA Johnson's Astromaterials Laboratory_Bqjoq-Jfb2c - transcript (automated).pdf","Transcript Link")</f>
        <v>Transcript Link</v>
      </c>
      <c r="M131" s="2" t="str">
        <f>HYPERLINK("https://files.afu.se/Downloads/Transcripts/0%20-%20Government/USA%20-%20NASA%20Johnson/2022 05 20 - NASA Johnson - NASA Johnson's Astromaterials Laboratory_Bqjoq-Jfb2c - transcript (automated).pdf","Transcript Link")</f>
        <v>Transcript Link</v>
      </c>
    </row>
    <row r="132" ht="300" spans="1:13">
      <c r="A132" s="1" t="s">
        <v>580</v>
      </c>
      <c r="B132" s="1" t="s">
        <v>13</v>
      </c>
      <c r="C132" s="4" t="s">
        <v>585</v>
      </c>
      <c r="D132" s="1" t="s">
        <v>586</v>
      </c>
      <c r="E132" s="1" t="s">
        <v>31</v>
      </c>
      <c r="F132" s="4" t="s">
        <v>17</v>
      </c>
      <c r="G132" s="1" t="s">
        <v>18</v>
      </c>
      <c r="H132" s="1" t="s">
        <v>19</v>
      </c>
      <c r="I132" s="1" t="s">
        <v>20</v>
      </c>
      <c r="J132" s="1" t="s">
        <v>587</v>
      </c>
      <c r="K132" s="1" t="s">
        <v>22</v>
      </c>
      <c r="L132" s="1" t="str">
        <f>HYPERLINK("https://files.afu.se/Downloads/Transcripts/0%20-%20Government/USA%20-%20NASA%20Johnson/2022 05 20 - NASA Johnson - Space to Ground  Flight Test  05 20 2022_xasnaNpgq04 - transcript (automated).pdf","Transcript Link")</f>
        <v>Transcript Link</v>
      </c>
      <c r="M132" s="2" t="str">
        <f>HYPERLINK("https://files.afu.se/Downloads/Transcripts/0%20-%20Government/USA%20-%20NASA%20Johnson/2022 05 20 - NASA Johnson - Space to Ground  Flight Test  05 20 2022_xasnaNpgq04 - transcript (automated).pdf","Transcript Link")</f>
        <v>Transcript Link</v>
      </c>
    </row>
    <row r="133" ht="300" spans="1:13">
      <c r="A133" s="1" t="s">
        <v>588</v>
      </c>
      <c r="B133" s="1" t="s">
        <v>13</v>
      </c>
      <c r="C133" s="4" t="s">
        <v>589</v>
      </c>
      <c r="D133" s="1" t="s">
        <v>590</v>
      </c>
      <c r="E133" s="1" t="s">
        <v>31</v>
      </c>
      <c r="F133" s="4" t="s">
        <v>17</v>
      </c>
      <c r="G133" s="1" t="s">
        <v>18</v>
      </c>
      <c r="H133" s="1" t="s">
        <v>19</v>
      </c>
      <c r="I133" s="1" t="s">
        <v>20</v>
      </c>
      <c r="J133" s="1" t="s">
        <v>591</v>
      </c>
      <c r="K133" s="1" t="s">
        <v>22</v>
      </c>
      <c r="L133" s="1" t="str">
        <f>HYPERLINK("https://files.afu.se/Downloads/Transcripts/0%20-%20Government/USA%20-%20NASA%20Johnson/2022 05 13 - NASA Johnson - Space to Ground  Science Season  05 13 2022_WDVubcoZCP4 - transcript (automated).pdf","Transcript Link")</f>
        <v>Transcript Link</v>
      </c>
      <c r="M133" s="2" t="str">
        <f>HYPERLINK("https://files.afu.se/Downloads/Transcripts/0%20-%20Government/USA%20-%20NASA%20Johnson/2022 05 13 - NASA Johnson - Space to Ground  Science Season  05 13 2022_WDVubcoZCP4 - transcript (automated).pdf","Transcript Link")</f>
        <v>Transcript Link</v>
      </c>
    </row>
    <row r="134" ht="180" spans="1:13">
      <c r="A134" s="1" t="s">
        <v>592</v>
      </c>
      <c r="B134" s="1" t="s">
        <v>13</v>
      </c>
      <c r="C134" s="4" t="s">
        <v>593</v>
      </c>
      <c r="D134" s="1" t="s">
        <v>594</v>
      </c>
      <c r="E134" s="1" t="s">
        <v>595</v>
      </c>
      <c r="F134" s="4" t="s">
        <v>17</v>
      </c>
      <c r="G134" s="1" t="s">
        <v>18</v>
      </c>
      <c r="H134" s="1" t="s">
        <v>19</v>
      </c>
      <c r="I134" s="1" t="s">
        <v>20</v>
      </c>
      <c r="J134" s="1" t="s">
        <v>596</v>
      </c>
      <c r="K134" s="1" t="s">
        <v>22</v>
      </c>
      <c r="L134" s="1" t="str">
        <f>HYPERLINK("https://files.afu.se/Downloads/Transcripts/0%20-%20Government/USA%20-%20NASA%20Johnson/2022 05 06 - NASA Johnson - Sensory Overload   Down to Earth - S2 E2_7Yaiw9ISxG0 - transcript (automated).pdf","Transcript Link")</f>
        <v>Transcript Link</v>
      </c>
      <c r="M134" s="2" t="str">
        <f>HYPERLINK("https://files.afu.se/Downloads/Transcripts/0%20-%20Government/USA%20-%20NASA%20Johnson/2022 05 06 - NASA Johnson - Sensory Overload   Down to Earth - S2 E2_7Yaiw9ISxG0 - transcript (automated).pdf","Transcript Link")</f>
        <v>Transcript Link</v>
      </c>
    </row>
    <row r="135" ht="300" spans="1:13">
      <c r="A135" s="1" t="s">
        <v>592</v>
      </c>
      <c r="B135" s="1" t="s">
        <v>13</v>
      </c>
      <c r="C135" s="4" t="s">
        <v>597</v>
      </c>
      <c r="D135" s="1" t="s">
        <v>598</v>
      </c>
      <c r="E135" s="1" t="s">
        <v>31</v>
      </c>
      <c r="F135" s="4" t="s">
        <v>17</v>
      </c>
      <c r="G135" s="1" t="s">
        <v>18</v>
      </c>
      <c r="H135" s="1" t="s">
        <v>19</v>
      </c>
      <c r="I135" s="1" t="s">
        <v>20</v>
      </c>
      <c r="J135" s="1" t="s">
        <v>599</v>
      </c>
      <c r="K135" s="1" t="s">
        <v>22</v>
      </c>
      <c r="L135" s="1" t="str">
        <f>HYPERLINK("https://files.afu.se/Downloads/Transcripts/0%20-%20Government/USA%20-%20NASA%20Johnson/2022 05 06 - NASA Johnson - Space to Ground  Place of No Return  05 06 2022_2PADmY5Gq04 - transcript (automated).pdf","Transcript Link")</f>
        <v>Transcript Link</v>
      </c>
      <c r="M135" s="2" t="str">
        <f>HYPERLINK("https://files.afu.se/Downloads/Transcripts/0%20-%20Government/USA%20-%20NASA%20Johnson/2022 05 06 - NASA Johnson - Space to Ground  Place of No Return  05 06 2022_2PADmY5Gq04 - transcript (automated).pdf","Transcript Link")</f>
        <v>Transcript Link</v>
      </c>
    </row>
    <row r="136" ht="180" spans="1:13">
      <c r="A136" s="1" t="s">
        <v>600</v>
      </c>
      <c r="B136" s="1" t="s">
        <v>13</v>
      </c>
      <c r="C136" s="4" t="s">
        <v>601</v>
      </c>
      <c r="D136" s="1" t="s">
        <v>602</v>
      </c>
      <c r="E136" s="1" t="s">
        <v>603</v>
      </c>
      <c r="F136" s="4" t="s">
        <v>17</v>
      </c>
      <c r="G136" s="1" t="s">
        <v>18</v>
      </c>
      <c r="H136" s="1" t="s">
        <v>19</v>
      </c>
      <c r="I136" s="1" t="s">
        <v>20</v>
      </c>
      <c r="J136" s="1" t="s">
        <v>604</v>
      </c>
      <c r="K136" s="1" t="s">
        <v>22</v>
      </c>
      <c r="L136" s="1" t="str">
        <f>HYPERLINK("https://files.afu.se/Downloads/Transcripts/0%20-%20Government/USA%20-%20NASA%20Johnson/2022 05 04 - NASA Johnson - Change of Command of International Space Station Takes Place_Z_ndJHT4qOw - transcript (automated).pdf","Transcript Link")</f>
        <v>Transcript Link</v>
      </c>
      <c r="M136" s="2" t="str">
        <f>HYPERLINK("https://files.afu.se/Downloads/Transcripts/0%20-%20Government/USA%20-%20NASA%20Johnson/2022 05 04 - NASA Johnson - Change of Command of International Space Station Takes Place_Z_ndJHT4qOw - transcript (automated).pdf","Transcript Link")</f>
        <v>Transcript Link</v>
      </c>
    </row>
    <row r="137" ht="300" spans="1:13">
      <c r="A137" s="1" t="s">
        <v>605</v>
      </c>
      <c r="B137" s="1" t="s">
        <v>13</v>
      </c>
      <c r="C137" s="4" t="s">
        <v>606</v>
      </c>
      <c r="D137" s="1" t="s">
        <v>607</v>
      </c>
      <c r="E137" s="1" t="s">
        <v>31</v>
      </c>
      <c r="F137" s="4" t="s">
        <v>17</v>
      </c>
      <c r="G137" s="1" t="s">
        <v>18</v>
      </c>
      <c r="H137" s="1" t="s">
        <v>19</v>
      </c>
      <c r="I137" s="1" t="s">
        <v>20</v>
      </c>
      <c r="J137" s="1" t="s">
        <v>608</v>
      </c>
      <c r="K137" s="1" t="s">
        <v>22</v>
      </c>
      <c r="L137" s="1" t="str">
        <f>HYPERLINK("https://files.afu.se/Downloads/Transcripts/0%20-%20Government/USA%20-%20NASA%20Johnson/2022 04 29 - NASA Johnson - Space to Ground  Fantastic Four  04 29 2022_xQ7wCF582cg - transcript (automated).pdf","Transcript Link")</f>
        <v>Transcript Link</v>
      </c>
      <c r="M137" s="2" t="str">
        <f>HYPERLINK("https://files.afu.se/Downloads/Transcripts/0%20-%20Government/USA%20-%20NASA%20Johnson/2022 04 29 - NASA Johnson - Space to Ground  Fantastic Four  04 29 2022_xQ7wCF582cg - transcript (automated).pdf","Transcript Link")</f>
        <v>Transcript Link</v>
      </c>
    </row>
    <row r="138" ht="210" spans="1:13">
      <c r="A138" s="1" t="s">
        <v>609</v>
      </c>
      <c r="B138" s="1" t="s">
        <v>13</v>
      </c>
      <c r="C138" s="4" t="s">
        <v>610</v>
      </c>
      <c r="D138" s="1" t="s">
        <v>611</v>
      </c>
      <c r="E138" s="1" t="s">
        <v>612</v>
      </c>
      <c r="F138" s="4" t="s">
        <v>17</v>
      </c>
      <c r="G138" s="1" t="s">
        <v>18</v>
      </c>
      <c r="H138" s="1" t="s">
        <v>19</v>
      </c>
      <c r="I138" s="1" t="s">
        <v>20</v>
      </c>
      <c r="J138" s="1" t="s">
        <v>613</v>
      </c>
      <c r="K138" s="1" t="s">
        <v>22</v>
      </c>
      <c r="L138" s="1" t="str">
        <f>HYPERLINK("https://files.afu.se/Downloads/Transcripts/0%20-%20Government/USA%20-%20NASA%20Johnson/2022 04 28 - NASA Johnson - Expedition 67 - International Space Station Russian Spacewalk 53 - April 28, 2022_6M05OWIVg4c - transcript (automated).pdf","Transcript Link")</f>
        <v>Transcript Link</v>
      </c>
      <c r="M138" s="2" t="str">
        <f>HYPERLINK("https://files.afu.se/Downloads/Transcripts/0%20-%20Government/USA%20-%20NASA%20Johnson/2022 04 28 - NASA Johnson - Expedition 67 - International Space Station Russian Spacewalk 53 - April 28, 2022_6M05OWIVg4c - transcript (automated).pdf","Transcript Link")</f>
        <v>Transcript Link</v>
      </c>
    </row>
    <row r="139" ht="180" spans="1:13">
      <c r="A139" s="1" t="s">
        <v>609</v>
      </c>
      <c r="B139" s="1" t="s">
        <v>13</v>
      </c>
      <c r="C139" s="4" t="s">
        <v>614</v>
      </c>
      <c r="D139" s="1" t="s">
        <v>615</v>
      </c>
      <c r="E139" s="1" t="s">
        <v>616</v>
      </c>
      <c r="F139" s="4" t="s">
        <v>17</v>
      </c>
      <c r="G139" s="1" t="s">
        <v>18</v>
      </c>
      <c r="H139" s="1" t="s">
        <v>19</v>
      </c>
      <c r="I139" s="1" t="s">
        <v>20</v>
      </c>
      <c r="J139" s="1" t="s">
        <v>617</v>
      </c>
      <c r="K139" s="1" t="s">
        <v>22</v>
      </c>
      <c r="L139" s="1" t="str">
        <f>HYPERLINK("https://files.afu.se/Downloads/Transcripts/0%20-%20Government/USA%20-%20NASA%20Johnson/2022 04 28 - NASA Johnson - NASA's SpaceX Crew-4 Flight Day 2 Highlights_TImANes5Bzk - transcript (automated).pdf","Transcript Link")</f>
        <v>Transcript Link</v>
      </c>
      <c r="M139" s="2" t="str">
        <f>HYPERLINK("https://files.afu.se/Downloads/Transcripts/0%20-%20Government/USA%20-%20NASA%20Johnson/2022 04 28 - NASA Johnson - NASA's SpaceX Crew-4 Flight Day 2 Highlights_TImANes5Bzk - transcript (automated).pdf","Transcript Link")</f>
        <v>Transcript Link</v>
      </c>
    </row>
    <row r="140" ht="330" spans="1:13">
      <c r="A140" s="1" t="s">
        <v>618</v>
      </c>
      <c r="B140" s="1" t="s">
        <v>13</v>
      </c>
      <c r="C140" s="4" t="s">
        <v>619</v>
      </c>
      <c r="D140" s="1" t="s">
        <v>620</v>
      </c>
      <c r="E140" s="1" t="s">
        <v>621</v>
      </c>
      <c r="F140" s="4" t="s">
        <v>17</v>
      </c>
      <c r="G140" s="1" t="s">
        <v>18</v>
      </c>
      <c r="H140" s="1" t="s">
        <v>19</v>
      </c>
      <c r="I140" s="1" t="s">
        <v>20</v>
      </c>
      <c r="J140" s="1" t="s">
        <v>622</v>
      </c>
      <c r="K140" s="1" t="s">
        <v>22</v>
      </c>
      <c r="L140" s="1" t="str">
        <f>HYPERLINK("https://files.afu.se/Downloads/Transcripts/0%20-%20Government/USA%20-%20NASA%20Johnson/2022 04 27 - NASA Johnson - Meet Jessica Watkins, Crew-4 Mission Specialist_S2Zt190EaNk - transcript (automated).pdf","Transcript Link")</f>
        <v>Transcript Link</v>
      </c>
      <c r="M140" s="2" t="str">
        <f>HYPERLINK("https://files.afu.se/Downloads/Transcripts/0%20-%20Government/USA%20-%20NASA%20Johnson/2022 04 27 - NASA Johnson - Meet Jessica Watkins, Crew-4 Mission Specialist_S2Zt190EaNk - transcript (automated).pdf","Transcript Link")</f>
        <v>Transcript Link</v>
      </c>
    </row>
    <row r="141" ht="285" spans="1:13">
      <c r="A141" s="1" t="s">
        <v>618</v>
      </c>
      <c r="B141" s="1" t="s">
        <v>13</v>
      </c>
      <c r="C141" s="4" t="s">
        <v>623</v>
      </c>
      <c r="D141" s="1" t="s">
        <v>624</v>
      </c>
      <c r="E141" s="1" t="s">
        <v>625</v>
      </c>
      <c r="F141" s="4" t="s">
        <v>17</v>
      </c>
      <c r="G141" s="1" t="s">
        <v>18</v>
      </c>
      <c r="H141" s="1" t="s">
        <v>19</v>
      </c>
      <c r="I141" s="1" t="s">
        <v>20</v>
      </c>
      <c r="J141" s="1" t="s">
        <v>626</v>
      </c>
      <c r="K141" s="1" t="s">
        <v>22</v>
      </c>
      <c r="L141" s="1" t="str">
        <f>HYPERLINK("https://files.afu.se/Downloads/Transcripts/0%20-%20Government/USA%20-%20NASA%20Johnson/2022 04 27 - NASA Johnson - Meet Bob Hines, Crew-4 Pilot_DHP5CTsDk-s - transcript (automated).pdf","Transcript Link")</f>
        <v>Transcript Link</v>
      </c>
      <c r="M141" s="2" t="str">
        <f>HYPERLINK("https://files.afu.se/Downloads/Transcripts/0%20-%20Government/USA%20-%20NASA%20Johnson/2022 04 27 - NASA Johnson - Meet Bob Hines, Crew-4 Pilot_DHP5CTsDk-s - transcript (automated).pdf","Transcript Link")</f>
        <v>Transcript Link</v>
      </c>
    </row>
    <row r="142" ht="330" spans="1:13">
      <c r="A142" s="1" t="s">
        <v>618</v>
      </c>
      <c r="B142" s="1" t="s">
        <v>13</v>
      </c>
      <c r="C142" s="4" t="s">
        <v>627</v>
      </c>
      <c r="D142" s="1" t="s">
        <v>628</v>
      </c>
      <c r="E142" s="1" t="s">
        <v>629</v>
      </c>
      <c r="F142" s="4" t="s">
        <v>17</v>
      </c>
      <c r="G142" s="1" t="s">
        <v>18</v>
      </c>
      <c r="H142" s="1" t="s">
        <v>19</v>
      </c>
      <c r="I142" s="1" t="s">
        <v>20</v>
      </c>
      <c r="J142" s="1" t="s">
        <v>630</v>
      </c>
      <c r="K142" s="1" t="s">
        <v>22</v>
      </c>
      <c r="L142" s="1" t="str">
        <f>HYPERLINK("https://files.afu.se/Downloads/Transcripts/0%20-%20Government/USA%20-%20NASA%20Johnson/2022 04 27 - NASA Johnson - Meet Samantha Cristoforetti, Crew-4 Mission Specialist_IJoSZPh6lqI - transcript (automated).pdf","Transcript Link")</f>
        <v>Transcript Link</v>
      </c>
      <c r="M142" s="2" t="str">
        <f>HYPERLINK("https://files.afu.se/Downloads/Transcripts/0%20-%20Government/USA%20-%20NASA%20Johnson/2022 04 27 - NASA Johnson - Meet Samantha Cristoforetti, Crew-4 Mission Specialist_IJoSZPh6lqI - transcript (automated).pdf","Transcript Link")</f>
        <v>Transcript Link</v>
      </c>
    </row>
    <row r="143" ht="300" spans="1:13">
      <c r="A143" s="1" t="s">
        <v>618</v>
      </c>
      <c r="B143" s="1" t="s">
        <v>13</v>
      </c>
      <c r="C143" s="4" t="s">
        <v>631</v>
      </c>
      <c r="D143" s="1" t="s">
        <v>632</v>
      </c>
      <c r="E143" s="1" t="s">
        <v>633</v>
      </c>
      <c r="F143" s="4" t="s">
        <v>17</v>
      </c>
      <c r="G143" s="1" t="s">
        <v>18</v>
      </c>
      <c r="H143" s="1" t="s">
        <v>19</v>
      </c>
      <c r="I143" s="1" t="s">
        <v>20</v>
      </c>
      <c r="J143" s="1" t="s">
        <v>634</v>
      </c>
      <c r="K143" s="1" t="s">
        <v>22</v>
      </c>
      <c r="L143" s="1" t="str">
        <f>HYPERLINK("https://files.afu.se/Downloads/Transcripts/0%20-%20Government/USA%20-%20NASA%20Johnson/2022 04 27 - NASA Johnson - Meet Kjell Lindgren, Crew-4 Commander_4A-Q8r3o3cI - transcript (automated).pdf","Transcript Link")</f>
        <v>Transcript Link</v>
      </c>
      <c r="M143" s="2" t="str">
        <f>HYPERLINK("https://files.afu.se/Downloads/Transcripts/0%20-%20Government/USA%20-%20NASA%20Johnson/2022 04 27 - NASA Johnson - Meet Kjell Lindgren, Crew-4 Commander_4A-Q8r3o3cI - transcript (automated).pdf","Transcript Link")</f>
        <v>Transcript Link</v>
      </c>
    </row>
    <row r="144" ht="360" spans="1:13">
      <c r="A144" s="1" t="s">
        <v>618</v>
      </c>
      <c r="B144" s="1" t="s">
        <v>13</v>
      </c>
      <c r="C144" s="4" t="s">
        <v>635</v>
      </c>
      <c r="D144" s="1" t="s">
        <v>636</v>
      </c>
      <c r="E144" s="1" t="s">
        <v>637</v>
      </c>
      <c r="F144" s="4" t="s">
        <v>17</v>
      </c>
      <c r="G144" s="1" t="s">
        <v>18</v>
      </c>
      <c r="H144" s="1" t="s">
        <v>19</v>
      </c>
      <c r="I144" s="1" t="s">
        <v>20</v>
      </c>
      <c r="J144" s="1" t="s">
        <v>638</v>
      </c>
      <c r="K144" s="1" t="s">
        <v>22</v>
      </c>
      <c r="L144" s="1" t="str">
        <f>HYPERLINK("https://files.afu.se/Downloads/Transcripts/0%20-%20Government/USA%20-%20NASA%20Johnson/2022 04 27 - NASA Johnson - NASA’s SpaceX Crew-4 Mission Overview_12bDSD9RWgg - transcript (automated).pdf","Transcript Link")</f>
        <v>Transcript Link</v>
      </c>
      <c r="M144" s="2" t="str">
        <f>HYPERLINK("https://files.afu.se/Downloads/Transcripts/0%20-%20Government/USA%20-%20NASA%20Johnson/2022 04 27 - NASA Johnson - NASA’s SpaceX Crew-4 Mission Overview_12bDSD9RWgg - transcript (automated).pdf","Transcript Link")</f>
        <v>Transcript Link</v>
      </c>
    </row>
    <row r="145" ht="285" spans="1:13">
      <c r="A145" s="1" t="s">
        <v>639</v>
      </c>
      <c r="B145" s="1" t="s">
        <v>13</v>
      </c>
      <c r="C145" s="4" t="s">
        <v>640</v>
      </c>
      <c r="D145" s="1" t="s">
        <v>641</v>
      </c>
      <c r="E145" s="1" t="s">
        <v>642</v>
      </c>
      <c r="F145" s="4" t="s">
        <v>17</v>
      </c>
      <c r="G145" s="1" t="s">
        <v>18</v>
      </c>
      <c r="H145" s="1" t="s">
        <v>19</v>
      </c>
      <c r="I145" s="1" t="s">
        <v>20</v>
      </c>
      <c r="J145" s="1" t="s">
        <v>643</v>
      </c>
      <c r="K145" s="1" t="s">
        <v>22</v>
      </c>
      <c r="L145" s="1" t="str">
        <f>HYPERLINK("https://files.afu.se/Downloads/Transcripts/0%20-%20Government/USA%20-%20NASA%20Johnson/2022 04 25 - NASA Johnson - Know Your Crew...Four!_fOOCcGQgFNs - transcript (automated).pdf","Transcript Link")</f>
        <v>Transcript Link</v>
      </c>
      <c r="M145" s="2" t="str">
        <f>HYPERLINK("https://files.afu.se/Downloads/Transcripts/0%20-%20Government/USA%20-%20NASA%20Johnson/2022 04 25 - NASA Johnson - Know Your Crew...Four!_fOOCcGQgFNs - transcript (automated).pdf","Transcript Link")</f>
        <v>Transcript Link</v>
      </c>
    </row>
    <row r="146" ht="180" spans="1:13">
      <c r="A146" s="1" t="s">
        <v>644</v>
      </c>
      <c r="B146" s="1" t="s">
        <v>13</v>
      </c>
      <c r="C146" s="4" t="s">
        <v>645</v>
      </c>
      <c r="D146" s="1" t="s">
        <v>646</v>
      </c>
      <c r="E146" s="1" t="s">
        <v>647</v>
      </c>
      <c r="F146" s="4" t="s">
        <v>17</v>
      </c>
      <c r="G146" s="1" t="s">
        <v>18</v>
      </c>
      <c r="H146" s="1" t="s">
        <v>19</v>
      </c>
      <c r="I146" s="1" t="s">
        <v>20</v>
      </c>
      <c r="J146" s="1" t="s">
        <v>648</v>
      </c>
      <c r="K146" s="1" t="s">
        <v>22</v>
      </c>
      <c r="L146" s="1" t="str">
        <f>HYPERLINK("https://files.afu.se/Downloads/Transcripts/0%20-%20Government/USA%20-%20NASA%20Johnson/2022 04 22 - NASA Johnson - Changing Your Perspective   Down to Earth - S2 E1_QzmshRevDAc - transcript (automated).pdf","Transcript Link")</f>
        <v>Transcript Link</v>
      </c>
      <c r="M146" s="2" t="str">
        <f>HYPERLINK("https://files.afu.se/Downloads/Transcripts/0%20-%20Government/USA%20-%20NASA%20Johnson/2022 04 22 - NASA Johnson - Changing Your Perspective   Down to Earth - S2 E1_QzmshRevDAc - transcript (automated).pdf","Transcript Link")</f>
        <v>Transcript Link</v>
      </c>
    </row>
    <row r="147" ht="300" spans="1:13">
      <c r="A147" s="1" t="s">
        <v>644</v>
      </c>
      <c r="B147" s="1" t="s">
        <v>13</v>
      </c>
      <c r="C147" s="4" t="s">
        <v>649</v>
      </c>
      <c r="D147" s="1" t="s">
        <v>650</v>
      </c>
      <c r="E147" s="1" t="s">
        <v>31</v>
      </c>
      <c r="F147" s="4" t="s">
        <v>17</v>
      </c>
      <c r="G147" s="1" t="s">
        <v>18</v>
      </c>
      <c r="H147" s="1" t="s">
        <v>19</v>
      </c>
      <c r="I147" s="1" t="s">
        <v>20</v>
      </c>
      <c r="J147" s="1" t="s">
        <v>651</v>
      </c>
      <c r="K147" s="1" t="s">
        <v>22</v>
      </c>
      <c r="L147" s="1" t="str">
        <f>HYPERLINK("https://files.afu.se/Downloads/Transcripts/0%20-%20Government/USA%20-%20NASA%20Johnson/2022 04 22 - NASA Johnson - Space to Ground  Home  04 22 2022_R43t3c4YyMM - transcript (automated).pdf","Transcript Link")</f>
        <v>Transcript Link</v>
      </c>
      <c r="M147" s="2" t="str">
        <f>HYPERLINK("https://files.afu.se/Downloads/Transcripts/0%20-%20Government/USA%20-%20NASA%20Johnson/2022 04 22 - NASA Johnson - Space to Ground  Home  04 22 2022_R43t3c4YyMM - transcript (automated).pdf","Transcript Link")</f>
        <v>Transcript Link</v>
      </c>
    </row>
    <row r="148" ht="180" spans="1:13">
      <c r="A148" s="1" t="s">
        <v>652</v>
      </c>
      <c r="B148" s="1" t="s">
        <v>13</v>
      </c>
      <c r="C148" s="4" t="s">
        <v>653</v>
      </c>
      <c r="D148" s="1" t="s">
        <v>654</v>
      </c>
      <c r="E148" s="1" t="s">
        <v>655</v>
      </c>
      <c r="F148" s="4" t="s">
        <v>17</v>
      </c>
      <c r="G148" s="1" t="s">
        <v>18</v>
      </c>
      <c r="H148" s="1" t="s">
        <v>19</v>
      </c>
      <c r="I148" s="1" t="s">
        <v>20</v>
      </c>
      <c r="J148" s="1" t="s">
        <v>656</v>
      </c>
      <c r="K148" s="1" t="s">
        <v>22</v>
      </c>
      <c r="L148" s="1" t="str">
        <f>HYPERLINK("https://files.afu.se/Downloads/Transcripts/0%20-%20Government/USA%20-%20NASA%20Johnson/2022 04 18 - NASA Johnson - Down to Earth - Season 2  Conversations Trailer_FMz1xiGlKyI - transcript (automated).pdf","Transcript Link")</f>
        <v>Transcript Link</v>
      </c>
      <c r="M148" s="2" t="str">
        <f>HYPERLINK("https://files.afu.se/Downloads/Transcripts/0%20-%20Government/USA%20-%20NASA%20Johnson/2022 04 18 - NASA Johnson - Down to Earth - Season 2  Conversations Trailer_FMz1xiGlKyI - transcript (automated).pdf","Transcript Link")</f>
        <v>Transcript Link</v>
      </c>
    </row>
    <row r="149" ht="345" spans="1:13">
      <c r="A149" s="1" t="s">
        <v>652</v>
      </c>
      <c r="B149" s="1" t="s">
        <v>13</v>
      </c>
      <c r="C149" s="4" t="s">
        <v>657</v>
      </c>
      <c r="D149" s="1" t="s">
        <v>658</v>
      </c>
      <c r="E149" s="1" t="s">
        <v>659</v>
      </c>
      <c r="F149" s="4" t="s">
        <v>17</v>
      </c>
      <c r="G149" s="1" t="s">
        <v>18</v>
      </c>
      <c r="H149" s="1" t="s">
        <v>19</v>
      </c>
      <c r="I149" s="1" t="s">
        <v>20</v>
      </c>
      <c r="J149" s="1" t="s">
        <v>660</v>
      </c>
      <c r="K149" s="1" t="s">
        <v>22</v>
      </c>
      <c r="L149" s="1" t="str">
        <f>HYPERLINK("https://files.afu.se/Downloads/Transcripts/0%20-%20Government/USA%20-%20NASA%20Johnson/2022 04 18 - NASA Johnson - NASA Scientists Open One of the Last Sealed Apollo 17 Moon Samples_QHDQvkSoZrs - transcript (automated).pdf","Transcript Link")</f>
        <v>Transcript Link</v>
      </c>
      <c r="M149" s="2" t="str">
        <f>HYPERLINK("https://files.afu.se/Downloads/Transcripts/0%20-%20Government/USA%20-%20NASA%20Johnson/2022 04 18 - NASA Johnson - NASA Scientists Open One of the Last Sealed Apollo 17 Moon Samples_QHDQvkSoZrs - transcript (automated).pdf","Transcript Link")</f>
        <v>Transcript Link</v>
      </c>
    </row>
    <row r="150" ht="180" spans="1:13">
      <c r="A150" s="1" t="s">
        <v>652</v>
      </c>
      <c r="B150" s="1" t="s">
        <v>13</v>
      </c>
      <c r="C150" s="4" t="s">
        <v>661</v>
      </c>
      <c r="D150" s="1" t="s">
        <v>662</v>
      </c>
      <c r="E150" s="1" t="s">
        <v>663</v>
      </c>
      <c r="F150" s="4" t="s">
        <v>17</v>
      </c>
      <c r="G150" s="1" t="s">
        <v>18</v>
      </c>
      <c r="H150" s="1" t="s">
        <v>19</v>
      </c>
      <c r="I150" s="1" t="s">
        <v>20</v>
      </c>
      <c r="J150" s="1" t="s">
        <v>664</v>
      </c>
      <c r="K150" s="1" t="s">
        <v>22</v>
      </c>
      <c r="L150" s="1" t="str">
        <f>HYPERLINK("https://files.afu.se/Downloads/Transcripts/0%20-%20Government/USA%20-%20NASA%20Johnson/2022 04 18 - NASA Johnson - RUSSIAN COSMONAUTS CONDUCT SPACEWALK TO ACTIVATE NEW STATION ROBOTIC ARM_Enfjq-fYz_4 - transcript (automated).pdf","Transcript Link")</f>
        <v>Transcript Link</v>
      </c>
      <c r="M150" s="2" t="str">
        <f>HYPERLINK("https://files.afu.se/Downloads/Transcripts/0%20-%20Government/USA%20-%20NASA%20Johnson/2022 04 18 - NASA Johnson - RUSSIAN COSMONAUTS CONDUCT SPACEWALK TO ACTIVATE NEW STATION ROBOTIC ARM_Enfjq-fYz_4 - transcript (automated).pdf","Transcript Link")</f>
        <v>Transcript Link</v>
      </c>
    </row>
    <row r="151" ht="180" spans="1:13">
      <c r="A151" s="1" t="s">
        <v>665</v>
      </c>
      <c r="B151" s="1" t="s">
        <v>13</v>
      </c>
      <c r="C151" s="4" t="s">
        <v>666</v>
      </c>
      <c r="D151" s="1" t="s">
        <v>667</v>
      </c>
      <c r="E151" s="1" t="s">
        <v>668</v>
      </c>
      <c r="F151" s="4" t="s">
        <v>17</v>
      </c>
      <c r="G151" s="1" t="s">
        <v>18</v>
      </c>
      <c r="H151" s="1" t="s">
        <v>19</v>
      </c>
      <c r="I151" s="1" t="s">
        <v>20</v>
      </c>
      <c r="J151" s="1" t="s">
        <v>669</v>
      </c>
      <c r="K151" s="1" t="s">
        <v>22</v>
      </c>
      <c r="L151" s="1" t="str">
        <f>HYPERLINK("https://files.afu.se/Downloads/Transcripts/0%20-%20Government/USA%20-%20NASA%20Johnson/2022 04 15 - NASA Johnson - STEMonstrations  Area and Volume_kpELc3a_ljg - transcript (automated).pdf","Transcript Link")</f>
        <v>Transcript Link</v>
      </c>
      <c r="M151" s="2" t="str">
        <f>HYPERLINK("https://files.afu.se/Downloads/Transcripts/0%20-%20Government/USA%20-%20NASA%20Johnson/2022 04 15 - NASA Johnson - STEMonstrations  Area and Volume_kpELc3a_ljg - transcript (automated).pdf","Transcript Link")</f>
        <v>Transcript Link</v>
      </c>
    </row>
    <row r="152" ht="300" spans="1:13">
      <c r="A152" s="1" t="s">
        <v>665</v>
      </c>
      <c r="B152" s="1" t="s">
        <v>13</v>
      </c>
      <c r="C152" s="4" t="s">
        <v>670</v>
      </c>
      <c r="D152" s="1" t="s">
        <v>671</v>
      </c>
      <c r="E152" s="1" t="s">
        <v>31</v>
      </c>
      <c r="F152" s="4" t="s">
        <v>17</v>
      </c>
      <c r="G152" s="1" t="s">
        <v>18</v>
      </c>
      <c r="H152" s="1" t="s">
        <v>19</v>
      </c>
      <c r="I152" s="1" t="s">
        <v>20</v>
      </c>
      <c r="J152" s="1" t="s">
        <v>672</v>
      </c>
      <c r="K152" s="1" t="s">
        <v>22</v>
      </c>
      <c r="L152" s="1" t="str">
        <f>HYPERLINK("https://files.afu.se/Downloads/Transcripts/0%20-%20Government/USA%20-%20NASA%20Johnson/2022 04 15 - NASA Johnson - Space to Ground  A New Chapter  04 15 2022_zj0fj7L81pQ - transcript (automated).pdf","Transcript Link")</f>
        <v>Transcript Link</v>
      </c>
      <c r="M152" s="2" t="str">
        <f>HYPERLINK("https://files.afu.se/Downloads/Transcripts/0%20-%20Government/USA%20-%20NASA%20Johnson/2022 04 15 - NASA Johnson - Space to Ground  A New Chapter  04 15 2022_zj0fj7L81pQ - transcript (automated).pdf","Transcript Link")</f>
        <v>Transcript Link</v>
      </c>
    </row>
    <row r="153" ht="300" spans="1:13">
      <c r="A153" s="1" t="s">
        <v>673</v>
      </c>
      <c r="B153" s="1" t="s">
        <v>13</v>
      </c>
      <c r="C153" s="4" t="s">
        <v>674</v>
      </c>
      <c r="D153" s="1" t="s">
        <v>675</v>
      </c>
      <c r="E153" s="1" t="s">
        <v>31</v>
      </c>
      <c r="F153" s="4" t="s">
        <v>17</v>
      </c>
      <c r="G153" s="1" t="s">
        <v>18</v>
      </c>
      <c r="H153" s="1" t="s">
        <v>19</v>
      </c>
      <c r="I153" s="1" t="s">
        <v>20</v>
      </c>
      <c r="J153" s="1" t="s">
        <v>676</v>
      </c>
      <c r="K153" s="1" t="s">
        <v>22</v>
      </c>
      <c r="L153" s="1" t="str">
        <f>HYPERLINK("https://files.afu.se/Downloads/Transcripts/0%20-%20Government/USA%20-%20NASA%20Johnson/2022 04 08 - NASA Johnson - Space to Ground  First Time Callers  04 08 2022_9IiWyrPygfA - transcript (automated).pdf","Transcript Link")</f>
        <v>Transcript Link</v>
      </c>
      <c r="M153" s="2" t="str">
        <f>HYPERLINK("https://files.afu.se/Downloads/Transcripts/0%20-%20Government/USA%20-%20NASA%20Johnson/2022 04 08 - NASA Johnson - Space to Ground  First Time Callers  04 08 2022_9IiWyrPygfA - transcript (automated).pdf","Transcript Link")</f>
        <v>Transcript Link</v>
      </c>
    </row>
    <row r="154" ht="270" spans="1:13">
      <c r="A154" s="1" t="s">
        <v>677</v>
      </c>
      <c r="B154" s="1" t="s">
        <v>13</v>
      </c>
      <c r="C154" s="4" t="s">
        <v>678</v>
      </c>
      <c r="D154" s="1" t="s">
        <v>679</v>
      </c>
      <c r="E154" s="1" t="s">
        <v>680</v>
      </c>
      <c r="F154" s="4" t="s">
        <v>17</v>
      </c>
      <c r="G154" s="1" t="s">
        <v>18</v>
      </c>
      <c r="H154" s="1" t="s">
        <v>19</v>
      </c>
      <c r="I154" s="1" t="s">
        <v>20</v>
      </c>
      <c r="J154" s="1" t="s">
        <v>681</v>
      </c>
      <c r="K154" s="1" t="s">
        <v>22</v>
      </c>
      <c r="L154" s="1" t="str">
        <f>HYPERLINK("https://files.afu.se/Downloads/Transcripts/0%20-%20Government/USA%20-%20NASA%20Johnson/2022 04 04 - NASA Johnson - Keeping Cool in Space_AwUvh9sluOA - transcript (automated).pdf","Transcript Link")</f>
        <v>Transcript Link</v>
      </c>
      <c r="M154" s="2" t="str">
        <f>HYPERLINK("https://files.afu.se/Downloads/Transcripts/0%20-%20Government/USA%20-%20NASA%20Johnson/2022 04 04 - NASA Johnson - Keeping Cool in Space_AwUvh9sluOA - transcript (automated).pdf","Transcript Link")</f>
        <v>Transcript Link</v>
      </c>
    </row>
    <row r="155" ht="315" spans="1:13">
      <c r="A155" s="1" t="s">
        <v>682</v>
      </c>
      <c r="B155" s="1" t="s">
        <v>13</v>
      </c>
      <c r="C155" s="4" t="s">
        <v>683</v>
      </c>
      <c r="D155" s="1" t="s">
        <v>684</v>
      </c>
      <c r="E155" s="1" t="s">
        <v>685</v>
      </c>
      <c r="F155" s="4" t="s">
        <v>17</v>
      </c>
      <c r="G155" s="1" t="s">
        <v>18</v>
      </c>
      <c r="H155" s="1" t="s">
        <v>19</v>
      </c>
      <c r="I155" s="1" t="s">
        <v>20</v>
      </c>
      <c r="J155" s="1" t="s">
        <v>686</v>
      </c>
      <c r="K155" s="1" t="s">
        <v>22</v>
      </c>
      <c r="L155" s="1" t="str">
        <f>HYPERLINK("https://files.afu.se/Downloads/Transcripts/0%20-%20Government/USA%20-%20NASA%20Johnson/2022 04 01 - NASA Johnson - Space to Ground  Back to the World  04 01 2022_8M4KrYptqcM - transcript (automated).pdf","Transcript Link")</f>
        <v>Transcript Link</v>
      </c>
      <c r="M155" s="2" t="str">
        <f>HYPERLINK("https://files.afu.se/Downloads/Transcripts/0%20-%20Government/USA%20-%20NASA%20Johnson/2022 04 01 - NASA Johnson - Space to Ground  Back to the World  04 01 2022_8M4KrYptqcM - transcript (automated).pdf","Transcript Link")</f>
        <v>Transcript Link</v>
      </c>
    </row>
    <row r="156" ht="180" spans="1:13">
      <c r="A156" s="1" t="s">
        <v>687</v>
      </c>
      <c r="B156" s="1" t="s">
        <v>13</v>
      </c>
      <c r="C156" s="4" t="s">
        <v>688</v>
      </c>
      <c r="D156" s="1" t="s">
        <v>689</v>
      </c>
      <c r="E156" s="1" t="s">
        <v>690</v>
      </c>
      <c r="F156" s="4" t="s">
        <v>17</v>
      </c>
      <c r="G156" s="1" t="s">
        <v>18</v>
      </c>
      <c r="H156" s="1" t="s">
        <v>19</v>
      </c>
      <c r="I156" s="1" t="s">
        <v>20</v>
      </c>
      <c r="J156" s="1" t="s">
        <v>691</v>
      </c>
      <c r="K156" s="1" t="s">
        <v>22</v>
      </c>
      <c r="L156" s="1" t="str">
        <f>HYPERLINK("https://files.afu.se/Downloads/Transcripts/0%20-%20Government/USA%20-%20NASA%20Johnson/2022 03 31 - NASA Johnson - NASA Astronaut Mark Vande Hei Arrives in Houston_V7MbVLYYKTA - transcript (automated).pdf","Transcript Link")</f>
        <v>Transcript Link</v>
      </c>
      <c r="M156" s="2" t="str">
        <f>HYPERLINK("https://files.afu.se/Downloads/Transcripts/0%20-%20Government/USA%20-%20NASA%20Johnson/2022 03 31 - NASA Johnson - NASA Astronaut Mark Vande Hei Arrives in Houston_V7MbVLYYKTA - transcript (automated).pdf","Transcript Link")</f>
        <v>Transcript Link</v>
      </c>
    </row>
    <row r="157" ht="225" spans="1:13">
      <c r="A157" s="1" t="s">
        <v>692</v>
      </c>
      <c r="B157" s="1" t="s">
        <v>13</v>
      </c>
      <c r="C157" s="4" t="s">
        <v>693</v>
      </c>
      <c r="D157" s="1" t="s">
        <v>694</v>
      </c>
      <c r="E157" s="1" t="s">
        <v>695</v>
      </c>
      <c r="F157" s="4" t="s">
        <v>17</v>
      </c>
      <c r="G157" s="1" t="s">
        <v>18</v>
      </c>
      <c r="H157" s="1" t="s">
        <v>19</v>
      </c>
      <c r="I157" s="1" t="s">
        <v>20</v>
      </c>
      <c r="J157" s="1" t="s">
        <v>696</v>
      </c>
      <c r="K157" s="1" t="s">
        <v>22</v>
      </c>
      <c r="L157" s="1" t="str">
        <f>HYPERLINK("https://files.afu.se/Downloads/Transcripts/0%20-%20Government/USA%20-%20NASA%20Johnson/2022 03 30 - NASA Johnson - Doing Bigger and Better Things All the Time_C2jbAjcMLxE - transcript (automated).pdf","Transcript Link")</f>
        <v>Transcript Link</v>
      </c>
      <c r="M157" s="2" t="str">
        <f>HYPERLINK("https://files.afu.se/Downloads/Transcripts/0%20-%20Government/USA%20-%20NASA%20Johnson/2022 03 30 - NASA Johnson - Doing Bigger and Better Things All the Time_C2jbAjcMLxE - transcript (automated).pdf","Transcript Link")</f>
        <v>Transcript Link</v>
      </c>
    </row>
    <row r="158" ht="210" spans="1:13">
      <c r="A158" s="1" t="s">
        <v>697</v>
      </c>
      <c r="B158" s="1" t="s">
        <v>13</v>
      </c>
      <c r="C158" s="4" t="s">
        <v>698</v>
      </c>
      <c r="D158" s="1" t="s">
        <v>699</v>
      </c>
      <c r="E158" s="1" t="s">
        <v>700</v>
      </c>
      <c r="F158" s="4" t="s">
        <v>17</v>
      </c>
      <c r="G158" s="1" t="s">
        <v>18</v>
      </c>
      <c r="H158" s="1" t="s">
        <v>19</v>
      </c>
      <c r="I158" s="1" t="s">
        <v>20</v>
      </c>
      <c r="J158" s="1" t="s">
        <v>701</v>
      </c>
      <c r="K158" s="1" t="s">
        <v>22</v>
      </c>
      <c r="L158" s="1" t="str">
        <f>HYPERLINK("https://files.afu.se/Downloads/Transcripts/0%20-%20Government/USA%20-%20NASA%20Johnson/2022 03 25 - NASA Johnson - Mark Vande Hei  Breaking Records for Science_z3DqAxELz0g - transcript (automated).pdf","Transcript Link")</f>
        <v>Transcript Link</v>
      </c>
      <c r="M158" s="2" t="str">
        <f>HYPERLINK("https://files.afu.se/Downloads/Transcripts/0%20-%20Government/USA%20-%20NASA%20Johnson/2022 03 25 - NASA Johnson - Mark Vande Hei  Breaking Records for Science_z3DqAxELz0g - transcript (automated).pdf","Transcript Link")</f>
        <v>Transcript Link</v>
      </c>
    </row>
    <row r="159" ht="300" spans="1:13">
      <c r="A159" s="1" t="s">
        <v>697</v>
      </c>
      <c r="B159" s="1" t="s">
        <v>13</v>
      </c>
      <c r="C159" s="4" t="s">
        <v>702</v>
      </c>
      <c r="D159" s="1" t="s">
        <v>703</v>
      </c>
      <c r="E159" s="1" t="s">
        <v>31</v>
      </c>
      <c r="F159" s="4" t="s">
        <v>17</v>
      </c>
      <c r="G159" s="1" t="s">
        <v>18</v>
      </c>
      <c r="H159" s="1" t="s">
        <v>19</v>
      </c>
      <c r="I159" s="1" t="s">
        <v>20</v>
      </c>
      <c r="J159" s="1" t="s">
        <v>704</v>
      </c>
      <c r="K159" s="1" t="s">
        <v>22</v>
      </c>
      <c r="L159" s="1" t="str">
        <f>HYPERLINK("https://files.afu.se/Downloads/Transcripts/0%20-%20Government/USA%20-%20NASA%20Johnson/2022 03 25 - NASA Johnson - Space to Ground  Preserving for Posterity  03 25 2022_6OiQGPe4Jy4 - transcript (automated).pdf","Transcript Link")</f>
        <v>Transcript Link</v>
      </c>
      <c r="M159" s="2" t="str">
        <f>HYPERLINK("https://files.afu.se/Downloads/Transcripts/0%20-%20Government/USA%20-%20NASA%20Johnson/2022 03 25 - NASA Johnson - Space to Ground  Preserving for Posterity  03 25 2022_6OiQGPe4Jy4 - transcript (automated).pdf","Transcript Link")</f>
        <v>Transcript Link</v>
      </c>
    </row>
    <row r="160" ht="300" spans="1:13">
      <c r="A160" s="1" t="s">
        <v>705</v>
      </c>
      <c r="B160" s="1" t="s">
        <v>13</v>
      </c>
      <c r="C160" s="4" t="s">
        <v>706</v>
      </c>
      <c r="D160" s="1" t="s">
        <v>707</v>
      </c>
      <c r="E160" s="1" t="s">
        <v>31</v>
      </c>
      <c r="F160" s="4" t="s">
        <v>17</v>
      </c>
      <c r="G160" s="1" t="s">
        <v>18</v>
      </c>
      <c r="H160" s="1" t="s">
        <v>19</v>
      </c>
      <c r="I160" s="1" t="s">
        <v>20</v>
      </c>
      <c r="J160" s="1" t="s">
        <v>708</v>
      </c>
      <c r="K160" s="1" t="s">
        <v>22</v>
      </c>
      <c r="L160" s="1" t="str">
        <f>HYPERLINK("https://files.afu.se/Downloads/Transcripts/0%20-%20Government/USA%20-%20NASA%20Johnson/2022 03 18 - NASA Johnson - Space to Ground  Taking Another Step  03 18 2022_CrvvmLAi31w - transcript (automated).pdf","Transcript Link")</f>
        <v>Transcript Link</v>
      </c>
      <c r="M160" s="2" t="str">
        <f>HYPERLINK("https://files.afu.se/Downloads/Transcripts/0%20-%20Government/USA%20-%20NASA%20Johnson/2022 03 18 - NASA Johnson - Space to Ground  Taking Another Step  03 18 2022_CrvvmLAi31w - transcript (automated).pdf","Transcript Link")</f>
        <v>Transcript Link</v>
      </c>
    </row>
    <row r="161" ht="210" spans="1:13">
      <c r="A161" s="1" t="s">
        <v>709</v>
      </c>
      <c r="B161" s="1" t="s">
        <v>13</v>
      </c>
      <c r="C161" s="4" t="s">
        <v>710</v>
      </c>
      <c r="D161" s="1" t="s">
        <v>711</v>
      </c>
      <c r="E161" s="1" t="s">
        <v>712</v>
      </c>
      <c r="F161" s="4" t="s">
        <v>17</v>
      </c>
      <c r="G161" s="1" t="s">
        <v>18</v>
      </c>
      <c r="H161" s="1" t="s">
        <v>19</v>
      </c>
      <c r="I161" s="1" t="s">
        <v>20</v>
      </c>
      <c r="J161" s="1" t="s">
        <v>713</v>
      </c>
      <c r="K161" s="1" t="s">
        <v>22</v>
      </c>
      <c r="L161" s="1" t="str">
        <f>HYPERLINK("https://files.afu.se/Downloads/Transcripts/0%20-%20Government/USA%20-%20NASA%20Johnson/2022 03 15 - NASA Johnson - NASA ASTRONAUT ANSWERS SOCIAL MEDIA QUESTIONS ABOUT RECORD BREAKING SPACEFLIGHT_u3IDh4LSGAM - transcript (automated).pdf","Transcript Link")</f>
        <v>Transcript Link</v>
      </c>
      <c r="M161" s="2" t="str">
        <f>HYPERLINK("https://files.afu.se/Downloads/Transcripts/0%20-%20Government/USA%20-%20NASA%20Johnson/2022 03 15 - NASA Johnson - NASA ASTRONAUT ANSWERS SOCIAL MEDIA QUESTIONS ABOUT RECORD BREAKING SPACEFLIGHT_u3IDh4LSGAM - transcript (automated).pdf","Transcript Link")</f>
        <v>Transcript Link</v>
      </c>
    </row>
    <row r="162" ht="210" spans="1:13">
      <c r="A162" s="1" t="s">
        <v>714</v>
      </c>
      <c r="B162" s="1" t="s">
        <v>13</v>
      </c>
      <c r="C162" s="4" t="s">
        <v>715</v>
      </c>
      <c r="D162" s="1" t="s">
        <v>716</v>
      </c>
      <c r="E162" s="1" t="s">
        <v>717</v>
      </c>
      <c r="F162" s="4" t="s">
        <v>17</v>
      </c>
      <c r="G162" s="1" t="s">
        <v>18</v>
      </c>
      <c r="H162" s="1" t="s">
        <v>19</v>
      </c>
      <c r="I162" s="1" t="s">
        <v>20</v>
      </c>
      <c r="J162" s="1" t="s">
        <v>718</v>
      </c>
      <c r="K162" s="1" t="s">
        <v>22</v>
      </c>
      <c r="L162" s="1" t="str">
        <f>HYPERLINK("https://files.afu.se/Downloads/Transcripts/0%20-%20Government/USA%20-%20NASA%20Johnson/2022 03 14 - NASA Johnson - U.S. Spacewalk 79 Animation  - March 14, 2022_XUis8QWRexw - transcript (automated).pdf","Transcript Link")</f>
        <v>Transcript Link</v>
      </c>
      <c r="M162" s="2" t="str">
        <f>HYPERLINK("https://files.afu.se/Downloads/Transcripts/0%20-%20Government/USA%20-%20NASA%20Johnson/2022 03 14 - NASA Johnson - U.S. Spacewalk 79 Animation  - March 14, 2022_XUis8QWRexw - transcript (automated).pdf","Transcript Link")</f>
        <v>Transcript Link</v>
      </c>
    </row>
    <row r="163" ht="180" spans="1:13">
      <c r="A163" s="1" t="s">
        <v>714</v>
      </c>
      <c r="B163" s="1" t="s">
        <v>13</v>
      </c>
      <c r="C163" s="4" t="s">
        <v>719</v>
      </c>
      <c r="D163" s="1" t="s">
        <v>720</v>
      </c>
      <c r="E163" s="1" t="s">
        <v>721</v>
      </c>
      <c r="F163" s="4" t="s">
        <v>17</v>
      </c>
      <c r="G163" s="1" t="s">
        <v>18</v>
      </c>
      <c r="H163" s="1" t="s">
        <v>19</v>
      </c>
      <c r="I163" s="1" t="s">
        <v>20</v>
      </c>
      <c r="J163" s="1" t="s">
        <v>722</v>
      </c>
      <c r="K163" s="1" t="s">
        <v>22</v>
      </c>
      <c r="L163" s="1" t="str">
        <f>HYPERLINK("https://files.afu.se/Downloads/Transcripts/0%20-%20Government/USA%20-%20NASA%20Johnson/2022 03 14 - NASA Johnson - U.S. Spacewalk 80 Animation - March 14, 2022_2qY9i7P06vs - transcript (automated).pdf","Transcript Link")</f>
        <v>Transcript Link</v>
      </c>
      <c r="M163" s="2" t="str">
        <f>HYPERLINK("https://files.afu.se/Downloads/Transcripts/0%20-%20Government/USA%20-%20NASA%20Johnson/2022 03 14 - NASA Johnson - U.S. Spacewalk 80 Animation - March 14, 2022_2qY9i7P06vs - transcript (automated).pdf","Transcript Link")</f>
        <v>Transcript Link</v>
      </c>
    </row>
    <row r="164" ht="300" spans="1:13">
      <c r="A164" s="1" t="s">
        <v>723</v>
      </c>
      <c r="B164" s="1" t="s">
        <v>13</v>
      </c>
      <c r="C164" s="4" t="s">
        <v>724</v>
      </c>
      <c r="D164" s="1" t="s">
        <v>725</v>
      </c>
      <c r="E164" s="1" t="s">
        <v>31</v>
      </c>
      <c r="F164" s="4" t="s">
        <v>17</v>
      </c>
      <c r="G164" s="1" t="s">
        <v>18</v>
      </c>
      <c r="H164" s="1" t="s">
        <v>19</v>
      </c>
      <c r="I164" s="1" t="s">
        <v>20</v>
      </c>
      <c r="J164" s="1" t="s">
        <v>726</v>
      </c>
      <c r="K164" s="1" t="s">
        <v>22</v>
      </c>
      <c r="L164" s="1" t="str">
        <f>HYPERLINK("https://files.afu.se/Downloads/Transcripts/0%20-%20Government/USA%20-%20NASA%20Johnson/2022 03 11 - NASA Johnson - Space to Ground  Monitoring Earth's Water  03 11 2022_6dBq_Xa7tPQ - transcript (automated).pdf","Transcript Link")</f>
        <v>Transcript Link</v>
      </c>
      <c r="M164" s="2" t="str">
        <f>HYPERLINK("https://files.afu.se/Downloads/Transcripts/0%20-%20Government/USA%20-%20NASA%20Johnson/2022 03 11 - NASA Johnson - Space to Ground  Monitoring Earth's Water  03 11 2022_6dBq_Xa7tPQ - transcript (automated).pdf","Transcript Link")</f>
        <v>Transcript Link</v>
      </c>
    </row>
    <row r="165" ht="300" spans="1:13">
      <c r="A165" s="1" t="s">
        <v>727</v>
      </c>
      <c r="B165" s="1" t="s">
        <v>13</v>
      </c>
      <c r="C165" s="4" t="s">
        <v>728</v>
      </c>
      <c r="D165" s="1" t="s">
        <v>729</v>
      </c>
      <c r="E165" s="1" t="s">
        <v>31</v>
      </c>
      <c r="F165" s="4" t="s">
        <v>17</v>
      </c>
      <c r="G165" s="1" t="s">
        <v>18</v>
      </c>
      <c r="H165" s="1" t="s">
        <v>19</v>
      </c>
      <c r="I165" s="1" t="s">
        <v>20</v>
      </c>
      <c r="J165" s="1" t="s">
        <v>730</v>
      </c>
      <c r="K165" s="1" t="s">
        <v>22</v>
      </c>
      <c r="L165" s="1" t="str">
        <f>HYPERLINK("https://files.afu.se/Downloads/Transcripts/0%20-%20Government/USA%20-%20NASA%20Johnson/2022 03 04 - NASA Johnson - Space to Ground  Spanning the Globe  03 04 2022_idYLk-ggv9Y - transcript (automated).pdf","Transcript Link")</f>
        <v>Transcript Link</v>
      </c>
      <c r="M165" s="2" t="str">
        <f>HYPERLINK("https://files.afu.se/Downloads/Transcripts/0%20-%20Government/USA%20-%20NASA%20Johnson/2022 03 04 - NASA Johnson - Space to Ground  Spanning the Globe  03 04 2022_idYLk-ggv9Y - transcript (automated).pdf","Transcript Link")</f>
        <v>Transcript Link</v>
      </c>
    </row>
    <row r="166" ht="300" spans="1:13">
      <c r="A166" s="1" t="s">
        <v>731</v>
      </c>
      <c r="B166" s="1" t="s">
        <v>13</v>
      </c>
      <c r="C166" s="4" t="s">
        <v>732</v>
      </c>
      <c r="D166" s="1" t="s">
        <v>733</v>
      </c>
      <c r="E166" s="1" t="s">
        <v>31</v>
      </c>
      <c r="F166" s="4" t="s">
        <v>17</v>
      </c>
      <c r="G166" s="1" t="s">
        <v>18</v>
      </c>
      <c r="H166" s="1" t="s">
        <v>19</v>
      </c>
      <c r="I166" s="1" t="s">
        <v>20</v>
      </c>
      <c r="J166" s="1" t="s">
        <v>734</v>
      </c>
      <c r="K166" s="1" t="s">
        <v>22</v>
      </c>
      <c r="L166" s="1" t="str">
        <f>HYPERLINK("https://files.afu.se/Downloads/Transcripts/0%20-%20Government/USA%20-%20NASA%20Johnson/2022 02 25 - NASA Johnson - Space to Ground  Shipping and Receiving  02 25 2022_eh5yIeIfauQ - transcript (automated).pdf","Transcript Link")</f>
        <v>Transcript Link</v>
      </c>
      <c r="M166" s="2" t="str">
        <f>HYPERLINK("https://files.afu.se/Downloads/Transcripts/0%20-%20Government/USA%20-%20NASA%20Johnson/2022 02 25 - NASA Johnson - Space to Ground  Shipping and Receiving  02 25 2022_eh5yIeIfauQ - transcript (automated).pdf","Transcript Link")</f>
        <v>Transcript Link</v>
      </c>
    </row>
    <row r="167" ht="360" spans="1:13">
      <c r="A167" s="1" t="s">
        <v>735</v>
      </c>
      <c r="B167" s="1" t="s">
        <v>13</v>
      </c>
      <c r="C167" s="4" t="s">
        <v>736</v>
      </c>
      <c r="D167" s="1" t="s">
        <v>737</v>
      </c>
      <c r="E167" s="1" t="s">
        <v>738</v>
      </c>
      <c r="F167" s="4" t="s">
        <v>17</v>
      </c>
      <c r="G167" s="1" t="s">
        <v>18</v>
      </c>
      <c r="H167" s="1" t="s">
        <v>19</v>
      </c>
      <c r="I167" s="1" t="s">
        <v>20</v>
      </c>
      <c r="J167" s="1" t="s">
        <v>739</v>
      </c>
      <c r="K167" s="1" t="s">
        <v>22</v>
      </c>
      <c r="L167" s="1" t="str">
        <f>HYPERLINK("https://files.afu.se/Downloads/Transcripts/0%20-%20Government/USA%20-%20NASA%20Johnson/2022 02 20 - NASA Johnson - The Day John Glenn Made American History  60th Anniversary_9Ar0y6tIx74 - transcript (automated).pdf","Transcript Link")</f>
        <v>Transcript Link</v>
      </c>
      <c r="M167" s="2" t="str">
        <f>HYPERLINK("https://files.afu.se/Downloads/Transcripts/0%20-%20Government/USA%20-%20NASA%20Johnson/2022 02 20 - NASA Johnson - The Day John Glenn Made American History  60th Anniversary_9Ar0y6tIx74 - transcript (automated).pdf","Transcript Link")</f>
        <v>Transcript Link</v>
      </c>
    </row>
    <row r="168" ht="285" spans="1:13">
      <c r="A168" s="1" t="s">
        <v>740</v>
      </c>
      <c r="B168" s="1" t="s">
        <v>13</v>
      </c>
      <c r="C168" s="4" t="s">
        <v>741</v>
      </c>
      <c r="D168" s="1" t="s">
        <v>742</v>
      </c>
      <c r="E168" s="1" t="s">
        <v>743</v>
      </c>
      <c r="F168" s="4" t="s">
        <v>17</v>
      </c>
      <c r="G168" s="1" t="s">
        <v>18</v>
      </c>
      <c r="H168" s="1" t="s">
        <v>19</v>
      </c>
      <c r="I168" s="1" t="s">
        <v>20</v>
      </c>
      <c r="J168" s="1" t="s">
        <v>744</v>
      </c>
      <c r="K168" s="1" t="s">
        <v>22</v>
      </c>
      <c r="L168" s="1" t="str">
        <f>HYPERLINK("https://files.afu.se/Downloads/Transcripts/0%20-%20Government/USA%20-%20NASA%20Johnson/2022 02 18 - NASA Johnson - STEMonstrations  Vestibular System_Q0CQoqZM4cU - transcript (automated).pdf","Transcript Link")</f>
        <v>Transcript Link</v>
      </c>
      <c r="M168" s="2" t="str">
        <f>HYPERLINK("https://files.afu.se/Downloads/Transcripts/0%20-%20Government/USA%20-%20NASA%20Johnson/2022 02 18 - NASA Johnson - STEMonstrations  Vestibular System_Q0CQoqZM4cU - transcript (automated).pdf","Transcript Link")</f>
        <v>Transcript Link</v>
      </c>
    </row>
    <row r="169" ht="300" spans="1:13">
      <c r="A169" s="1" t="s">
        <v>740</v>
      </c>
      <c r="B169" s="1" t="s">
        <v>13</v>
      </c>
      <c r="C169" s="4" t="s">
        <v>745</v>
      </c>
      <c r="D169" s="1" t="s">
        <v>746</v>
      </c>
      <c r="E169" s="1" t="s">
        <v>31</v>
      </c>
      <c r="F169" s="4" t="s">
        <v>17</v>
      </c>
      <c r="G169" s="1" t="s">
        <v>18</v>
      </c>
      <c r="H169" s="1" t="s">
        <v>19</v>
      </c>
      <c r="I169" s="1" t="s">
        <v>20</v>
      </c>
      <c r="J169" s="1" t="s">
        <v>747</v>
      </c>
      <c r="K169" s="1" t="s">
        <v>22</v>
      </c>
      <c r="L169" s="1" t="str">
        <f>HYPERLINK("https://files.afu.se/Downloads/Transcripts/0%20-%20Government/USA%20-%20NASA%20Johnson/2022 02 18 - NASA Johnson - Space to Ground  Targeting Cancer Cells  02 18 2022_Y9z42yYuexM - transcript (automated).pdf","Transcript Link")</f>
        <v>Transcript Link</v>
      </c>
      <c r="M169" s="2" t="str">
        <f>HYPERLINK("https://files.afu.se/Downloads/Transcripts/0%20-%20Government/USA%20-%20NASA%20Johnson/2022 02 18 - NASA Johnson - Space to Ground  Targeting Cancer Cells  02 18 2022_Y9z42yYuexM - transcript (automated).pdf","Transcript Link")</f>
        <v>Transcript Link</v>
      </c>
    </row>
    <row r="170" ht="300" spans="1:13">
      <c r="A170" s="1" t="s">
        <v>748</v>
      </c>
      <c r="B170" s="1" t="s">
        <v>13</v>
      </c>
      <c r="C170" s="4" t="s">
        <v>749</v>
      </c>
      <c r="D170" s="1" t="s">
        <v>750</v>
      </c>
      <c r="E170" s="1" t="s">
        <v>31</v>
      </c>
      <c r="F170" s="4" t="s">
        <v>17</v>
      </c>
      <c r="G170" s="1" t="s">
        <v>18</v>
      </c>
      <c r="H170" s="1" t="s">
        <v>19</v>
      </c>
      <c r="I170" s="1" t="s">
        <v>20</v>
      </c>
      <c r="J170" s="1" t="s">
        <v>751</v>
      </c>
      <c r="K170" s="1" t="s">
        <v>22</v>
      </c>
      <c r="L170" s="1" t="str">
        <f>HYPERLINK("https://files.afu.se/Downloads/Transcripts/0%20-%20Government/USA%20-%20NASA%20Johnson/2022 02 11 - NASA Johnson - Space to Ground  Awaiting New Arrivals  02 11 2022_WoJEWoBEfQs - transcript (automated).pdf","Transcript Link")</f>
        <v>Transcript Link</v>
      </c>
      <c r="M170" s="2" t="str">
        <f>HYPERLINK("https://files.afu.se/Downloads/Transcripts/0%20-%20Government/USA%20-%20NASA%20Johnson/2022 02 11 - NASA Johnson - Space to Ground  Awaiting New Arrivals  02 11 2022_WoJEWoBEfQs - transcript (automated).pdf","Transcript Link")</f>
        <v>Transcript Link</v>
      </c>
    </row>
    <row r="171" ht="210" spans="1:13">
      <c r="A171" s="1" t="s">
        <v>752</v>
      </c>
      <c r="B171" s="1" t="s">
        <v>13</v>
      </c>
      <c r="C171" s="4" t="s">
        <v>753</v>
      </c>
      <c r="D171" s="1" t="s">
        <v>754</v>
      </c>
      <c r="E171" s="1" t="s">
        <v>755</v>
      </c>
      <c r="F171" s="4" t="s">
        <v>17</v>
      </c>
      <c r="G171" s="1" t="s">
        <v>18</v>
      </c>
      <c r="H171" s="1" t="s">
        <v>19</v>
      </c>
      <c r="I171" s="1" t="s">
        <v>20</v>
      </c>
      <c r="J171" s="1" t="s">
        <v>756</v>
      </c>
      <c r="K171" s="1" t="s">
        <v>22</v>
      </c>
      <c r="L171" s="1" t="str">
        <f>HYPERLINK("https://files.afu.se/Downloads/Transcripts/0%20-%20Government/USA%20-%20NASA%20Johnson/2022 02 10 - NASA Johnson - STEMonstrations  Centripetal Force_kwl9qAfGHwU - transcript (automated).pdf","Transcript Link")</f>
        <v>Transcript Link</v>
      </c>
      <c r="M171" s="2" t="str">
        <f>HYPERLINK("https://files.afu.se/Downloads/Transcripts/0%20-%20Government/USA%20-%20NASA%20Johnson/2022 02 10 - NASA Johnson - STEMonstrations  Centripetal Force_kwl9qAfGHwU - transcript (automated).pdf","Transcript Link")</f>
        <v>Transcript Link</v>
      </c>
    </row>
    <row r="172" ht="300" spans="1:13">
      <c r="A172" s="1" t="s">
        <v>757</v>
      </c>
      <c r="B172" s="1" t="s">
        <v>13</v>
      </c>
      <c r="C172" s="4" t="s">
        <v>758</v>
      </c>
      <c r="D172" s="1" t="s">
        <v>759</v>
      </c>
      <c r="E172" s="1" t="s">
        <v>31</v>
      </c>
      <c r="F172" s="4" t="s">
        <v>17</v>
      </c>
      <c r="G172" s="1" t="s">
        <v>18</v>
      </c>
      <c r="H172" s="1" t="s">
        <v>19</v>
      </c>
      <c r="I172" s="1" t="s">
        <v>20</v>
      </c>
      <c r="J172" s="1" t="s">
        <v>760</v>
      </c>
      <c r="K172" s="1" t="s">
        <v>22</v>
      </c>
      <c r="L172" s="1" t="str">
        <f>HYPERLINK("https://files.afu.se/Downloads/Transcripts/0%20-%20Government/USA%20-%20NASA%20Johnson/2022 02 04 - NASA Johnson - Space to Ground  Flying Robots in Space  02 04 2022_FdpK1gdkC-U - transcript (automated).pdf","Transcript Link")</f>
        <v>Transcript Link</v>
      </c>
      <c r="M172" s="2" t="str">
        <f>HYPERLINK("https://files.afu.se/Downloads/Transcripts/0%20-%20Government/USA%20-%20NASA%20Johnson/2022 02 04 - NASA Johnson - Space to Ground  Flying Robots in Space  02 04 2022_FdpK1gdkC-U - transcript (automated).pdf","Transcript Link")</f>
        <v>Transcript Link</v>
      </c>
    </row>
    <row r="173" ht="315" spans="1:13">
      <c r="A173" s="1" t="s">
        <v>761</v>
      </c>
      <c r="B173" s="1" t="s">
        <v>13</v>
      </c>
      <c r="C173" s="4" t="s">
        <v>762</v>
      </c>
      <c r="D173" s="1" t="s">
        <v>763</v>
      </c>
      <c r="E173" s="1" t="s">
        <v>764</v>
      </c>
      <c r="F173" s="4" t="s">
        <v>17</v>
      </c>
      <c r="G173" s="1" t="s">
        <v>18</v>
      </c>
      <c r="H173" s="1" t="s">
        <v>19</v>
      </c>
      <c r="I173" s="1" t="s">
        <v>20</v>
      </c>
      <c r="J173" s="1" t="s">
        <v>765</v>
      </c>
      <c r="K173" s="1" t="s">
        <v>22</v>
      </c>
      <c r="L173" s="1" t="str">
        <f>HYPERLINK("https://files.afu.se/Downloads/Transcripts/0%20-%20Government/USA%20-%20NASA%20Johnson/2022 02 01 - NASA Johnson - Meet Matthias Maurer, Crew-3 Mission Specialist_dQLFYgCEVJA - transcript (automated).pdf","Transcript Link")</f>
        <v>Transcript Link</v>
      </c>
      <c r="M173" s="2" t="str">
        <f>HYPERLINK("https://files.afu.se/Downloads/Transcripts/0%20-%20Government/USA%20-%20NASA%20Johnson/2022 02 01 - NASA Johnson - Meet Matthias Maurer, Crew-3 Mission Specialist_dQLFYgCEVJA - transcript (automated).pdf","Transcript Link")</f>
        <v>Transcript Link</v>
      </c>
    </row>
    <row r="174" ht="300" spans="1:13">
      <c r="A174" s="1" t="s">
        <v>761</v>
      </c>
      <c r="B174" s="1" t="s">
        <v>13</v>
      </c>
      <c r="C174" s="4" t="s">
        <v>766</v>
      </c>
      <c r="D174" s="1" t="s">
        <v>767</v>
      </c>
      <c r="E174" s="1" t="s">
        <v>768</v>
      </c>
      <c r="F174" s="4" t="s">
        <v>17</v>
      </c>
      <c r="G174" s="1" t="s">
        <v>18</v>
      </c>
      <c r="H174" s="1" t="s">
        <v>19</v>
      </c>
      <c r="I174" s="1" t="s">
        <v>20</v>
      </c>
      <c r="J174" s="1" t="s">
        <v>769</v>
      </c>
      <c r="K174" s="1" t="s">
        <v>22</v>
      </c>
      <c r="L174" s="1" t="str">
        <f>HYPERLINK("https://files.afu.se/Downloads/Transcripts/0%20-%20Government/USA%20-%20NASA%20Johnson/2022 02 01 - NASA Johnson - Meet Tom Marshburn, Crew-3 Pilot_svXtXWC-XIo - transcript (automated).pdf","Transcript Link")</f>
        <v>Transcript Link</v>
      </c>
      <c r="M174" s="2" t="str">
        <f>HYPERLINK("https://files.afu.se/Downloads/Transcripts/0%20-%20Government/USA%20-%20NASA%20Johnson/2022 02 01 - NASA Johnson - Meet Tom Marshburn, Crew-3 Pilot_svXtXWC-XIo - transcript (automated).pdf","Transcript Link")</f>
        <v>Transcript Link</v>
      </c>
    </row>
    <row r="175" ht="300" spans="1:13">
      <c r="A175" s="1" t="s">
        <v>761</v>
      </c>
      <c r="B175" s="1" t="s">
        <v>13</v>
      </c>
      <c r="C175" s="4" t="s">
        <v>770</v>
      </c>
      <c r="D175" s="1" t="s">
        <v>771</v>
      </c>
      <c r="E175" s="1" t="s">
        <v>772</v>
      </c>
      <c r="F175" s="4" t="s">
        <v>17</v>
      </c>
      <c r="G175" s="1" t="s">
        <v>18</v>
      </c>
      <c r="H175" s="1" t="s">
        <v>19</v>
      </c>
      <c r="I175" s="1" t="s">
        <v>20</v>
      </c>
      <c r="J175" s="1" t="s">
        <v>773</v>
      </c>
      <c r="K175" s="1" t="s">
        <v>22</v>
      </c>
      <c r="L175" s="1" t="str">
        <f>HYPERLINK("https://files.afu.se/Downloads/Transcripts/0%20-%20Government/USA%20-%20NASA%20Johnson/2022 02 01 - NASA Johnson - Meet Kayla Barron, Crew-3 Mission Specialist_QoXhSsFrOhM - transcript (automated).pdf","Transcript Link")</f>
        <v>Transcript Link</v>
      </c>
      <c r="M175" s="2" t="str">
        <f>HYPERLINK("https://files.afu.se/Downloads/Transcripts/0%20-%20Government/USA%20-%20NASA%20Johnson/2022 02 01 - NASA Johnson - Meet Kayla Barron, Crew-3 Mission Specialist_QoXhSsFrOhM - transcript (automated).pdf","Transcript Link")</f>
        <v>Transcript Link</v>
      </c>
    </row>
    <row r="176" ht="270" spans="1:13">
      <c r="A176" s="1" t="s">
        <v>761</v>
      </c>
      <c r="B176" s="1" t="s">
        <v>13</v>
      </c>
      <c r="C176" s="4" t="s">
        <v>774</v>
      </c>
      <c r="D176" s="1" t="s">
        <v>775</v>
      </c>
      <c r="E176" s="1" t="s">
        <v>776</v>
      </c>
      <c r="F176" s="4" t="s">
        <v>17</v>
      </c>
      <c r="G176" s="1" t="s">
        <v>18</v>
      </c>
      <c r="H176" s="1" t="s">
        <v>19</v>
      </c>
      <c r="I176" s="1" t="s">
        <v>20</v>
      </c>
      <c r="J176" s="1" t="s">
        <v>777</v>
      </c>
      <c r="K176" s="1" t="s">
        <v>22</v>
      </c>
      <c r="L176" s="1" t="str">
        <f>HYPERLINK("https://files.afu.se/Downloads/Transcripts/0%20-%20Government/USA%20-%20NASA%20Johnson/2022 02 01 - NASA Johnson - Meet Raja Chari, Crew-3 Commander_6kTRp-HFFdk - transcript (automated).pdf","Transcript Link")</f>
        <v>Transcript Link</v>
      </c>
      <c r="M176" s="2" t="str">
        <f>HYPERLINK("https://files.afu.se/Downloads/Transcripts/0%20-%20Government/USA%20-%20NASA%20Johnson/2022 02 01 - NASA Johnson - Meet Raja Chari, Crew-3 Commander_6kTRp-HFFdk - transcript (automated).pdf","Transcript Link")</f>
        <v>Transcript Link</v>
      </c>
    </row>
    <row r="177" ht="240" spans="1:13">
      <c r="A177" s="1" t="s">
        <v>778</v>
      </c>
      <c r="B177" s="1" t="s">
        <v>13</v>
      </c>
      <c r="C177" s="4" t="s">
        <v>779</v>
      </c>
      <c r="D177" s="1" t="s">
        <v>780</v>
      </c>
      <c r="E177" s="1" t="s">
        <v>781</v>
      </c>
      <c r="F177" s="4" t="s">
        <v>17</v>
      </c>
      <c r="G177" s="1" t="s">
        <v>18</v>
      </c>
      <c r="H177" s="1" t="s">
        <v>19</v>
      </c>
      <c r="I177" s="1" t="s">
        <v>20</v>
      </c>
      <c r="J177" s="1" t="s">
        <v>782</v>
      </c>
      <c r="K177" s="1" t="s">
        <v>22</v>
      </c>
      <c r="L177" s="1" t="str">
        <f>HYPERLINK("https://files.afu.se/Downloads/Transcripts/0%20-%20Government/USA%20-%20NASA%20Johnson/2022 01 28 - NASA Johnson - A Conversation Between Tom Cruise and Victor Glover About the Body in Space_R5R9XUGMnxw - transcript (automated).pdf","Transcript Link")</f>
        <v>Transcript Link</v>
      </c>
      <c r="M177" s="2" t="str">
        <f>HYPERLINK("https://files.afu.se/Downloads/Transcripts/0%20-%20Government/USA%20-%20NASA%20Johnson/2022 01 28 - NASA Johnson - A Conversation Between Tom Cruise and Victor Glover About the Body in Space_R5R9XUGMnxw - transcript (automated).pdf","Transcript Link")</f>
        <v>Transcript Link</v>
      </c>
    </row>
    <row r="178" ht="300" spans="1:13">
      <c r="A178" s="1" t="s">
        <v>778</v>
      </c>
      <c r="B178" s="1" t="s">
        <v>13</v>
      </c>
      <c r="C178" s="4" t="s">
        <v>783</v>
      </c>
      <c r="D178" s="1" t="s">
        <v>784</v>
      </c>
      <c r="E178" s="1" t="s">
        <v>31</v>
      </c>
      <c r="F178" s="4" t="s">
        <v>17</v>
      </c>
      <c r="G178" s="1" t="s">
        <v>18</v>
      </c>
      <c r="H178" s="1" t="s">
        <v>19</v>
      </c>
      <c r="I178" s="1" t="s">
        <v>20</v>
      </c>
      <c r="J178" s="1" t="s">
        <v>785</v>
      </c>
      <c r="K178" s="1" t="s">
        <v>22</v>
      </c>
      <c r="L178" s="1" t="str">
        <f>HYPERLINK("https://files.afu.se/Downloads/Transcripts/0%20-%20Government/USA%20-%20NASA%20Johnson/2022 01 28 - NASA Johnson - Space to Ground  Next Day Delivery  01 28 2022_OCly6CbZD08 - transcript (automated).pdf","Transcript Link")</f>
        <v>Transcript Link</v>
      </c>
      <c r="M178" s="2" t="str">
        <f>HYPERLINK("https://files.afu.se/Downloads/Transcripts/0%20-%20Government/USA%20-%20NASA%20Johnson/2022 01 28 - NASA Johnson - Space to Ground  Next Day Delivery  01 28 2022_OCly6CbZD08 - transcript (automated).pdf","Transcript Link")</f>
        <v>Transcript Link</v>
      </c>
    </row>
    <row r="179" ht="300" spans="1:13">
      <c r="A179" s="1" t="s">
        <v>786</v>
      </c>
      <c r="B179" s="1" t="s">
        <v>13</v>
      </c>
      <c r="C179" s="4" t="s">
        <v>787</v>
      </c>
      <c r="D179" s="1" t="s">
        <v>788</v>
      </c>
      <c r="E179" s="1" t="s">
        <v>31</v>
      </c>
      <c r="F179" s="4" t="s">
        <v>17</v>
      </c>
      <c r="G179" s="1" t="s">
        <v>18</v>
      </c>
      <c r="H179" s="1" t="s">
        <v>19</v>
      </c>
      <c r="I179" s="1" t="s">
        <v>20</v>
      </c>
      <c r="J179" s="1" t="s">
        <v>789</v>
      </c>
      <c r="K179" s="1" t="s">
        <v>22</v>
      </c>
      <c r="L179" s="1" t="str">
        <f>HYPERLINK("https://files.afu.se/Downloads/Transcripts/0%20-%20Government/USA%20-%20NASA%20Johnson/2022 01 21 - NASA Johnson - Space to Ground  Outfitting Prichal  01 21 2022_tsFyTDnQKB0 - transcript (automated).pdf","Transcript Link")</f>
        <v>Transcript Link</v>
      </c>
      <c r="M179" s="2" t="str">
        <f>HYPERLINK("https://files.afu.se/Downloads/Transcripts/0%20-%20Government/USA%20-%20NASA%20Johnson/2022 01 21 - NASA Johnson - Space to Ground  Outfitting Prichal  01 21 2022_tsFyTDnQKB0 - transcript (automated).pdf","Transcript Link")</f>
        <v>Transcript Link</v>
      </c>
    </row>
    <row r="180" ht="210" spans="1:13">
      <c r="A180" s="1" t="s">
        <v>790</v>
      </c>
      <c r="B180" s="1" t="s">
        <v>13</v>
      </c>
      <c r="C180" s="4" t="s">
        <v>791</v>
      </c>
      <c r="D180" s="1" t="s">
        <v>792</v>
      </c>
      <c r="E180" s="1" t="s">
        <v>793</v>
      </c>
      <c r="F180" s="4" t="s">
        <v>17</v>
      </c>
      <c r="G180" s="1" t="s">
        <v>18</v>
      </c>
      <c r="H180" s="1" t="s">
        <v>19</v>
      </c>
      <c r="I180" s="1" t="s">
        <v>20</v>
      </c>
      <c r="J180" s="1" t="s">
        <v>794</v>
      </c>
      <c r="K180" s="1" t="s">
        <v>22</v>
      </c>
      <c r="L180" s="1" t="str">
        <f>HYPERLINK("https://files.afu.se/Downloads/Transcripts/0%20-%20Government/USA%20-%20NASA%20Johnson/2022 01 18 - NASA Johnson - COSMONAUTS CONDUCT RUSSIAN SPACEWALK OUTSIDE SPACE STATION_bT0FNOeVaxk - transcript (automated).pdf","Transcript Link")</f>
        <v>Transcript Link</v>
      </c>
      <c r="M180" s="2" t="str">
        <f>HYPERLINK("https://files.afu.se/Downloads/Transcripts/0%20-%20Government/USA%20-%20NASA%20Johnson/2022 01 18 - NASA Johnson - COSMONAUTS CONDUCT RUSSIAN SPACEWALK OUTSIDE SPACE STATION_bT0FNOeVaxk - transcript (automated).pdf","Transcript Link")</f>
        <v>Transcript Link</v>
      </c>
    </row>
    <row r="181" ht="300" spans="1:13">
      <c r="A181" s="1" t="s">
        <v>795</v>
      </c>
      <c r="B181" s="1" t="s">
        <v>13</v>
      </c>
      <c r="C181" s="4" t="s">
        <v>796</v>
      </c>
      <c r="D181" s="1" t="s">
        <v>797</v>
      </c>
      <c r="E181" s="1" t="s">
        <v>31</v>
      </c>
      <c r="F181" s="4" t="s">
        <v>17</v>
      </c>
      <c r="G181" s="1" t="s">
        <v>18</v>
      </c>
      <c r="H181" s="1" t="s">
        <v>19</v>
      </c>
      <c r="I181" s="1" t="s">
        <v>20</v>
      </c>
      <c r="J181" s="1" t="s">
        <v>798</v>
      </c>
      <c r="K181" s="1" t="s">
        <v>22</v>
      </c>
      <c r="L181" s="1" t="str">
        <f>HYPERLINK("https://files.afu.se/Downloads/Transcripts/0%20-%20Government/USA%20-%20NASA%20Johnson/2022 01 14 - NASA Johnson - Space to Ground  Spacewalks and Research  01 14 2022_YfejrE6-np8 - transcript (automated).pdf","Transcript Link")</f>
        <v>Transcript Link</v>
      </c>
      <c r="M181" s="2" t="str">
        <f>HYPERLINK("https://files.afu.se/Downloads/Transcripts/0%20-%20Government/USA%20-%20NASA%20Johnson/2022 01 14 - NASA Johnson - Space to Ground  Spacewalks and Research  01 14 2022_YfejrE6-np8 - transcript (automated).pdf","Transcript Link")</f>
        <v>Transcript Link</v>
      </c>
    </row>
    <row r="182" ht="210" spans="1:13">
      <c r="A182" s="1" t="s">
        <v>799</v>
      </c>
      <c r="B182" s="1" t="s">
        <v>13</v>
      </c>
      <c r="C182" s="4" t="s">
        <v>800</v>
      </c>
      <c r="D182" s="1" t="s">
        <v>801</v>
      </c>
      <c r="E182" s="1" t="s">
        <v>802</v>
      </c>
      <c r="F182" s="4" t="s">
        <v>17</v>
      </c>
      <c r="G182" s="1" t="s">
        <v>18</v>
      </c>
      <c r="H182" s="1" t="s">
        <v>19</v>
      </c>
      <c r="I182" s="1" t="s">
        <v>20</v>
      </c>
      <c r="J182" s="1" t="s">
        <v>803</v>
      </c>
      <c r="K182" s="1" t="s">
        <v>22</v>
      </c>
      <c r="L182" s="1" t="str">
        <f>HYPERLINK("https://files.afu.se/Downloads/Transcripts/0%20-%20Government/USA%20-%20NASA%20Johnson/2022 01 10 - NASA Johnson - NASA Astronauts_RWCTRPkdZEw - transcript (automated).pdf","Transcript Link")</f>
        <v>Transcript Link</v>
      </c>
      <c r="M182" s="2" t="str">
        <f>HYPERLINK("https://files.afu.se/Downloads/Transcripts/0%20-%20Government/USA%20-%20NASA%20Johnson/2022 01 10 - NASA Johnson - NASA Astronauts_RWCTRPkdZEw - transcript (automated).pdf","Transcript Link")</f>
        <v>Transcript Link</v>
      </c>
    </row>
    <row r="183" ht="300" spans="1:13">
      <c r="A183" s="1" t="s">
        <v>804</v>
      </c>
      <c r="B183" s="1" t="s">
        <v>13</v>
      </c>
      <c r="C183" s="4" t="s">
        <v>805</v>
      </c>
      <c r="D183" s="1" t="s">
        <v>806</v>
      </c>
      <c r="E183" s="1" t="s">
        <v>31</v>
      </c>
      <c r="F183" s="4" t="s">
        <v>17</v>
      </c>
      <c r="G183" s="1" t="s">
        <v>18</v>
      </c>
      <c r="H183" s="1" t="s">
        <v>19</v>
      </c>
      <c r="I183" s="1" t="s">
        <v>20</v>
      </c>
      <c r="J183" s="1" t="s">
        <v>807</v>
      </c>
      <c r="K183" s="1" t="s">
        <v>22</v>
      </c>
      <c r="L183" s="1" t="str">
        <f>HYPERLINK("https://files.afu.se/Downloads/Transcripts/0%20-%20Government/USA%20-%20NASA%20Johnson/2022 01 07 - NASA Johnson - Space to Ground  More to Come  01 07 2022_GsFA1H1SF_U - transcript (automated).pdf","Transcript Link")</f>
        <v>Transcript Link</v>
      </c>
      <c r="M183" s="2" t="str">
        <f>HYPERLINK("https://files.afu.se/Downloads/Transcripts/0%20-%20Government/USA%20-%20NASA%20Johnson/2022 01 07 - NASA Johnson - Space to Ground  More to Come  01 07 2022_GsFA1H1SF_U - transcript (automated).pdf","Transcript Link")</f>
        <v>Transcript Link</v>
      </c>
    </row>
    <row r="184" ht="180" spans="1:13">
      <c r="A184" s="1" t="s">
        <v>808</v>
      </c>
      <c r="B184" s="1" t="s">
        <v>13</v>
      </c>
      <c r="C184" s="4" t="s">
        <v>809</v>
      </c>
      <c r="D184" s="1" t="s">
        <v>810</v>
      </c>
      <c r="E184" s="1" t="s">
        <v>811</v>
      </c>
      <c r="F184" s="4" t="s">
        <v>17</v>
      </c>
      <c r="G184" s="1" t="s">
        <v>18</v>
      </c>
      <c r="H184" s="1" t="s">
        <v>19</v>
      </c>
      <c r="I184" s="1" t="s">
        <v>20</v>
      </c>
      <c r="J184" s="1" t="s">
        <v>812</v>
      </c>
      <c r="K184" s="1" t="s">
        <v>22</v>
      </c>
      <c r="L184" s="1" t="str">
        <f>HYPERLINK("https://files.afu.se/Downloads/Transcripts/0%20-%20Government/USA%20-%20NASA%20Johnson/2021 12 29 - NASA Johnson - JSC Year in Review 2021_wENl1nQbAnE - transcript (automated).pdf","Transcript Link")</f>
        <v>Transcript Link</v>
      </c>
      <c r="M184" s="2" t="str">
        <f>HYPERLINK("https://files.afu.se/Downloads/Transcripts/0%20-%20Government/USA%20-%20NASA%20Johnson/2021 12 29 - NASA Johnson - JSC Year in Review 2021_wENl1nQbAnE - transcript (automated).pdf","Transcript Link")</f>
        <v>Transcript Link</v>
      </c>
    </row>
    <row r="185" ht="300" spans="1:13">
      <c r="A185" s="1" t="s">
        <v>813</v>
      </c>
      <c r="B185" s="1" t="s">
        <v>13</v>
      </c>
      <c r="C185" s="4" t="s">
        <v>814</v>
      </c>
      <c r="D185" s="1" t="s">
        <v>815</v>
      </c>
      <c r="E185" s="1" t="s">
        <v>816</v>
      </c>
      <c r="F185" s="4" t="s">
        <v>17</v>
      </c>
      <c r="G185" s="1" t="s">
        <v>18</v>
      </c>
      <c r="H185" s="1" t="s">
        <v>19</v>
      </c>
      <c r="I185" s="1" t="s">
        <v>20</v>
      </c>
      <c r="J185" s="1" t="s">
        <v>817</v>
      </c>
      <c r="K185" s="1" t="s">
        <v>22</v>
      </c>
      <c r="L185" s="1" t="str">
        <f>HYPERLINK("https://files.afu.se/Downloads/Transcripts/0%20-%20Government/USA%20-%20NASA%20Johnson/2021 12 23 - NASA Johnson - Space to Ground  The Space Station in 2021  12 23 2021_TV45KMXbCNw - transcript (automated).pdf","Transcript Link")</f>
        <v>Transcript Link</v>
      </c>
      <c r="M185" s="2" t="str">
        <f>HYPERLINK("https://files.afu.se/Downloads/Transcripts/0%20-%20Government/USA%20-%20NASA%20Johnson/2021 12 23 - NASA Johnson - Space to Ground  The Space Station in 2021  12 23 2021_TV45KMXbCNw - transcript (automated).pdf","Transcript Link")</f>
        <v>Transcript Link</v>
      </c>
    </row>
    <row r="186" ht="255" spans="1:13">
      <c r="A186" s="1" t="s">
        <v>818</v>
      </c>
      <c r="B186" s="1" t="s">
        <v>13</v>
      </c>
      <c r="C186" s="4" t="s">
        <v>819</v>
      </c>
      <c r="D186" s="1" t="s">
        <v>820</v>
      </c>
      <c r="E186" s="1" t="s">
        <v>821</v>
      </c>
      <c r="F186" s="4" t="s">
        <v>17</v>
      </c>
      <c r="G186" s="1" t="s">
        <v>18</v>
      </c>
      <c r="H186" s="1" t="s">
        <v>19</v>
      </c>
      <c r="I186" s="1" t="s">
        <v>20</v>
      </c>
      <c r="J186" s="1" t="s">
        <v>822</v>
      </c>
      <c r="K186" s="1" t="s">
        <v>22</v>
      </c>
      <c r="L186" s="1" t="str">
        <f>HYPERLINK("https://files.afu.se/Downloads/Transcripts/0%20-%20Government/USA%20-%20NASA%20Johnson/2021 12 22 - NASA Johnson - Best Space Station Science Pictures of 2021_b0CFG9WGDLs - transcript (automated).pdf","Transcript Link")</f>
        <v>Transcript Link</v>
      </c>
      <c r="M186" s="2" t="str">
        <f>HYPERLINK("https://files.afu.se/Downloads/Transcripts/0%20-%20Government/USA%20-%20NASA%20Johnson/2021 12 22 - NASA Johnson - Best Space Station Science Pictures of 2021_b0CFG9WGDLs - transcript (automated).pdf","Transcript Link")</f>
        <v>Transcript Link</v>
      </c>
    </row>
    <row r="187" ht="180" spans="1:13">
      <c r="A187" s="1" t="s">
        <v>818</v>
      </c>
      <c r="B187" s="1" t="s">
        <v>13</v>
      </c>
      <c r="C187" s="4" t="s">
        <v>823</v>
      </c>
      <c r="D187" s="1" t="s">
        <v>824</v>
      </c>
      <c r="E187" s="1" t="s">
        <v>825</v>
      </c>
      <c r="F187" s="4" t="s">
        <v>17</v>
      </c>
      <c r="G187" s="1" t="s">
        <v>18</v>
      </c>
      <c r="H187" s="1" t="s">
        <v>19</v>
      </c>
      <c r="I187" s="1" t="s">
        <v>20</v>
      </c>
      <c r="J187" s="1" t="s">
        <v>826</v>
      </c>
      <c r="K187" s="1" t="s">
        <v>22</v>
      </c>
      <c r="L187" s="1" t="str">
        <f>HYPERLINK("https://files.afu.se/Downloads/Transcripts/0%20-%20Government/USA%20-%20NASA%20Johnson/2021 12 22 - NASA Johnson - 2021 International Space Station Year In Review - December 22, 2021_kRPyou5O4IM - transcript (automated).pdf","Transcript Link")</f>
        <v>Transcript Link</v>
      </c>
      <c r="M187" s="2" t="str">
        <f>HYPERLINK("https://files.afu.se/Downloads/Transcripts/0%20-%20Government/USA%20-%20NASA%20Johnson/2021 12 22 - NASA Johnson - 2021 International Space Station Year In Review - December 22, 2021_kRPyou5O4IM - transcript (automated).pdf","Transcript Link")</f>
        <v>Transcript Link</v>
      </c>
    </row>
    <row r="188" ht="225" spans="1:13">
      <c r="A188" s="1" t="s">
        <v>827</v>
      </c>
      <c r="B188" s="1" t="s">
        <v>13</v>
      </c>
      <c r="C188" s="4" t="s">
        <v>828</v>
      </c>
      <c r="D188" s="1" t="s">
        <v>829</v>
      </c>
      <c r="E188" s="1" t="s">
        <v>830</v>
      </c>
      <c r="F188" s="4" t="s">
        <v>17</v>
      </c>
      <c r="G188" s="1" t="s">
        <v>18</v>
      </c>
      <c r="H188" s="1" t="s">
        <v>19</v>
      </c>
      <c r="I188" s="1" t="s">
        <v>20</v>
      </c>
      <c r="J188" s="1" t="s">
        <v>831</v>
      </c>
      <c r="K188" s="1" t="s">
        <v>22</v>
      </c>
      <c r="L188" s="1" t="str">
        <f>HYPERLINK("https://files.afu.se/Downloads/Transcripts/0%20-%20Government/USA%20-%20NASA%20Johnson/2021 12 20 - NASA Johnson - ASTRONAUTS DISCUSS CHRISTMAS AND NEW YEAR'S FROM ORBIT ABOARD SPACE STATION_i7eBzmux0A8 - transcript (automated).pdf","Transcript Link")</f>
        <v>Transcript Link</v>
      </c>
      <c r="M188" s="2" t="str">
        <f>HYPERLINK("https://files.afu.se/Downloads/Transcripts/0%20-%20Government/USA%20-%20NASA%20Johnson/2021 12 20 - NASA Johnson - ASTRONAUTS DISCUSS CHRISTMAS AND NEW YEAR'S FROM ORBIT ABOARD SPACE STATION_i7eBzmux0A8 - transcript (automated).pdf","Transcript Link")</f>
        <v>Transcript Link</v>
      </c>
    </row>
    <row r="189" ht="300" spans="1:13">
      <c r="A189" s="1" t="s">
        <v>832</v>
      </c>
      <c r="B189" s="1" t="s">
        <v>13</v>
      </c>
      <c r="C189" s="4" t="s">
        <v>833</v>
      </c>
      <c r="D189" s="1" t="s">
        <v>834</v>
      </c>
      <c r="E189" s="1" t="s">
        <v>816</v>
      </c>
      <c r="F189" s="4" t="s">
        <v>17</v>
      </c>
      <c r="G189" s="1" t="s">
        <v>18</v>
      </c>
      <c r="H189" s="1" t="s">
        <v>19</v>
      </c>
      <c r="I189" s="1" t="s">
        <v>20</v>
      </c>
      <c r="J189" s="1" t="s">
        <v>835</v>
      </c>
      <c r="K189" s="1" t="s">
        <v>22</v>
      </c>
      <c r="L189" s="1" t="str">
        <f>HYPERLINK("https://files.afu.se/Downloads/Transcripts/0%20-%20Government/USA%20-%20NASA%20Johnson/2021 12 17 - NASA Johnson - Space to Ground  Dreams of New Science  12 17 2021_t2sNjgehz2Q - transcript (automated).pdf","Transcript Link")</f>
        <v>Transcript Link</v>
      </c>
      <c r="M189" s="2" t="str">
        <f>HYPERLINK("https://files.afu.se/Downloads/Transcripts/0%20-%20Government/USA%20-%20NASA%20Johnson/2021 12 17 - NASA Johnson - Space to Ground  Dreams of New Science  12 17 2021_t2sNjgehz2Q - transcript (automated).pdf","Transcript Link")</f>
        <v>Transcript Link</v>
      </c>
    </row>
    <row r="190" ht="180" spans="1:13">
      <c r="A190" s="1" t="s">
        <v>836</v>
      </c>
      <c r="B190" s="1" t="s">
        <v>13</v>
      </c>
      <c r="C190" s="4" t="s">
        <v>837</v>
      </c>
      <c r="D190" s="1" t="s">
        <v>838</v>
      </c>
      <c r="E190" s="1" t="s">
        <v>528</v>
      </c>
      <c r="F190" s="4" t="s">
        <v>17</v>
      </c>
      <c r="G190" s="1" t="s">
        <v>18</v>
      </c>
      <c r="H190" s="1" t="s">
        <v>19</v>
      </c>
      <c r="I190" s="1" t="s">
        <v>20</v>
      </c>
      <c r="J190" s="1" t="s">
        <v>839</v>
      </c>
      <c r="K190" s="1" t="s">
        <v>22</v>
      </c>
      <c r="L190" s="1" t="str">
        <f>HYPERLINK("https://files.afu.se/Downloads/Transcripts/0%20-%20Government/USA%20-%20NASA%20Johnson/2021 12 10 - NASA Johnson - SpaceCast Weekly - December 10, 2021_LnBSCWhlnnU - transcript (automated).pdf","Transcript Link")</f>
        <v>Transcript Link</v>
      </c>
      <c r="M190" s="2" t="str">
        <f>HYPERLINK("https://files.afu.se/Downloads/Transcripts/0%20-%20Government/USA%20-%20NASA%20Johnson/2021 12 10 - NASA Johnson - SpaceCast Weekly - December 10, 2021_LnBSCWhlnnU - transcript (automated).pdf","Transcript Link")</f>
        <v>Transcript Link</v>
      </c>
    </row>
    <row r="191" ht="285" spans="1:13">
      <c r="A191" s="1" t="s">
        <v>836</v>
      </c>
      <c r="B191" s="1" t="s">
        <v>13</v>
      </c>
      <c r="C191" s="4" t="s">
        <v>840</v>
      </c>
      <c r="D191" s="1" t="s">
        <v>841</v>
      </c>
      <c r="E191" s="1" t="s">
        <v>842</v>
      </c>
      <c r="F191" s="4" t="s">
        <v>17</v>
      </c>
      <c r="G191" s="1" t="s">
        <v>18</v>
      </c>
      <c r="H191" s="1" t="s">
        <v>19</v>
      </c>
      <c r="I191" s="1" t="s">
        <v>20</v>
      </c>
      <c r="J191" s="1" t="s">
        <v>843</v>
      </c>
      <c r="K191" s="1" t="s">
        <v>22</v>
      </c>
      <c r="L191" s="1" t="str">
        <f>HYPERLINK("https://files.afu.se/Downloads/Transcripts/0%20-%20Government/USA%20-%20NASA%20Johnson/2021 12 10 - NASA Johnson - Space to Ground  December Arrivals  12 10 2021_HM9441PtuCU - transcript (automated).pdf","Transcript Link")</f>
        <v>Transcript Link</v>
      </c>
      <c r="M191" s="2" t="str">
        <f>HYPERLINK("https://files.afu.se/Downloads/Transcripts/0%20-%20Government/USA%20-%20NASA%20Johnson/2021 12 10 - NASA Johnson - Space to Ground  December Arrivals  12 10 2021_HM9441PtuCU - transcript (automated).pdf","Transcript Link")</f>
        <v>Transcript Link</v>
      </c>
    </row>
    <row r="192" ht="210" spans="1:13">
      <c r="A192" s="1" t="s">
        <v>844</v>
      </c>
      <c r="B192" s="1" t="s">
        <v>13</v>
      </c>
      <c r="C192" s="4" t="s">
        <v>845</v>
      </c>
      <c r="D192" s="1" t="s">
        <v>846</v>
      </c>
      <c r="E192" s="1" t="s">
        <v>847</v>
      </c>
      <c r="F192" s="4" t="s">
        <v>17</v>
      </c>
      <c r="G192" s="1" t="s">
        <v>18</v>
      </c>
      <c r="H192" s="1" t="s">
        <v>19</v>
      </c>
      <c r="I192" s="1" t="s">
        <v>20</v>
      </c>
      <c r="J192" s="1" t="s">
        <v>848</v>
      </c>
      <c r="K192" s="1" t="s">
        <v>22</v>
      </c>
      <c r="L192" s="1" t="str">
        <f>HYPERLINK("https://files.afu.se/Downloads/Transcripts/0%20-%20Government/USA%20-%20NASA%20Johnson/2021 12 09 - NASA Johnson - NASA Remembers Former Johnson Space Center Director Mark Geyer_ydEeVG5s9oo - transcript (automated).pdf","Transcript Link")</f>
        <v>Transcript Link</v>
      </c>
      <c r="M192" s="2" t="str">
        <f>HYPERLINK("https://files.afu.se/Downloads/Transcripts/0%20-%20Government/USA%20-%20NASA%20Johnson/2021 12 09 - NASA Johnson - NASA Remembers Former Johnson Space Center Director Mark Geyer_ydEeVG5s9oo - transcript (automated).pdf","Transcript Link")</f>
        <v>Transcript Link</v>
      </c>
    </row>
    <row r="193" ht="255" spans="1:13">
      <c r="A193" s="1" t="s">
        <v>849</v>
      </c>
      <c r="B193" s="1" t="s">
        <v>13</v>
      </c>
      <c r="C193" s="4" t="s">
        <v>850</v>
      </c>
      <c r="D193" s="1" t="s">
        <v>851</v>
      </c>
      <c r="E193" s="1" t="s">
        <v>852</v>
      </c>
      <c r="F193" s="4" t="s">
        <v>17</v>
      </c>
      <c r="G193" s="1" t="s">
        <v>18</v>
      </c>
      <c r="H193" s="1" t="s">
        <v>19</v>
      </c>
      <c r="I193" s="1" t="s">
        <v>20</v>
      </c>
      <c r="J193" s="1" t="s">
        <v>853</v>
      </c>
      <c r="K193" s="1" t="s">
        <v>22</v>
      </c>
      <c r="L193" s="1" t="str">
        <f>HYPERLINK("https://files.afu.se/Downloads/Transcripts/0%20-%20Government/USA%20-%20NASA%20Johnson/2021 12 06 - NASA Johnson - NASA Astronaut Candidate Class of 2021_42S-xwWmMi0 - transcript (automated).pdf","Transcript Link")</f>
        <v>Transcript Link</v>
      </c>
      <c r="M193" s="2" t="str">
        <f>HYPERLINK("https://files.afu.se/Downloads/Transcripts/0%20-%20Government/USA%20-%20NASA%20Johnson/2021 12 06 - NASA Johnson - NASA Astronaut Candidate Class of 2021_42S-xwWmMi0 - transcript (automated).pdf","Transcript Link")</f>
        <v>Transcript Link</v>
      </c>
    </row>
    <row r="194" ht="409.5" spans="1:13">
      <c r="A194" s="1" t="s">
        <v>854</v>
      </c>
      <c r="B194" s="1" t="s">
        <v>13</v>
      </c>
      <c r="C194" s="4" t="s">
        <v>855</v>
      </c>
      <c r="D194" s="1" t="s">
        <v>856</v>
      </c>
      <c r="E194" s="1" t="s">
        <v>857</v>
      </c>
      <c r="F194" s="4" t="s">
        <v>17</v>
      </c>
      <c r="G194" s="1" t="s">
        <v>18</v>
      </c>
      <c r="H194" s="1" t="s">
        <v>19</v>
      </c>
      <c r="I194" s="1" t="s">
        <v>20</v>
      </c>
      <c r="J194" s="1" t="s">
        <v>858</v>
      </c>
      <c r="K194" s="1" t="s">
        <v>22</v>
      </c>
      <c r="L194" s="1" t="str">
        <f>HYPERLINK("https://files.afu.se/Downloads/Transcripts/0%20-%20Government/USA%20-%20NASA%20Johnson/2021 12 03 - NASA Johnson - Space to Ground   Home Improvement  12 03 2021_6hJuGIrncbo - transcript (automated).pdf","Transcript Link")</f>
        <v>Transcript Link</v>
      </c>
      <c r="M194" s="2" t="str">
        <f>HYPERLINK("https://files.afu.se/Downloads/Transcripts/0%20-%20Government/USA%20-%20NASA%20Johnson/2021 12 03 - NASA Johnson - Space to Ground   Home Improvement  12 03 2021_6hJuGIrncbo - transcript (automated).pdf","Transcript Link")</f>
        <v>Transcript Link</v>
      </c>
    </row>
    <row r="195" ht="409.5" spans="1:13">
      <c r="A195" s="1" t="s">
        <v>859</v>
      </c>
      <c r="B195" s="1" t="s">
        <v>13</v>
      </c>
      <c r="C195" s="4" t="s">
        <v>860</v>
      </c>
      <c r="D195" s="1" t="s">
        <v>861</v>
      </c>
      <c r="E195" s="1" t="s">
        <v>857</v>
      </c>
      <c r="F195" s="4" t="s">
        <v>17</v>
      </c>
      <c r="G195" s="1" t="s">
        <v>18</v>
      </c>
      <c r="H195" s="1" t="s">
        <v>19</v>
      </c>
      <c r="I195" s="1" t="s">
        <v>20</v>
      </c>
      <c r="J195" s="1" t="s">
        <v>862</v>
      </c>
      <c r="K195" s="1" t="s">
        <v>22</v>
      </c>
      <c r="L195" s="1" t="str">
        <f>HYPERLINK("https://files.afu.se/Downloads/Transcripts/0%20-%20Government/USA%20-%20NASA%20Johnson/2021 11 26 - NASA Johnson - Space to Ground   Giving Thanks   11 26 2021_g2HdS3y1eQg - transcript (automated).pdf","Transcript Link")</f>
        <v>Transcript Link</v>
      </c>
      <c r="M195" s="2" t="str">
        <f>HYPERLINK("https://files.afu.se/Downloads/Transcripts/0%20-%20Government/USA%20-%20NASA%20Johnson/2021 11 26 - NASA Johnson - Space to Ground   Giving Thanks   11 26 2021_g2HdS3y1eQg - transcript (automated).pdf","Transcript Link")</f>
        <v>Transcript Link</v>
      </c>
    </row>
    <row r="196" ht="300" spans="1:13">
      <c r="A196" s="1" t="s">
        <v>863</v>
      </c>
      <c r="B196" s="1" t="s">
        <v>13</v>
      </c>
      <c r="C196" s="4" t="s">
        <v>864</v>
      </c>
      <c r="D196" s="1" t="s">
        <v>865</v>
      </c>
      <c r="E196" s="1" t="s">
        <v>866</v>
      </c>
      <c r="F196" s="4" t="s">
        <v>17</v>
      </c>
      <c r="G196" s="1" t="s">
        <v>18</v>
      </c>
      <c r="H196" s="1" t="s">
        <v>19</v>
      </c>
      <c r="I196" s="1" t="s">
        <v>20</v>
      </c>
      <c r="J196" s="1" t="s">
        <v>867</v>
      </c>
      <c r="K196" s="1" t="s">
        <v>22</v>
      </c>
      <c r="L196" s="1" t="str">
        <f>HYPERLINK("https://files.afu.se/Downloads/Transcripts/0%20-%20Government/USA%20-%20NASA%20Johnson/2021 11 22 - NASA Johnson - STEMonstrations  Moment of Inertia_wIHZ_Vc75Hw - transcript (automated).pdf","Transcript Link")</f>
        <v>Transcript Link</v>
      </c>
      <c r="M196" s="2" t="str">
        <f>HYPERLINK("https://files.afu.se/Downloads/Transcripts/0%20-%20Government/USA%20-%20NASA%20Johnson/2021 11 22 - NASA Johnson - STEMonstrations  Moment of Inertia_wIHZ_Vc75Hw - transcript (automated).pdf","Transcript Link")</f>
        <v>Transcript Link</v>
      </c>
    </row>
    <row r="197" ht="405" spans="1:13">
      <c r="A197" s="1" t="s">
        <v>863</v>
      </c>
      <c r="B197" s="1" t="s">
        <v>13</v>
      </c>
      <c r="C197" s="4" t="s">
        <v>868</v>
      </c>
      <c r="D197" s="1" t="s">
        <v>869</v>
      </c>
      <c r="E197" s="1" t="s">
        <v>870</v>
      </c>
      <c r="F197" s="4" t="s">
        <v>17</v>
      </c>
      <c r="G197" s="1" t="s">
        <v>18</v>
      </c>
      <c r="H197" s="1" t="s">
        <v>19</v>
      </c>
      <c r="I197" s="1" t="s">
        <v>20</v>
      </c>
      <c r="J197" s="1" t="s">
        <v>871</v>
      </c>
      <c r="K197" s="1" t="s">
        <v>22</v>
      </c>
      <c r="L197" s="1" t="str">
        <f>HYPERLINK("https://files.afu.se/Downloads/Transcripts/0%20-%20Government/USA%20-%20NASA%20Johnson/2021 11 22 - NASA Johnson - Thanksgiving Message from the International Space Station_9K66Nb8Jw9Q - transcript (automated).pdf","Transcript Link")</f>
        <v>Transcript Link</v>
      </c>
      <c r="M197" s="2" t="str">
        <f>HYPERLINK("https://files.afu.se/Downloads/Transcripts/0%20-%20Government/USA%20-%20NASA%20Johnson/2021 11 22 - NASA Johnson - Thanksgiving Message from the International Space Station_9K66Nb8Jw9Q - transcript (automated).pdf","Transcript Link")</f>
        <v>Transcript Link</v>
      </c>
    </row>
    <row r="198" ht="409.5" spans="1:13">
      <c r="A198" s="1" t="s">
        <v>872</v>
      </c>
      <c r="B198" s="1" t="s">
        <v>13</v>
      </c>
      <c r="C198" s="4" t="s">
        <v>873</v>
      </c>
      <c r="D198" s="1" t="s">
        <v>874</v>
      </c>
      <c r="E198" s="1" t="s">
        <v>857</v>
      </c>
      <c r="F198" s="4" t="s">
        <v>17</v>
      </c>
      <c r="G198" s="1" t="s">
        <v>18</v>
      </c>
      <c r="H198" s="1" t="s">
        <v>19</v>
      </c>
      <c r="I198" s="1" t="s">
        <v>20</v>
      </c>
      <c r="J198" s="1" t="s">
        <v>875</v>
      </c>
      <c r="K198" s="1" t="s">
        <v>22</v>
      </c>
      <c r="L198" s="1" t="str">
        <f>HYPERLINK("https://files.afu.se/Downloads/Transcripts/0%20-%20Government/USA%20-%20NASA%20Johnson/2021 11 19 - NASA Johnson - Space to Ground   Lab at Work 11 19 2021_fo7DWYb0WkM - transcript (automated).pdf","Transcript Link")</f>
        <v>Transcript Link</v>
      </c>
      <c r="M198" s="2" t="str">
        <f>HYPERLINK("https://files.afu.se/Downloads/Transcripts/0%20-%20Government/USA%20-%20NASA%20Johnson/2021 11 19 - NASA Johnson - Space to Ground   Lab at Work 11 19 2021_fo7DWYb0WkM - transcript (automated).pdf","Transcript Link")</f>
        <v>Transcript Link</v>
      </c>
    </row>
    <row r="199" ht="409.5" spans="1:13">
      <c r="A199" s="1" t="s">
        <v>876</v>
      </c>
      <c r="B199" s="1" t="s">
        <v>13</v>
      </c>
      <c r="C199" s="4" t="s">
        <v>877</v>
      </c>
      <c r="D199" s="1" t="s">
        <v>878</v>
      </c>
      <c r="E199" s="1" t="s">
        <v>857</v>
      </c>
      <c r="F199" s="4" t="s">
        <v>17</v>
      </c>
      <c r="G199" s="1" t="s">
        <v>18</v>
      </c>
      <c r="H199" s="1" t="s">
        <v>19</v>
      </c>
      <c r="I199" s="1" t="s">
        <v>20</v>
      </c>
      <c r="J199" s="1" t="s">
        <v>879</v>
      </c>
      <c r="K199" s="1" t="s">
        <v>22</v>
      </c>
      <c r="L199" s="1" t="str">
        <f>HYPERLINK("https://files.afu.se/Downloads/Transcripts/0%20-%20Government/USA%20-%20NASA%20Johnson/2021 11 12 - NASA Johnson - Space to Ground   A Science Exchange In Orbit  11 12 2021_aKtJBGgcPzY - transcript (automated).pdf","Transcript Link")</f>
        <v>Transcript Link</v>
      </c>
      <c r="M199" s="2" t="str">
        <f>HYPERLINK("https://files.afu.se/Downloads/Transcripts/0%20-%20Government/USA%20-%20NASA%20Johnson/2021 11 12 - NASA Johnson - Space to Ground   A Science Exchange In Orbit  11 12 2021_aKtJBGgcPzY - transcript (automated).pdf","Transcript Link")</f>
        <v>Transcript Link</v>
      </c>
    </row>
    <row r="200" ht="180" spans="1:13">
      <c r="A200" s="1" t="s">
        <v>880</v>
      </c>
      <c r="B200" s="1" t="s">
        <v>13</v>
      </c>
      <c r="C200" s="4" t="s">
        <v>881</v>
      </c>
      <c r="D200" s="1" t="s">
        <v>882</v>
      </c>
      <c r="E200" s="1" t="s">
        <v>883</v>
      </c>
      <c r="F200" s="4" t="s">
        <v>17</v>
      </c>
      <c r="G200" s="1" t="s">
        <v>18</v>
      </c>
      <c r="H200" s="1" t="s">
        <v>19</v>
      </c>
      <c r="I200" s="1" t="s">
        <v>20</v>
      </c>
      <c r="J200" s="1" t="s">
        <v>884</v>
      </c>
      <c r="K200" s="1" t="s">
        <v>22</v>
      </c>
      <c r="L200" s="1" t="str">
        <f>HYPERLINK("https://files.afu.se/Downloads/Transcripts/0%20-%20Government/USA%20-%20NASA%20Johnson/2021 11 05 - NASA Johnson - JSC’s 60th Anniversary  How Johnson Space Center’s History is Propelling Us to the Moon and Mars_CTQHomj68lg - transcript (automated).pdf","Transcript Link")</f>
        <v>Transcript Link</v>
      </c>
      <c r="M200" s="2" t="str">
        <f>HYPERLINK("https://files.afu.se/Downloads/Transcripts/0%20-%20Government/USA%20-%20NASA%20Johnson/2021 11 05 - NASA Johnson - JSC’s 60th Anniversary  How Johnson Space Center’s History is Propelling Us to the Moon and Mars_CTQHomj68lg - transcript (automated).pdf","Transcript Link")</f>
        <v>Transcript Link</v>
      </c>
    </row>
    <row r="201" ht="409.5" spans="1:13">
      <c r="A201" s="1" t="s">
        <v>880</v>
      </c>
      <c r="B201" s="1" t="s">
        <v>13</v>
      </c>
      <c r="C201" s="4" t="s">
        <v>885</v>
      </c>
      <c r="D201" s="1" t="s">
        <v>886</v>
      </c>
      <c r="E201" s="1" t="s">
        <v>857</v>
      </c>
      <c r="F201" s="4" t="s">
        <v>17</v>
      </c>
      <c r="G201" s="1" t="s">
        <v>18</v>
      </c>
      <c r="H201" s="1" t="s">
        <v>19</v>
      </c>
      <c r="I201" s="1" t="s">
        <v>20</v>
      </c>
      <c r="J201" s="1" t="s">
        <v>887</v>
      </c>
      <c r="K201" s="1" t="s">
        <v>22</v>
      </c>
      <c r="L201" s="1" t="str">
        <f>HYPERLINK("https://files.afu.se/Downloads/Transcripts/0%20-%20Government/USA%20-%20NASA%20Johnson/2021 11 05 - NASA Johnson - Space to Ground   A Spice of Life   11 05 2021_4N3XUaXVpT8 - transcript (automated).pdf","Transcript Link")</f>
        <v>Transcript Link</v>
      </c>
      <c r="M201" s="2" t="str">
        <f>HYPERLINK("https://files.afu.se/Downloads/Transcripts/0%20-%20Government/USA%20-%20NASA%20Johnson/2021 11 05 - NASA Johnson - Space to Ground   A Spice of Life   11 05 2021_4N3XUaXVpT8 - transcript (automated).pdf","Transcript Link")</f>
        <v>Transcript Link</v>
      </c>
    </row>
    <row r="202" ht="180" spans="1:13">
      <c r="A202" s="1" t="s">
        <v>888</v>
      </c>
      <c r="B202" s="1" t="s">
        <v>13</v>
      </c>
      <c r="C202" s="4" t="s">
        <v>889</v>
      </c>
      <c r="D202" s="1" t="s">
        <v>890</v>
      </c>
      <c r="E202" s="1" t="s">
        <v>891</v>
      </c>
      <c r="F202" s="4" t="s">
        <v>17</v>
      </c>
      <c r="G202" s="1" t="s">
        <v>18</v>
      </c>
      <c r="H202" s="1" t="s">
        <v>19</v>
      </c>
      <c r="I202" s="1" t="s">
        <v>20</v>
      </c>
      <c r="J202" s="1" t="s">
        <v>892</v>
      </c>
      <c r="K202" s="1" t="s">
        <v>22</v>
      </c>
      <c r="L202" s="1" t="str">
        <f>HYPERLINK("https://files.afu.se/Downloads/Transcripts/0%20-%20Government/USA%20-%20NASA%20Johnson/2021 11 03 - NASA Johnson - Crew-3 Mission Overview_luV3ktEoi7c - transcript (automated).pdf","Transcript Link")</f>
        <v>Transcript Link</v>
      </c>
      <c r="M202" s="2" t="str">
        <f>HYPERLINK("https://files.afu.se/Downloads/Transcripts/0%20-%20Government/USA%20-%20NASA%20Johnson/2021 11 03 - NASA Johnson - Crew-3 Mission Overview_luV3ktEoi7c - transcript (automated).pdf","Transcript Link")</f>
        <v>Transcript Link</v>
      </c>
    </row>
    <row r="203" ht="409.5" spans="1:13">
      <c r="A203" s="1" t="s">
        <v>893</v>
      </c>
      <c r="B203" s="1" t="s">
        <v>13</v>
      </c>
      <c r="C203" s="4" t="s">
        <v>894</v>
      </c>
      <c r="D203" s="1" t="s">
        <v>895</v>
      </c>
      <c r="E203" s="1" t="s">
        <v>857</v>
      </c>
      <c r="F203" s="4" t="s">
        <v>17</v>
      </c>
      <c r="G203" s="1" t="s">
        <v>18</v>
      </c>
      <c r="H203" s="1" t="s">
        <v>19</v>
      </c>
      <c r="I203" s="1" t="s">
        <v>20</v>
      </c>
      <c r="J203" s="1" t="s">
        <v>896</v>
      </c>
      <c r="K203" s="1" t="s">
        <v>22</v>
      </c>
      <c r="L203" s="1" t="str">
        <f>HYPERLINK("https://files.afu.se/Downloads/Transcripts/0%20-%20Government/USA%20-%20NASA%20Johnson/2021 10 29 - NASA Johnson - Space to Ground   A Halloween Space Ride   10 29 2021_xN_XQ9lCZzg - transcript (automated).pdf","Transcript Link")</f>
        <v>Transcript Link</v>
      </c>
      <c r="M203" s="2" t="str">
        <f>HYPERLINK("https://files.afu.se/Downloads/Transcripts/0%20-%20Government/USA%20-%20NASA%20Johnson/2021 10 29 - NASA Johnson - Space to Ground   A Halloween Space Ride   10 29 2021_xN_XQ9lCZzg - transcript (automated).pdf","Transcript Link")</f>
        <v>Transcript Link</v>
      </c>
    </row>
    <row r="204" ht="285" spans="1:13">
      <c r="A204" s="1" t="s">
        <v>897</v>
      </c>
      <c r="B204" s="1" t="s">
        <v>13</v>
      </c>
      <c r="C204" s="4" t="s">
        <v>898</v>
      </c>
      <c r="D204" s="1" t="s">
        <v>899</v>
      </c>
      <c r="E204" s="1" t="s">
        <v>900</v>
      </c>
      <c r="F204" s="4" t="s">
        <v>17</v>
      </c>
      <c r="G204" s="1" t="s">
        <v>18</v>
      </c>
      <c r="H204" s="1" t="s">
        <v>19</v>
      </c>
      <c r="I204" s="1" t="s">
        <v>20</v>
      </c>
      <c r="J204" s="1" t="s">
        <v>901</v>
      </c>
      <c r="K204" s="1" t="s">
        <v>22</v>
      </c>
      <c r="L204" s="1" t="str">
        <f>HYPERLINK("https://files.afu.se/Downloads/Transcripts/0%20-%20Government/USA%20-%20NASA%20Johnson/2021 10 26 - NASA Johnson - Quick Questions with Crew-3_6J2tTm2pi2Y - transcript (automated).pdf","Transcript Link")</f>
        <v>Transcript Link</v>
      </c>
      <c r="M204" s="2" t="str">
        <f>HYPERLINK("https://files.afu.se/Downloads/Transcripts/0%20-%20Government/USA%20-%20NASA%20Johnson/2021 10 26 - NASA Johnson - Quick Questions with Crew-3_6J2tTm2pi2Y - transcript (automated).pdf","Transcript Link")</f>
        <v>Transcript Link</v>
      </c>
    </row>
    <row r="205" ht="300" spans="1:13">
      <c r="A205" s="1" t="s">
        <v>902</v>
      </c>
      <c r="B205" s="1" t="s">
        <v>13</v>
      </c>
      <c r="C205" s="4" t="s">
        <v>903</v>
      </c>
      <c r="D205" s="1" t="s">
        <v>904</v>
      </c>
      <c r="E205" s="1" t="s">
        <v>905</v>
      </c>
      <c r="F205" s="4" t="s">
        <v>17</v>
      </c>
      <c r="G205" s="1" t="s">
        <v>18</v>
      </c>
      <c r="H205" s="1" t="s">
        <v>19</v>
      </c>
      <c r="I205" s="1" t="s">
        <v>20</v>
      </c>
      <c r="J205" s="1" t="s">
        <v>906</v>
      </c>
      <c r="K205" s="1" t="s">
        <v>22</v>
      </c>
      <c r="L205" s="1" t="str">
        <f>HYPERLINK("https://files.afu.se/Downloads/Transcripts/0%20-%20Government/USA%20-%20NASA%20Johnson/2021 10 25 - NASA Johnson - Know Your Crew...Three!_I4EoDfYbAkc - transcript (automated).pdf","Transcript Link")</f>
        <v>Transcript Link</v>
      </c>
      <c r="M205" s="2" t="str">
        <f>HYPERLINK("https://files.afu.se/Downloads/Transcripts/0%20-%20Government/USA%20-%20NASA%20Johnson/2021 10 25 - NASA Johnson - Know Your Crew...Three!_I4EoDfYbAkc - transcript (automated).pdf","Transcript Link")</f>
        <v>Transcript Link</v>
      </c>
    </row>
    <row r="206" ht="300" spans="1:13">
      <c r="A206" s="1" t="s">
        <v>907</v>
      </c>
      <c r="B206" s="1" t="s">
        <v>13</v>
      </c>
      <c r="C206" s="4" t="s">
        <v>908</v>
      </c>
      <c r="D206" s="1" t="s">
        <v>909</v>
      </c>
      <c r="E206" s="1" t="s">
        <v>31</v>
      </c>
      <c r="F206" s="4" t="s">
        <v>17</v>
      </c>
      <c r="G206" s="1" t="s">
        <v>18</v>
      </c>
      <c r="H206" s="1" t="s">
        <v>19</v>
      </c>
      <c r="I206" s="1" t="s">
        <v>20</v>
      </c>
      <c r="J206" s="1" t="s">
        <v>910</v>
      </c>
      <c r="K206" s="1" t="s">
        <v>22</v>
      </c>
      <c r="L206" s="1" t="str">
        <f>HYPERLINK("https://files.afu.se/Downloads/Transcripts/0%20-%20Government/USA%20-%20NASA%20Johnson/2021 10 22 - NASA Johnson - Space to Ground  Pepper Countdown  10 22 2021_LvPqAxt_0gU - transcript (automated).pdf","Transcript Link")</f>
        <v>Transcript Link</v>
      </c>
      <c r="M206" s="2" t="str">
        <f>HYPERLINK("https://files.afu.se/Downloads/Transcripts/0%20-%20Government/USA%20-%20NASA%20Johnson/2021 10 22 - NASA Johnson - Space to Ground  Pepper Countdown  10 22 2021_LvPqAxt_0gU - transcript (automated).pdf","Transcript Link")</f>
        <v>Transcript Link</v>
      </c>
    </row>
    <row r="207" ht="300" spans="1:13">
      <c r="A207" s="1" t="s">
        <v>911</v>
      </c>
      <c r="B207" s="1" t="s">
        <v>13</v>
      </c>
      <c r="C207" s="4" t="s">
        <v>912</v>
      </c>
      <c r="D207" s="1" t="s">
        <v>913</v>
      </c>
      <c r="E207" s="1" t="s">
        <v>31</v>
      </c>
      <c r="F207" s="4" t="s">
        <v>17</v>
      </c>
      <c r="G207" s="1" t="s">
        <v>18</v>
      </c>
      <c r="H207" s="1" t="s">
        <v>19</v>
      </c>
      <c r="I207" s="1" t="s">
        <v>20</v>
      </c>
      <c r="J207" s="1" t="s">
        <v>914</v>
      </c>
      <c r="K207" s="1" t="s">
        <v>22</v>
      </c>
      <c r="L207" s="1" t="str">
        <f>HYPERLINK("https://files.afu.se/Downloads/Transcripts/0%20-%20Government/USA%20-%20NASA%20Johnson/2021 10 15 - NASA Johnson - Space to Ground  Arrivals and Departures  10 15 2021_4tcENPqcnF4 - transcript (automated).pdf","Transcript Link")</f>
        <v>Transcript Link</v>
      </c>
      <c r="M207" s="2" t="str">
        <f>HYPERLINK("https://files.afu.se/Downloads/Transcripts/0%20-%20Government/USA%20-%20NASA%20Johnson/2021 10 15 - NASA Johnson - Space to Ground  Arrivals and Departures  10 15 2021_4tcENPqcnF4 - transcript (automated).pdf","Transcript Link")</f>
        <v>Transcript Link</v>
      </c>
    </row>
    <row r="208" ht="180" spans="1:13">
      <c r="A208" s="1" t="s">
        <v>915</v>
      </c>
      <c r="B208" s="1" t="s">
        <v>13</v>
      </c>
      <c r="C208" s="4" t="s">
        <v>916</v>
      </c>
      <c r="D208" s="1" t="s">
        <v>917</v>
      </c>
      <c r="E208" s="1" t="s">
        <v>918</v>
      </c>
      <c r="F208" s="4" t="s">
        <v>17</v>
      </c>
      <c r="G208" s="1" t="s">
        <v>18</v>
      </c>
      <c r="H208" s="1" t="s">
        <v>19</v>
      </c>
      <c r="I208" s="1" t="s">
        <v>20</v>
      </c>
      <c r="J208" s="1" t="s">
        <v>919</v>
      </c>
      <c r="K208" s="1" t="s">
        <v>22</v>
      </c>
      <c r="L208" s="1" t="str">
        <f>HYPERLINK("https://files.afu.se/Downloads/Transcripts/0%20-%20Government/USA%20-%20NASA%20Johnson/2021 10 08 - NASA Johnson - SpaceCast Weekly October 8, 2021_URigIZUVIpo - transcript (automated).pdf","Transcript Link")</f>
        <v>Transcript Link</v>
      </c>
      <c r="M208" s="2" t="str">
        <f>HYPERLINK("https://files.afu.se/Downloads/Transcripts/0%20-%20Government/USA%20-%20NASA%20Johnson/2021 10 08 - NASA Johnson - SpaceCast Weekly October 8, 2021_URigIZUVIpo - transcript (automated).pdf","Transcript Link")</f>
        <v>Transcript Link</v>
      </c>
    </row>
    <row r="209" ht="300" spans="1:13">
      <c r="A209" s="1" t="s">
        <v>915</v>
      </c>
      <c r="B209" s="1" t="s">
        <v>13</v>
      </c>
      <c r="C209" s="4" t="s">
        <v>920</v>
      </c>
      <c r="D209" s="1" t="s">
        <v>921</v>
      </c>
      <c r="E209" s="1" t="s">
        <v>31</v>
      </c>
      <c r="F209" s="4" t="s">
        <v>17</v>
      </c>
      <c r="G209" s="1" t="s">
        <v>18</v>
      </c>
      <c r="H209" s="1" t="s">
        <v>19</v>
      </c>
      <c r="I209" s="1" t="s">
        <v>20</v>
      </c>
      <c r="J209" s="1" t="s">
        <v>922</v>
      </c>
      <c r="K209" s="1" t="s">
        <v>22</v>
      </c>
      <c r="L209" s="1" t="str">
        <f>HYPERLINK("https://files.afu.se/Downloads/Transcripts/0%20-%20Government/USA%20-%20NASA%20Johnson/2021 10 08 - NASA Johnson - Space to Ground  Lights, Camera, Liftoff! 10 08 2021_JdnD0vOCYEM - transcript (automated).pdf","Transcript Link")</f>
        <v>Transcript Link</v>
      </c>
      <c r="M209" s="2" t="str">
        <f>HYPERLINK("https://files.afu.se/Downloads/Transcripts/0%20-%20Government/USA%20-%20NASA%20Johnson/2021 10 08 - NASA Johnson - Space to Ground  Lights, Camera, Liftoff! 10 08 2021_JdnD0vOCYEM - transcript (automated).pdf","Transcript Link")</f>
        <v>Transcript Link</v>
      </c>
    </row>
    <row r="210" ht="195" spans="1:13">
      <c r="A210" s="1" t="s">
        <v>923</v>
      </c>
      <c r="B210" s="1" t="s">
        <v>13</v>
      </c>
      <c r="C210" s="4" t="s">
        <v>924</v>
      </c>
      <c r="D210" s="1" t="s">
        <v>925</v>
      </c>
      <c r="E210" s="1" t="s">
        <v>926</v>
      </c>
      <c r="F210" s="4" t="s">
        <v>17</v>
      </c>
      <c r="G210" s="1" t="s">
        <v>18</v>
      </c>
      <c r="H210" s="1" t="s">
        <v>19</v>
      </c>
      <c r="I210" s="1" t="s">
        <v>20</v>
      </c>
      <c r="J210" s="1" t="s">
        <v>927</v>
      </c>
      <c r="K210" s="1" t="s">
        <v>22</v>
      </c>
      <c r="L210" s="1" t="str">
        <f>HYPERLINK("https://files.afu.se/Downloads/Transcripts/0%20-%20Government/USA%20-%20NASA%20Johnson/2021 10 04 - NASA Johnson - S.U.I.T.S. (Spacesuit User Interface Technologies for Students) Video Feature__SNCetZitZE - transcript (automated).pdf","Transcript Link")</f>
        <v>Transcript Link</v>
      </c>
      <c r="M210" s="2" t="str">
        <f>HYPERLINK("https://files.afu.se/Downloads/Transcripts/0%20-%20Government/USA%20-%20NASA%20Johnson/2021 10 04 - NASA Johnson - S.U.I.T.S. (Spacesuit User Interface Technologies for Students) Video Feature__SNCetZitZE - transcript (automated).pdf","Transcript Link")</f>
        <v>Transcript Link</v>
      </c>
    </row>
    <row r="211" ht="300" spans="1:13">
      <c r="A211" s="1" t="s">
        <v>928</v>
      </c>
      <c r="B211" s="1" t="s">
        <v>13</v>
      </c>
      <c r="C211" s="4" t="s">
        <v>929</v>
      </c>
      <c r="D211" s="1" t="s">
        <v>930</v>
      </c>
      <c r="E211" s="1" t="s">
        <v>31</v>
      </c>
      <c r="F211" s="4" t="s">
        <v>17</v>
      </c>
      <c r="G211" s="1" t="s">
        <v>18</v>
      </c>
      <c r="H211" s="1" t="s">
        <v>19</v>
      </c>
      <c r="I211" s="1" t="s">
        <v>20</v>
      </c>
      <c r="J211" s="1" t="s">
        <v>931</v>
      </c>
      <c r="K211" s="1" t="s">
        <v>22</v>
      </c>
      <c r="L211" s="1" t="str">
        <f>HYPERLINK("https://files.afu.se/Downloads/Transcripts/0%20-%20Government/USA%20-%20NASA%20Johnson/2021 10 01 - NASA Johnson - Space to Ground  A Short Trip  10 01 2021_u1I4twX4ao4 - transcript (automated).pdf","Transcript Link")</f>
        <v>Transcript Link</v>
      </c>
      <c r="M211" s="2" t="str">
        <f>HYPERLINK("https://files.afu.se/Downloads/Transcripts/0%20-%20Government/USA%20-%20NASA%20Johnson/2021 10 01 - NASA Johnson - Space to Ground  A Short Trip  10 01 2021_u1I4twX4ao4 - transcript (automated).pdf","Transcript Link")</f>
        <v>Transcript Link</v>
      </c>
    </row>
    <row r="212" ht="180" spans="1:13">
      <c r="A212" s="1" t="s">
        <v>932</v>
      </c>
      <c r="B212" s="1" t="s">
        <v>13</v>
      </c>
      <c r="C212" s="4" t="s">
        <v>933</v>
      </c>
      <c r="D212" s="1" t="s">
        <v>934</v>
      </c>
      <c r="E212" s="1" t="s">
        <v>935</v>
      </c>
      <c r="F212" s="4" t="s">
        <v>17</v>
      </c>
      <c r="G212" s="1" t="s">
        <v>18</v>
      </c>
      <c r="H212" s="1" t="s">
        <v>19</v>
      </c>
      <c r="I212" s="1" t="s">
        <v>20</v>
      </c>
      <c r="J212" s="1" t="s">
        <v>936</v>
      </c>
      <c r="K212" s="1" t="s">
        <v>22</v>
      </c>
      <c r="L212" s="1" t="str">
        <f>HYPERLINK("https://files.afu.se/Downloads/Transcripts/0%20-%20Government/USA%20-%20NASA%20Johnson/2021 09 30 - NASA Johnson - STEMonstration  Five Senses_6m5G6YlTiHE - transcript (automated).pdf","Transcript Link")</f>
        <v>Transcript Link</v>
      </c>
      <c r="M212" s="2" t="str">
        <f>HYPERLINK("https://files.afu.se/Downloads/Transcripts/0%20-%20Government/USA%20-%20NASA%20Johnson/2021 09 30 - NASA Johnson - STEMonstration  Five Senses_6m5G6YlTiHE - transcript (automated).pdf","Transcript Link")</f>
        <v>Transcript Link</v>
      </c>
    </row>
    <row r="213" ht="300" spans="1:13">
      <c r="A213" s="1" t="s">
        <v>937</v>
      </c>
      <c r="B213" s="1" t="s">
        <v>13</v>
      </c>
      <c r="C213" s="4" t="s">
        <v>938</v>
      </c>
      <c r="D213" s="1" t="s">
        <v>939</v>
      </c>
      <c r="E213" s="1" t="s">
        <v>31</v>
      </c>
      <c r="F213" s="4" t="s">
        <v>17</v>
      </c>
      <c r="G213" s="1" t="s">
        <v>18</v>
      </c>
      <c r="H213" s="1" t="s">
        <v>19</v>
      </c>
      <c r="I213" s="1" t="s">
        <v>20</v>
      </c>
      <c r="J213" s="1" t="s">
        <v>940</v>
      </c>
      <c r="K213" s="1" t="s">
        <v>22</v>
      </c>
      <c r="L213" s="1" t="str">
        <f>HYPERLINK("https://files.afu.se/Downloads/Transcripts/0%20-%20Government/USA%20-%20NASA%20Johnson/2021 09 24 - NASA Johnson - Space to Ground  Interactive Investigations  09 24 2021_-QgOp1wV2w8 - transcript (automated).pdf","Transcript Link")</f>
        <v>Transcript Link</v>
      </c>
      <c r="M213" s="2" t="str">
        <f>HYPERLINK("https://files.afu.se/Downloads/Transcripts/0%20-%20Government/USA%20-%20NASA%20Johnson/2021 09 24 - NASA Johnson - Space to Ground  Interactive Investigations  09 24 2021_-QgOp1wV2w8 - transcript (automated).pdf","Transcript Link")</f>
        <v>Transcript Link</v>
      </c>
    </row>
    <row r="214" ht="300" spans="1:13">
      <c r="A214" s="1" t="s">
        <v>941</v>
      </c>
      <c r="B214" s="1" t="s">
        <v>13</v>
      </c>
      <c r="C214" s="4" t="s">
        <v>942</v>
      </c>
      <c r="D214" s="1" t="s">
        <v>943</v>
      </c>
      <c r="E214" s="1" t="s">
        <v>31</v>
      </c>
      <c r="F214" s="4" t="s">
        <v>17</v>
      </c>
      <c r="G214" s="1" t="s">
        <v>18</v>
      </c>
      <c r="H214" s="1" t="s">
        <v>19</v>
      </c>
      <c r="I214" s="1" t="s">
        <v>20</v>
      </c>
      <c r="J214" s="1" t="s">
        <v>944</v>
      </c>
      <c r="K214" s="1" t="s">
        <v>22</v>
      </c>
      <c r="L214" s="1" t="str">
        <f>HYPERLINK("https://files.afu.se/Downloads/Transcripts/0%20-%20Government/USA%20-%20NASA%20Johnson/2021 09 17 - NASA Johnson - Space to Ground  Space Construction  09 17 2021_-A66yWWGkQk - transcript (automated).pdf","Transcript Link")</f>
        <v>Transcript Link</v>
      </c>
      <c r="M214" s="2" t="str">
        <f>HYPERLINK("https://files.afu.se/Downloads/Transcripts/0%20-%20Government/USA%20-%20NASA%20Johnson/2021 09 17 - NASA Johnson - Space to Ground  Space Construction  09 17 2021_-A66yWWGkQk - transcript (automated).pdf","Transcript Link")</f>
        <v>Transcript Link</v>
      </c>
    </row>
    <row r="215" ht="255" spans="1:13">
      <c r="A215" s="1" t="s">
        <v>945</v>
      </c>
      <c r="B215" s="1" t="s">
        <v>13</v>
      </c>
      <c r="C215" s="4" t="s">
        <v>946</v>
      </c>
      <c r="D215" s="1" t="s">
        <v>947</v>
      </c>
      <c r="E215" s="1" t="s">
        <v>948</v>
      </c>
      <c r="F215" s="4" t="s">
        <v>17</v>
      </c>
      <c r="G215" s="1" t="s">
        <v>18</v>
      </c>
      <c r="H215" s="1" t="s">
        <v>19</v>
      </c>
      <c r="I215" s="1" t="s">
        <v>20</v>
      </c>
      <c r="J215" s="1" t="s">
        <v>949</v>
      </c>
      <c r="K215" s="1" t="s">
        <v>22</v>
      </c>
      <c r="L215" s="1" t="str">
        <f>HYPERLINK("https://files.afu.se/Downloads/Transcripts/0%20-%20Government/USA%20-%20NASA%20Johnson/2021 09 14 - NASA Johnson - NASA Astronaut Mark Vande Hei on setting the record for longest single spaceflight for an American_vsAAOuF2670 - transcript (automated).pdf","Transcript Link")</f>
        <v>Transcript Link</v>
      </c>
      <c r="M215" s="2" t="str">
        <f>HYPERLINK("https://files.afu.se/Downloads/Transcripts/0%20-%20Government/USA%20-%20NASA%20Johnson/2021 09 14 - NASA Johnson - NASA Astronaut Mark Vande Hei on setting the record for longest single spaceflight for an American_vsAAOuF2670 - transcript (automated).pdf","Transcript Link")</f>
        <v>Transcript Link</v>
      </c>
    </row>
    <row r="216" ht="300" spans="1:13">
      <c r="A216" s="1" t="s">
        <v>950</v>
      </c>
      <c r="B216" s="1" t="s">
        <v>13</v>
      </c>
      <c r="C216" s="4" t="s">
        <v>951</v>
      </c>
      <c r="D216" s="1" t="s">
        <v>952</v>
      </c>
      <c r="E216" s="1" t="s">
        <v>31</v>
      </c>
      <c r="F216" s="4" t="s">
        <v>17</v>
      </c>
      <c r="G216" s="1" t="s">
        <v>18</v>
      </c>
      <c r="H216" s="1" t="s">
        <v>19</v>
      </c>
      <c r="I216" s="1" t="s">
        <v>20</v>
      </c>
      <c r="J216" s="1" t="s">
        <v>953</v>
      </c>
      <c r="K216" s="1" t="s">
        <v>22</v>
      </c>
      <c r="L216" s="1" t="str">
        <f>HYPERLINK("https://files.afu.se/Downloads/Transcripts/0%20-%20Government/USA%20-%20NASA%20Johnson/2021 09 10 - NASA Johnson - Space to Ground  September Spacewalks  09 10 2021_YC6R9rY7WpI - transcript (automated).pdf","Transcript Link")</f>
        <v>Transcript Link</v>
      </c>
      <c r="M216" s="2" t="str">
        <f>HYPERLINK("https://files.afu.se/Downloads/Transcripts/0%20-%20Government/USA%20-%20NASA%20Johnson/2021 09 10 - NASA Johnson - Space to Ground  September Spacewalks  09 10 2021_YC6R9rY7WpI - transcript (automated).pdf","Transcript Link")</f>
        <v>Transcript Link</v>
      </c>
    </row>
    <row r="217" ht="300" spans="1:13">
      <c r="A217" s="1" t="s">
        <v>954</v>
      </c>
      <c r="B217" s="1" t="s">
        <v>13</v>
      </c>
      <c r="C217" s="4" t="s">
        <v>955</v>
      </c>
      <c r="D217" s="1" t="s">
        <v>956</v>
      </c>
      <c r="E217" s="1" t="s">
        <v>31</v>
      </c>
      <c r="F217" s="4" t="s">
        <v>17</v>
      </c>
      <c r="G217" s="1" t="s">
        <v>18</v>
      </c>
      <c r="H217" s="1" t="s">
        <v>19</v>
      </c>
      <c r="I217" s="1" t="s">
        <v>20</v>
      </c>
      <c r="J217" s="1" t="s">
        <v>957</v>
      </c>
      <c r="K217" s="1" t="s">
        <v>22</v>
      </c>
      <c r="L217" s="1" t="str">
        <f>HYPERLINK("https://files.afu.se/Downloads/Transcripts/0%20-%20Government/USA%20-%20NASA%20Johnson/2021 09 03 - NASA Johnson - Space to Ground  Ferocious Storm  09 03 2021_VbmYaxQ-NMw - transcript (automated).pdf","Transcript Link")</f>
        <v>Transcript Link</v>
      </c>
      <c r="M217" s="2" t="str">
        <f>HYPERLINK("https://files.afu.se/Downloads/Transcripts/0%20-%20Government/USA%20-%20NASA%20Johnson/2021 09 03 - NASA Johnson - Space to Ground  Ferocious Storm  09 03 2021_VbmYaxQ-NMw - transcript (automated).pdf","Transcript Link")</f>
        <v>Transcript Link</v>
      </c>
    </row>
    <row r="218" ht="300" spans="1:13">
      <c r="A218" s="1" t="s">
        <v>958</v>
      </c>
      <c r="B218" s="1" t="s">
        <v>13</v>
      </c>
      <c r="C218" s="4" t="s">
        <v>959</v>
      </c>
      <c r="D218" s="1" t="s">
        <v>960</v>
      </c>
      <c r="E218" s="1" t="s">
        <v>31</v>
      </c>
      <c r="F218" s="4" t="s">
        <v>17</v>
      </c>
      <c r="G218" s="1" t="s">
        <v>18</v>
      </c>
      <c r="H218" s="1" t="s">
        <v>19</v>
      </c>
      <c r="I218" s="1" t="s">
        <v>20</v>
      </c>
      <c r="J218" s="1" t="s">
        <v>961</v>
      </c>
      <c r="K218" s="1" t="s">
        <v>22</v>
      </c>
      <c r="L218" s="1" t="str">
        <f>HYPERLINK("https://files.afu.se/Downloads/Transcripts/0%20-%20Government/USA%20-%20NASA%20Johnson/2021 08 27 - NASA Johnson - Space to Ground  Inside Arm  08 27 2021_uM6fb8yE7LE - transcript (automated).pdf","Transcript Link")</f>
        <v>Transcript Link</v>
      </c>
      <c r="M218" s="2" t="str">
        <f>HYPERLINK("https://files.afu.se/Downloads/Transcripts/0%20-%20Government/USA%20-%20NASA%20Johnson/2021 08 27 - NASA Johnson - Space to Ground  Inside Arm  08 27 2021_uM6fb8yE7LE - transcript (automated).pdf","Transcript Link")</f>
        <v>Transcript Link</v>
      </c>
    </row>
    <row r="219" ht="345" spans="1:13">
      <c r="A219" s="1" t="s">
        <v>962</v>
      </c>
      <c r="B219" s="1" t="s">
        <v>13</v>
      </c>
      <c r="C219" s="4" t="s">
        <v>963</v>
      </c>
      <c r="D219" s="1" t="s">
        <v>964</v>
      </c>
      <c r="E219" s="1" t="s">
        <v>965</v>
      </c>
      <c r="F219" s="4" t="s">
        <v>17</v>
      </c>
      <c r="G219" s="1" t="s">
        <v>18</v>
      </c>
      <c r="H219" s="1" t="s">
        <v>19</v>
      </c>
      <c r="I219" s="1" t="s">
        <v>20</v>
      </c>
      <c r="J219" s="1" t="s">
        <v>966</v>
      </c>
      <c r="K219" s="1" t="s">
        <v>22</v>
      </c>
      <c r="L219" s="1" t="str">
        <f>HYPERLINK("https://files.afu.se/Downloads/Transcripts/0%20-%20Government/USA%20-%20NASA%20Johnson/2021 08 20 - NASA Johnson - Houston We Have a Podcast  Artemis Flight Directors_ZC4hpgNoumQ - transcript (automated).pdf","Transcript Link")</f>
        <v>Transcript Link</v>
      </c>
      <c r="M219" s="2" t="str">
        <f>HYPERLINK("https://files.afu.se/Downloads/Transcripts/0%20-%20Government/USA%20-%20NASA%20Johnson/2021 08 20 - NASA Johnson - Houston We Have a Podcast  Artemis Flight Directors_ZC4hpgNoumQ - transcript (automated).pdf","Transcript Link")</f>
        <v>Transcript Link</v>
      </c>
    </row>
    <row r="220" ht="300" spans="1:13">
      <c r="A220" s="1" t="s">
        <v>962</v>
      </c>
      <c r="B220" s="1" t="s">
        <v>13</v>
      </c>
      <c r="C220" s="4" t="s">
        <v>967</v>
      </c>
      <c r="D220" s="1" t="s">
        <v>968</v>
      </c>
      <c r="E220" s="1" t="s">
        <v>31</v>
      </c>
      <c r="F220" s="4" t="s">
        <v>17</v>
      </c>
      <c r="G220" s="1" t="s">
        <v>18</v>
      </c>
      <c r="H220" s="1" t="s">
        <v>19</v>
      </c>
      <c r="I220" s="1" t="s">
        <v>20</v>
      </c>
      <c r="J220" s="1" t="s">
        <v>969</v>
      </c>
      <c r="K220" s="1" t="s">
        <v>22</v>
      </c>
      <c r="L220" s="1" t="str">
        <f>HYPERLINK("https://files.afu.se/Downloads/Transcripts/0%20-%20Government/USA%20-%20NASA%20Johnson/2021 08 20 - NASA Johnson - Space to Ground  Investigating Muscle Loss  08 20 2021_aQTdIrbbrHQ - transcript (automated).pdf","Transcript Link")</f>
        <v>Transcript Link</v>
      </c>
      <c r="M220" s="2" t="str">
        <f>HYPERLINK("https://files.afu.se/Downloads/Transcripts/0%20-%20Government/USA%20-%20NASA%20Johnson/2021 08 20 - NASA Johnson - Space to Ground  Investigating Muscle Loss  08 20 2021_aQTdIrbbrHQ - transcript (automated).pdf","Transcript Link")</f>
        <v>Transcript Link</v>
      </c>
    </row>
    <row r="221" ht="180" spans="1:13">
      <c r="A221" s="1" t="s">
        <v>970</v>
      </c>
      <c r="B221" s="1" t="s">
        <v>13</v>
      </c>
      <c r="C221" s="4" t="s">
        <v>971</v>
      </c>
      <c r="D221" s="1" t="s">
        <v>972</v>
      </c>
      <c r="E221" s="1" t="s">
        <v>973</v>
      </c>
      <c r="F221" s="4" t="s">
        <v>17</v>
      </c>
      <c r="G221" s="1" t="s">
        <v>18</v>
      </c>
      <c r="H221" s="1" t="s">
        <v>19</v>
      </c>
      <c r="I221" s="1" t="s">
        <v>20</v>
      </c>
      <c r="J221" s="1" t="s">
        <v>974</v>
      </c>
      <c r="K221" s="1" t="s">
        <v>22</v>
      </c>
      <c r="L221" s="1" t="str">
        <f>HYPERLINK("https://files.afu.se/Downloads/Transcripts/0%20-%20Government/USA%20-%20NASA%20Johnson/2021 08 19 - NASA Johnson - Gateway Introduction_gRLH-XWfq1o - transcript (automated).pdf","Transcript Link")</f>
        <v>Transcript Link</v>
      </c>
      <c r="M221" s="2" t="str">
        <f>HYPERLINK("https://files.afu.se/Downloads/Transcripts/0%20-%20Government/USA%20-%20NASA%20Johnson/2021 08 19 - NASA Johnson - Gateway Introduction_gRLH-XWfq1o - transcript (automated).pdf","Transcript Link")</f>
        <v>Transcript Link</v>
      </c>
    </row>
    <row r="222" ht="300" spans="1:13">
      <c r="A222" s="1" t="s">
        <v>975</v>
      </c>
      <c r="B222" s="1" t="s">
        <v>13</v>
      </c>
      <c r="C222" s="4" t="s">
        <v>976</v>
      </c>
      <c r="D222" s="1" t="s">
        <v>977</v>
      </c>
      <c r="E222" s="1" t="s">
        <v>31</v>
      </c>
      <c r="F222" s="4" t="s">
        <v>17</v>
      </c>
      <c r="G222" s="1" t="s">
        <v>18</v>
      </c>
      <c r="H222" s="1" t="s">
        <v>19</v>
      </c>
      <c r="I222" s="1" t="s">
        <v>20</v>
      </c>
      <c r="J222" s="1" t="s">
        <v>978</v>
      </c>
      <c r="K222" s="1" t="s">
        <v>22</v>
      </c>
      <c r="L222" s="1" t="str">
        <f>HYPERLINK("https://files.afu.se/Downloads/Transcripts/0%20-%20Government/USA%20-%20NASA%20Johnson/2021 08 13 - NASA Johnson - Space to Ground  Honoring Ellison  08 13 2021_hY-Dn4y0ewo - transcript (automated).pdf","Transcript Link")</f>
        <v>Transcript Link</v>
      </c>
      <c r="M222" s="2" t="str">
        <f>HYPERLINK("https://files.afu.se/Downloads/Transcripts/0%20-%20Government/USA%20-%20NASA%20Johnson/2021 08 13 - NASA Johnson - Space to Ground  Honoring Ellison  08 13 2021_hY-Dn4y0ewo - transcript (automated).pdf","Transcript Link")</f>
        <v>Transcript Link</v>
      </c>
    </row>
    <row r="223" ht="300" spans="1:13">
      <c r="A223" s="1" t="s">
        <v>979</v>
      </c>
      <c r="B223" s="1" t="s">
        <v>13</v>
      </c>
      <c r="C223" s="4" t="s">
        <v>980</v>
      </c>
      <c r="D223" s="1" t="s">
        <v>981</v>
      </c>
      <c r="E223" s="1" t="s">
        <v>31</v>
      </c>
      <c r="F223" s="4" t="s">
        <v>17</v>
      </c>
      <c r="G223" s="1" t="s">
        <v>18</v>
      </c>
      <c r="H223" s="1" t="s">
        <v>19</v>
      </c>
      <c r="I223" s="1" t="s">
        <v>20</v>
      </c>
      <c r="J223" s="1" t="s">
        <v>982</v>
      </c>
      <c r="K223" s="1" t="s">
        <v>22</v>
      </c>
      <c r="L223" s="1" t="str">
        <f>HYPERLINK("https://files.afu.se/Downloads/Transcripts/0%20-%20Government/USA%20-%20NASA%20Johnson/2021 08 06 - NASA Johnson - Space to Ground  Around the Bend  08 06 2021_jk0FnkllsU8 - transcript (automated).pdf","Transcript Link")</f>
        <v>Transcript Link</v>
      </c>
      <c r="M223" s="2" t="str">
        <f>HYPERLINK("https://files.afu.se/Downloads/Transcripts/0%20-%20Government/USA%20-%20NASA%20Johnson/2021 08 06 - NASA Johnson - Space to Ground  Around the Bend  08 06 2021_jk0FnkllsU8 - transcript (automated).pdf","Transcript Link")</f>
        <v>Transcript Link</v>
      </c>
    </row>
    <row r="224" ht="300" spans="1:13">
      <c r="A224" s="1" t="s">
        <v>983</v>
      </c>
      <c r="B224" s="1" t="s">
        <v>13</v>
      </c>
      <c r="C224" s="4" t="s">
        <v>984</v>
      </c>
      <c r="D224" s="1" t="s">
        <v>985</v>
      </c>
      <c r="E224" s="1" t="s">
        <v>31</v>
      </c>
      <c r="F224" s="4" t="s">
        <v>17</v>
      </c>
      <c r="G224" s="1" t="s">
        <v>18</v>
      </c>
      <c r="H224" s="1" t="s">
        <v>19</v>
      </c>
      <c r="I224" s="1" t="s">
        <v>20</v>
      </c>
      <c r="J224" s="1" t="s">
        <v>986</v>
      </c>
      <c r="K224" s="1" t="s">
        <v>22</v>
      </c>
      <c r="L224" s="1" t="str">
        <f>HYPERLINK("https://files.afu.se/Downloads/Transcripts/0%20-%20Government/USA%20-%20NASA%20Johnson/2021 07 30 - NASA Johnson - Space to Ground  Rosie the Rocketeer  07 30 2021_jGfGLvwiWmU - transcript (automated).pdf","Transcript Link")</f>
        <v>Transcript Link</v>
      </c>
      <c r="M224" s="2" t="str">
        <f>HYPERLINK("https://files.afu.se/Downloads/Transcripts/0%20-%20Government/USA%20-%20NASA%20Johnson/2021 07 30 - NASA Johnson - Space to Ground  Rosie the Rocketeer  07 30 2021_jGfGLvwiWmU - transcript (automated).pdf","Transcript Link")</f>
        <v>Transcript Link</v>
      </c>
    </row>
    <row r="225" ht="180" spans="1:13">
      <c r="A225" s="1" t="s">
        <v>987</v>
      </c>
      <c r="B225" s="1" t="s">
        <v>13</v>
      </c>
      <c r="C225" s="4" t="s">
        <v>988</v>
      </c>
      <c r="D225" s="1" t="s">
        <v>989</v>
      </c>
      <c r="E225" s="1" t="s">
        <v>990</v>
      </c>
      <c r="F225" s="4" t="s">
        <v>17</v>
      </c>
      <c r="G225" s="1" t="s">
        <v>18</v>
      </c>
      <c r="H225" s="1" t="s">
        <v>19</v>
      </c>
      <c r="I225" s="1" t="s">
        <v>20</v>
      </c>
      <c r="J225" s="1" t="s">
        <v>991</v>
      </c>
      <c r="K225" s="1" t="s">
        <v>22</v>
      </c>
      <c r="L225" s="1" t="str">
        <f>HYPERLINK("https://files.afu.se/Downloads/Transcripts/0%20-%20Government/USA%20-%20NASA%20Johnson/2021 07 23 - NASA Johnson - NASA SUITS (Spacesuit User Interface Technologies for Students)_QObPAufIJwQ - transcript (automated).pdf","Transcript Link")</f>
        <v>Transcript Link</v>
      </c>
      <c r="M225" s="2" t="str">
        <f>HYPERLINK("https://files.afu.se/Downloads/Transcripts/0%20-%20Government/USA%20-%20NASA%20Johnson/2021 07 23 - NASA Johnson - NASA SUITS (Spacesuit User Interface Technologies for Students)_QObPAufIJwQ - transcript (automated).pdf","Transcript Link")</f>
        <v>Transcript Link</v>
      </c>
    </row>
    <row r="226" ht="300" spans="1:13">
      <c r="A226" s="1" t="s">
        <v>987</v>
      </c>
      <c r="B226" s="1" t="s">
        <v>13</v>
      </c>
      <c r="C226" s="4" t="s">
        <v>992</v>
      </c>
      <c r="D226" s="1" t="s">
        <v>993</v>
      </c>
      <c r="E226" s="1" t="s">
        <v>31</v>
      </c>
      <c r="F226" s="4" t="s">
        <v>17</v>
      </c>
      <c r="G226" s="1" t="s">
        <v>18</v>
      </c>
      <c r="H226" s="1" t="s">
        <v>19</v>
      </c>
      <c r="I226" s="1" t="s">
        <v>20</v>
      </c>
      <c r="J226" s="1" t="s">
        <v>994</v>
      </c>
      <c r="K226" s="1" t="s">
        <v>22</v>
      </c>
      <c r="L226" s="1" t="str">
        <f>HYPERLINK("https://files.afu.se/Downloads/Transcripts/0%20-%20Government/USA%20-%20NASA%20Johnson/2021 07 23 - NASA Johnson - Space to Ground  Cool Flames  07 23 2021_4q8yN1bSsr8 - transcript (automated).pdf","Transcript Link")</f>
        <v>Transcript Link</v>
      </c>
      <c r="M226" s="2" t="str">
        <f>HYPERLINK("https://files.afu.se/Downloads/Transcripts/0%20-%20Government/USA%20-%20NASA%20Johnson/2021 07 23 - NASA Johnson - Space to Ground  Cool Flames  07 23 2021_4q8yN1bSsr8 - transcript (automated).pdf","Transcript Link")</f>
        <v>Transcript Link</v>
      </c>
    </row>
    <row r="227" ht="180" spans="1:13">
      <c r="A227" s="1" t="s">
        <v>995</v>
      </c>
      <c r="B227" s="1" t="s">
        <v>13</v>
      </c>
      <c r="C227" s="4" t="s">
        <v>996</v>
      </c>
      <c r="D227" s="1" t="s">
        <v>997</v>
      </c>
      <c r="E227" s="1" t="s">
        <v>998</v>
      </c>
      <c r="F227" s="4" t="s">
        <v>17</v>
      </c>
      <c r="G227" s="1" t="s">
        <v>18</v>
      </c>
      <c r="H227" s="1" t="s">
        <v>19</v>
      </c>
      <c r="I227" s="1" t="s">
        <v>20</v>
      </c>
      <c r="J227" s="1" t="s">
        <v>999</v>
      </c>
      <c r="K227" s="1" t="s">
        <v>22</v>
      </c>
      <c r="L227" s="1" t="str">
        <f>HYPERLINK("https://files.afu.se/Downloads/Transcripts/0%20-%20Government/USA%20-%20NASA%20Johnson/2021 07 20 - NASA Johnson - Celebrating 20 Years of International Space Station Spacewalks_ChtE0EW6MlY - transcript (automated).pdf","Transcript Link")</f>
        <v>Transcript Link</v>
      </c>
      <c r="M227" s="2" t="str">
        <f>HYPERLINK("https://files.afu.se/Downloads/Transcripts/0%20-%20Government/USA%20-%20NASA%20Johnson/2021 07 20 - NASA Johnson - Celebrating 20 Years of International Space Station Spacewalks_ChtE0EW6MlY - transcript (automated).pdf","Transcript Link")</f>
        <v>Transcript Link</v>
      </c>
    </row>
    <row r="228" ht="300" spans="1:13">
      <c r="A228" s="1" t="s">
        <v>1000</v>
      </c>
      <c r="B228" s="1" t="s">
        <v>13</v>
      </c>
      <c r="C228" s="4" t="s">
        <v>1001</v>
      </c>
      <c r="D228" s="1" t="s">
        <v>1002</v>
      </c>
      <c r="E228" s="1" t="s">
        <v>31</v>
      </c>
      <c r="F228" s="4" t="s">
        <v>17</v>
      </c>
      <c r="G228" s="1" t="s">
        <v>18</v>
      </c>
      <c r="H228" s="1" t="s">
        <v>19</v>
      </c>
      <c r="I228" s="1" t="s">
        <v>20</v>
      </c>
      <c r="J228" s="1" t="s">
        <v>1003</v>
      </c>
      <c r="K228" s="1" t="s">
        <v>22</v>
      </c>
      <c r="L228" s="1" t="str">
        <f>HYPERLINK("https://files.afu.se/Downloads/Transcripts/0%20-%20Government/USA%20-%20NASA%20Johnson/2021 07 16 - NASA Johnson - Space to Ground  Water Bears in Space  07 16 2021_a4YPLFJCh1U - transcript (automated).pdf","Transcript Link")</f>
        <v>Transcript Link</v>
      </c>
      <c r="M228" s="2" t="str">
        <f>HYPERLINK("https://files.afu.se/Downloads/Transcripts/0%20-%20Government/USA%20-%20NASA%20Johnson/2021 07 16 - NASA Johnson - Space to Ground  Water Bears in Space  07 16 2021_a4YPLFJCh1U - transcript (automated).pdf","Transcript Link")</f>
        <v>Transcript Link</v>
      </c>
    </row>
    <row r="229" ht="300" spans="1:13">
      <c r="A229" s="1" t="s">
        <v>1004</v>
      </c>
      <c r="B229" s="1" t="s">
        <v>13</v>
      </c>
      <c r="C229" s="4" t="s">
        <v>1005</v>
      </c>
      <c r="D229" s="1" t="s">
        <v>1006</v>
      </c>
      <c r="E229" s="1" t="s">
        <v>31</v>
      </c>
      <c r="F229" s="4" t="s">
        <v>17</v>
      </c>
      <c r="G229" s="1" t="s">
        <v>18</v>
      </c>
      <c r="H229" s="1" t="s">
        <v>19</v>
      </c>
      <c r="I229" s="1" t="s">
        <v>20</v>
      </c>
      <c r="J229" s="1" t="s">
        <v>1007</v>
      </c>
      <c r="K229" s="1" t="s">
        <v>22</v>
      </c>
      <c r="L229" s="1" t="str">
        <f>HYPERLINK("https://files.afu.se/Downloads/Transcripts/0%20-%20Government/USA%20-%20NASA%20Johnson/2021 07 09 - NASA Johnson - Space to Ground  Healthy Eating  07 09 2021_WKLkbtal_kw - transcript (automated).pdf","Transcript Link")</f>
        <v>Transcript Link</v>
      </c>
      <c r="M229" s="2" t="str">
        <f>HYPERLINK("https://files.afu.se/Downloads/Transcripts/0%20-%20Government/USA%20-%20NASA%20Johnson/2021 07 09 - NASA Johnson - Space to Ground  Healthy Eating  07 09 2021_WKLkbtal_kw - transcript (automated).pdf","Transcript Link")</f>
        <v>Transcript Link</v>
      </c>
    </row>
    <row r="230" ht="300" spans="1:13">
      <c r="A230" s="1" t="s">
        <v>1008</v>
      </c>
      <c r="B230" s="1" t="s">
        <v>13</v>
      </c>
      <c r="C230" s="4" t="s">
        <v>1009</v>
      </c>
      <c r="D230" s="1" t="s">
        <v>1010</v>
      </c>
      <c r="E230" s="1" t="s">
        <v>31</v>
      </c>
      <c r="F230" s="4" t="s">
        <v>17</v>
      </c>
      <c r="G230" s="1" t="s">
        <v>18</v>
      </c>
      <c r="H230" s="1" t="s">
        <v>19</v>
      </c>
      <c r="I230" s="1" t="s">
        <v>20</v>
      </c>
      <c r="J230" s="1" t="s">
        <v>1011</v>
      </c>
      <c r="K230" s="1" t="s">
        <v>22</v>
      </c>
      <c r="L230" s="1" t="str">
        <f>HYPERLINK("https://files.afu.se/Downloads/Transcripts/0%20-%20Government/USA%20-%20NASA%20Johnson/2021 07 02 - NASA Johnson - Space to Ground  At the Midpoint  07 02 2021_wRP0D3zV0MQ - transcript (automated).pdf","Transcript Link")</f>
        <v>Transcript Link</v>
      </c>
      <c r="M230" s="2" t="str">
        <f>HYPERLINK("https://files.afu.se/Downloads/Transcripts/0%20-%20Government/USA%20-%20NASA%20Johnson/2021 07 02 - NASA Johnson - Space to Ground  At the Midpoint  07 02 2021_wRP0D3zV0MQ - transcript (automated).pdf","Transcript Link")</f>
        <v>Transcript Link</v>
      </c>
    </row>
    <row r="231" ht="300" spans="1:13">
      <c r="A231" s="1" t="s">
        <v>1012</v>
      </c>
      <c r="B231" s="1" t="s">
        <v>13</v>
      </c>
      <c r="C231" s="4" t="s">
        <v>1013</v>
      </c>
      <c r="D231" s="1" t="s">
        <v>1014</v>
      </c>
      <c r="E231" s="1" t="s">
        <v>31</v>
      </c>
      <c r="F231" s="4" t="s">
        <v>17</v>
      </c>
      <c r="G231" s="1" t="s">
        <v>18</v>
      </c>
      <c r="H231" s="1" t="s">
        <v>19</v>
      </c>
      <c r="I231" s="1" t="s">
        <v>20</v>
      </c>
      <c r="J231" s="1" t="s">
        <v>1015</v>
      </c>
      <c r="K231" s="1" t="s">
        <v>22</v>
      </c>
      <c r="L231" s="1" t="str">
        <f>HYPERLINK("https://files.afu.se/Downloads/Transcripts/0%20-%20Government/USA%20-%20NASA%20Johnson/2021 06 25 - NASA Johnson - Space to Ground  Power Installation  06 25 2021_dmPebTPP1X8 - transcript (automated).pdf","Transcript Link")</f>
        <v>Transcript Link</v>
      </c>
      <c r="M231" s="2" t="str">
        <f>HYPERLINK("https://files.afu.se/Downloads/Transcripts/0%20-%20Government/USA%20-%20NASA%20Johnson/2021 06 25 - NASA Johnson - Space to Ground  Power Installation  06 25 2021_dmPebTPP1X8 - transcript (automated).pdf","Transcript Link")</f>
        <v>Transcript Link</v>
      </c>
    </row>
    <row r="232" ht="180" spans="1:13">
      <c r="A232" s="1" t="s">
        <v>1016</v>
      </c>
      <c r="B232" s="1" t="s">
        <v>13</v>
      </c>
      <c r="C232" s="4" t="s">
        <v>1017</v>
      </c>
      <c r="D232" s="1" t="s">
        <v>1018</v>
      </c>
      <c r="E232" s="1" t="s">
        <v>1019</v>
      </c>
      <c r="F232" s="4" t="s">
        <v>17</v>
      </c>
      <c r="G232" s="1" t="s">
        <v>18</v>
      </c>
      <c r="H232" s="1" t="s">
        <v>19</v>
      </c>
      <c r="I232" s="1" t="s">
        <v>20</v>
      </c>
      <c r="J232" s="1" t="s">
        <v>1020</v>
      </c>
      <c r="K232" s="1" t="s">
        <v>22</v>
      </c>
      <c r="L232" s="1" t="str">
        <f>HYPERLINK("https://files.afu.se/Downloads/Transcripts/0%20-%20Government/USA%20-%20NASA%20Johnson/2021 06 22 - NASA Johnson - Artemis  Inside the Latest Achievements - Episode 28_25DlQOwWhk0 - transcript (automated).pdf","Transcript Link")</f>
        <v>Transcript Link</v>
      </c>
      <c r="M232" s="2" t="str">
        <f>HYPERLINK("https://files.afu.se/Downloads/Transcripts/0%20-%20Government/USA%20-%20NASA%20Johnson/2021 06 22 - NASA Johnson - Artemis  Inside the Latest Achievements - Episode 28_25DlQOwWhk0 - transcript (automated).pdf","Transcript Link")</f>
        <v>Transcript Link</v>
      </c>
    </row>
    <row r="233" ht="225" spans="1:13">
      <c r="A233" s="1" t="s">
        <v>1021</v>
      </c>
      <c r="B233" s="1" t="s">
        <v>13</v>
      </c>
      <c r="C233" s="4" t="s">
        <v>1022</v>
      </c>
      <c r="D233" s="1" t="s">
        <v>1023</v>
      </c>
      <c r="E233" s="1" t="s">
        <v>1024</v>
      </c>
      <c r="F233" s="4" t="s">
        <v>17</v>
      </c>
      <c r="G233" s="1" t="s">
        <v>18</v>
      </c>
      <c r="H233" s="1" t="s">
        <v>19</v>
      </c>
      <c r="I233" s="1" t="s">
        <v>20</v>
      </c>
      <c r="J233" s="1" t="s">
        <v>1025</v>
      </c>
      <c r="K233" s="1" t="s">
        <v>22</v>
      </c>
      <c r="L233" s="1" t="str">
        <f>HYPERLINK("https://files.afu.se/Downloads/Transcripts/0%20-%20Government/USA%20-%20NASA%20Johnson/2021 06 18 - NASA Johnson - Houston We Have a Podcast  Liftoff Live_bc3_IC_5P_I - transcript (automated).pdf","Transcript Link")</f>
        <v>Transcript Link</v>
      </c>
      <c r="M233" s="2" t="str">
        <f>HYPERLINK("https://files.afu.se/Downloads/Transcripts/0%20-%20Government/USA%20-%20NASA%20Johnson/2021 06 18 - NASA Johnson - Houston We Have a Podcast  Liftoff Live_bc3_IC_5P_I - transcript (automated).pdf","Transcript Link")</f>
        <v>Transcript Link</v>
      </c>
    </row>
    <row r="234" ht="300" spans="1:13">
      <c r="A234" s="1" t="s">
        <v>1021</v>
      </c>
      <c r="B234" s="1" t="s">
        <v>13</v>
      </c>
      <c r="C234" s="4" t="s">
        <v>1026</v>
      </c>
      <c r="D234" s="1" t="s">
        <v>1027</v>
      </c>
      <c r="E234" s="1" t="s">
        <v>31</v>
      </c>
      <c r="F234" s="4" t="s">
        <v>17</v>
      </c>
      <c r="G234" s="1" t="s">
        <v>18</v>
      </c>
      <c r="H234" s="1" t="s">
        <v>19</v>
      </c>
      <c r="I234" s="1" t="s">
        <v>20</v>
      </c>
      <c r="J234" s="1" t="s">
        <v>1028</v>
      </c>
      <c r="K234" s="1" t="s">
        <v>22</v>
      </c>
      <c r="L234" s="1" t="str">
        <f>HYPERLINK("https://files.afu.se/Downloads/Transcripts/0%20-%20Government/USA%20-%20NASA%20Johnson/2021 06 18 - NASA Johnson - Space to Ground  iROSA Spacewalk  06 18 2021_pKAlwrvC44w - transcript (automated).pdf","Transcript Link")</f>
        <v>Transcript Link</v>
      </c>
      <c r="M234" s="2" t="str">
        <f>HYPERLINK("https://files.afu.se/Downloads/Transcripts/0%20-%20Government/USA%20-%20NASA%20Johnson/2021 06 18 - NASA Johnson - Space to Ground  iROSA Spacewalk  06 18 2021_pKAlwrvC44w - transcript (automated).pdf","Transcript Link")</f>
        <v>Transcript Link</v>
      </c>
    </row>
    <row r="235" ht="270" spans="1:13">
      <c r="A235" s="1" t="s">
        <v>1029</v>
      </c>
      <c r="B235" s="1" t="s">
        <v>13</v>
      </c>
      <c r="C235" s="4" t="s">
        <v>1030</v>
      </c>
      <c r="D235" s="1" t="s">
        <v>1031</v>
      </c>
      <c r="E235" s="1" t="s">
        <v>1032</v>
      </c>
      <c r="F235" s="4" t="s">
        <v>17</v>
      </c>
      <c r="G235" s="1" t="s">
        <v>18</v>
      </c>
      <c r="H235" s="1" t="s">
        <v>19</v>
      </c>
      <c r="I235" s="1" t="s">
        <v>20</v>
      </c>
      <c r="J235" s="1" t="s">
        <v>1033</v>
      </c>
      <c r="K235" s="1" t="s">
        <v>22</v>
      </c>
      <c r="L235" s="1" t="str">
        <f>HYPERLINK("https://files.afu.se/Downloads/Transcripts/0%20-%20Government/USA%20-%20NASA%20Johnson/2021 06 14 - NASA Johnson - Expedition 65 Shane Kimbrough Discusses  IROSAs Spacewalk - June 14, 2021_GSzG_zbrOMk - transcript (automated).pdf","Transcript Link")</f>
        <v>Transcript Link</v>
      </c>
      <c r="M235" s="2" t="str">
        <f>HYPERLINK("https://files.afu.se/Downloads/Transcripts/0%20-%20Government/USA%20-%20NASA%20Johnson/2021 06 14 - NASA Johnson - Expedition 65 Shane Kimbrough Discusses  IROSAs Spacewalk - June 14, 2021_GSzG_zbrOMk - transcript (automated).pdf","Transcript Link")</f>
        <v>Transcript Link</v>
      </c>
    </row>
    <row r="236" ht="375" spans="1:13">
      <c r="A236" s="1" t="s">
        <v>1034</v>
      </c>
      <c r="B236" s="1" t="s">
        <v>13</v>
      </c>
      <c r="C236" s="4" t="s">
        <v>1035</v>
      </c>
      <c r="D236" s="1" t="s">
        <v>1036</v>
      </c>
      <c r="E236" s="1" t="s">
        <v>1037</v>
      </c>
      <c r="F236" s="4" t="s">
        <v>17</v>
      </c>
      <c r="G236" s="1" t="s">
        <v>18</v>
      </c>
      <c r="H236" s="1" t="s">
        <v>19</v>
      </c>
      <c r="I236" s="1" t="s">
        <v>20</v>
      </c>
      <c r="J236" s="1" t="s">
        <v>1038</v>
      </c>
      <c r="K236" s="1" t="s">
        <v>22</v>
      </c>
      <c r="L236" s="1" t="str">
        <f>HYPERLINK("https://files.afu.se/Downloads/Transcripts/0%20-%20Government/USA%20-%20NASA%20Johnson/2021 06 11 - NASA Johnson - Space to Ground  A Plethora of New Science  06 11 2021_sIz3rMMAmAM - transcript (automated).pdf","Transcript Link")</f>
        <v>Transcript Link</v>
      </c>
      <c r="M236" s="2" t="str">
        <f>HYPERLINK("https://files.afu.se/Downloads/Transcripts/0%20-%20Government/USA%20-%20NASA%20Johnson/2021 06 11 - NASA Johnson - Space to Ground  A Plethora of New Science  06 11 2021_sIz3rMMAmAM - transcript (automated).pdf","Transcript Link")</f>
        <v>Transcript Link</v>
      </c>
    </row>
    <row r="237" ht="300" spans="1:13">
      <c r="A237" s="1" t="s">
        <v>1039</v>
      </c>
      <c r="B237" s="1" t="s">
        <v>13</v>
      </c>
      <c r="C237" s="4" t="s">
        <v>1040</v>
      </c>
      <c r="D237" s="1" t="s">
        <v>1041</v>
      </c>
      <c r="E237" s="1" t="s">
        <v>31</v>
      </c>
      <c r="F237" s="4" t="s">
        <v>17</v>
      </c>
      <c r="G237" s="1" t="s">
        <v>18</v>
      </c>
      <c r="H237" s="1" t="s">
        <v>19</v>
      </c>
      <c r="I237" s="1" t="s">
        <v>20</v>
      </c>
      <c r="J237" s="1" t="s">
        <v>1042</v>
      </c>
      <c r="K237" s="1" t="s">
        <v>22</v>
      </c>
      <c r="L237" s="1" t="str">
        <f>HYPERLINK("https://files.afu.se/Downloads/Transcripts/0%20-%20Government/USA%20-%20NASA%20Johnson/2021 06 04 - NASA Johnson - Space to Ground  In Open Space  06 04 2021_dbq-PoXc6vA - transcript (automated).pdf","Transcript Link")</f>
        <v>Transcript Link</v>
      </c>
      <c r="M237" s="2" t="str">
        <f>HYPERLINK("https://files.afu.se/Downloads/Transcripts/0%20-%20Government/USA%20-%20NASA%20Johnson/2021 06 04 - NASA Johnson - Space to Ground  In Open Space  06 04 2021_dbq-PoXc6vA - transcript (automated).pdf","Transcript Link")</f>
        <v>Transcript Link</v>
      </c>
    </row>
    <row r="238" ht="180" spans="1:13">
      <c r="A238" s="1" t="s">
        <v>1043</v>
      </c>
      <c r="B238" s="1" t="s">
        <v>13</v>
      </c>
      <c r="C238" s="4" t="s">
        <v>1044</v>
      </c>
      <c r="D238" s="1" t="s">
        <v>1045</v>
      </c>
      <c r="E238" s="1" t="s">
        <v>1046</v>
      </c>
      <c r="F238" s="4" t="s">
        <v>17</v>
      </c>
      <c r="G238" s="1" t="s">
        <v>18</v>
      </c>
      <c r="H238" s="1" t="s">
        <v>19</v>
      </c>
      <c r="I238" s="1" t="s">
        <v>20</v>
      </c>
      <c r="J238" s="1" t="s">
        <v>1047</v>
      </c>
      <c r="K238" s="1" t="s">
        <v>22</v>
      </c>
      <c r="L238" s="1" t="str">
        <f>HYPERLINK("https://files.afu.se/Downloads/Transcripts/0%20-%20Government/USA%20-%20NASA%20Johnson/2021 06 02 - NASA Johnson - NASA’s Neutral Buoyancy Laboratory 360 Tour_NqeC0AnU-Ng - transcript (automated).pdf","Transcript Link")</f>
        <v>Transcript Link</v>
      </c>
      <c r="M238" s="2" t="str">
        <f>HYPERLINK("https://files.afu.se/Downloads/Transcripts/0%20-%20Government/USA%20-%20NASA%20Johnson/2021 06 02 - NASA Johnson - NASA’s Neutral Buoyancy Laboratory 360 Tour_NqeC0AnU-Ng - transcript (automated).pdf","Transcript Link")</f>
        <v>Transcript Link</v>
      </c>
    </row>
    <row r="239" ht="300" spans="1:13">
      <c r="A239" s="1" t="s">
        <v>1048</v>
      </c>
      <c r="B239" s="1" t="s">
        <v>13</v>
      </c>
      <c r="C239" s="4" t="s">
        <v>1049</v>
      </c>
      <c r="D239" s="1" t="s">
        <v>1050</v>
      </c>
      <c r="E239" s="1" t="s">
        <v>31</v>
      </c>
      <c r="F239" s="4" t="s">
        <v>17</v>
      </c>
      <c r="G239" s="1" t="s">
        <v>18</v>
      </c>
      <c r="H239" s="1" t="s">
        <v>19</v>
      </c>
      <c r="I239" s="1" t="s">
        <v>20</v>
      </c>
      <c r="J239" s="1" t="s">
        <v>1051</v>
      </c>
      <c r="K239" s="1" t="s">
        <v>22</v>
      </c>
      <c r="L239" s="1" t="str">
        <f>HYPERLINK("https://files.afu.se/Downloads/Transcripts/0%20-%20Government/USA%20-%20NASA%20Johnson/2021 05 28 - NASA Johnson - Space to Ground  Preparing for Nauka  05 28 2021_7pqZWhpvfGI - transcript (automated).pdf","Transcript Link")</f>
        <v>Transcript Link</v>
      </c>
      <c r="M239" s="2" t="str">
        <f>HYPERLINK("https://files.afu.se/Downloads/Transcripts/0%20-%20Government/USA%20-%20NASA%20Johnson/2021 05 28 - NASA Johnson - Space to Ground  Preparing for Nauka  05 28 2021_7pqZWhpvfGI - transcript (automated).pdf","Transcript Link")</f>
        <v>Transcript Link</v>
      </c>
    </row>
    <row r="240" ht="300" spans="1:13">
      <c r="A240" s="1" t="s">
        <v>1052</v>
      </c>
      <c r="B240" s="1" t="s">
        <v>13</v>
      </c>
      <c r="C240" s="4" t="s">
        <v>1053</v>
      </c>
      <c r="D240" s="1" t="s">
        <v>1054</v>
      </c>
      <c r="E240" s="1" t="s">
        <v>31</v>
      </c>
      <c r="F240" s="4" t="s">
        <v>17</v>
      </c>
      <c r="G240" s="1" t="s">
        <v>18</v>
      </c>
      <c r="H240" s="1" t="s">
        <v>19</v>
      </c>
      <c r="I240" s="1" t="s">
        <v>20</v>
      </c>
      <c r="J240" s="1" t="s">
        <v>1055</v>
      </c>
      <c r="K240" s="1" t="s">
        <v>22</v>
      </c>
      <c r="L240" s="1" t="str">
        <f>HYPERLINK("https://files.afu.se/Downloads/Transcripts/0%20-%20Government/USA%20-%20NASA%20Johnson/2021 05 21 - NASA Johnson - Space to Ground  Crew Call  05 21 2021_vNGyfB8ex60 - transcript (automated).pdf","Transcript Link")</f>
        <v>Transcript Link</v>
      </c>
      <c r="M240" s="2" t="str">
        <f>HYPERLINK("https://files.afu.se/Downloads/Transcripts/0%20-%20Government/USA%20-%20NASA%20Johnson/2021 05 21 - NASA Johnson - Space to Ground  Crew Call  05 21 2021_vNGyfB8ex60 - transcript (automated).pdf","Transcript Link")</f>
        <v>Transcript Link</v>
      </c>
    </row>
    <row r="241" ht="285" spans="1:13">
      <c r="A241" s="1" t="s">
        <v>1056</v>
      </c>
      <c r="B241" s="1" t="s">
        <v>13</v>
      </c>
      <c r="C241" s="4" t="s">
        <v>1057</v>
      </c>
      <c r="D241" s="1" t="s">
        <v>1058</v>
      </c>
      <c r="E241" s="1" t="s">
        <v>1059</v>
      </c>
      <c r="F241" s="4" t="s">
        <v>17</v>
      </c>
      <c r="G241" s="1" t="s">
        <v>18</v>
      </c>
      <c r="H241" s="1" t="s">
        <v>19</v>
      </c>
      <c r="I241" s="1" t="s">
        <v>20</v>
      </c>
      <c r="J241" s="1" t="s">
        <v>1060</v>
      </c>
      <c r="K241" s="1" t="s">
        <v>22</v>
      </c>
      <c r="L241" s="1" t="str">
        <f>HYPERLINK("https://files.afu.se/Downloads/Transcripts/0%20-%20Government/USA%20-%20NASA%20Johnson/2021 05 16 - NASA Johnson - Kate Rubins - Scientist in Space_yeWVZWgU4bQ - transcript (automated).pdf","Transcript Link")</f>
        <v>Transcript Link</v>
      </c>
      <c r="M241" s="2" t="str">
        <f>HYPERLINK("https://files.afu.se/Downloads/Transcripts/0%20-%20Government/USA%20-%20NASA%20Johnson/2021 05 16 - NASA Johnson - Kate Rubins - Scientist in Space_yeWVZWgU4bQ - transcript (automated).pdf","Transcript Link")</f>
        <v>Transcript Link</v>
      </c>
    </row>
    <row r="242" ht="255" spans="1:13">
      <c r="A242" s="1" t="s">
        <v>1061</v>
      </c>
      <c r="B242" s="1" t="s">
        <v>13</v>
      </c>
      <c r="C242" s="4" t="s">
        <v>1062</v>
      </c>
      <c r="D242" s="1" t="s">
        <v>1063</v>
      </c>
      <c r="E242" s="1" t="s">
        <v>1064</v>
      </c>
      <c r="F242" s="4" t="s">
        <v>17</v>
      </c>
      <c r="G242" s="1" t="s">
        <v>18</v>
      </c>
      <c r="H242" s="1" t="s">
        <v>19</v>
      </c>
      <c r="I242" s="1" t="s">
        <v>20</v>
      </c>
      <c r="J242" s="1" t="s">
        <v>1065</v>
      </c>
      <c r="K242" s="1" t="s">
        <v>22</v>
      </c>
      <c r="L242" s="1" t="str">
        <f>HYPERLINK("https://files.afu.se/Downloads/Transcripts/0%20-%20Government/USA%20-%20NASA%20Johnson/2021 05 14 - NASA Johnson - STEMonstrations  Earth Observations_SK8Pb5EjsrA - transcript (automated).pdf","Transcript Link")</f>
        <v>Transcript Link</v>
      </c>
      <c r="M242" s="2" t="str">
        <f>HYPERLINK("https://files.afu.se/Downloads/Transcripts/0%20-%20Government/USA%20-%20NASA%20Johnson/2021 05 14 - NASA Johnson - STEMonstrations  Earth Observations_SK8Pb5EjsrA - transcript (automated).pdf","Transcript Link")</f>
        <v>Transcript Link</v>
      </c>
    </row>
    <row r="243" ht="300" spans="1:13">
      <c r="A243" s="1" t="s">
        <v>1061</v>
      </c>
      <c r="B243" s="1" t="s">
        <v>13</v>
      </c>
      <c r="C243" s="4" t="s">
        <v>1066</v>
      </c>
      <c r="D243" s="1" t="s">
        <v>1067</v>
      </c>
      <c r="E243" s="1" t="s">
        <v>31</v>
      </c>
      <c r="F243" s="4" t="s">
        <v>17</v>
      </c>
      <c r="G243" s="1" t="s">
        <v>18</v>
      </c>
      <c r="H243" s="1" t="s">
        <v>19</v>
      </c>
      <c r="I243" s="1" t="s">
        <v>20</v>
      </c>
      <c r="J243" s="1" t="s">
        <v>1068</v>
      </c>
      <c r="K243" s="1" t="s">
        <v>22</v>
      </c>
      <c r="L243" s="1" t="str">
        <f>HYPERLINK("https://files.afu.se/Downloads/Transcripts/0%20-%20Government/USA%20-%20NASA%20Johnson/2021 05 14 - NASA Johnson - Space to Ground  Celestial Immunity  05 14 2021_5o-h9gx8U3Y - transcript (automated).pdf","Transcript Link")</f>
        <v>Transcript Link</v>
      </c>
      <c r="M243" s="2" t="str">
        <f>HYPERLINK("https://files.afu.se/Downloads/Transcripts/0%20-%20Government/USA%20-%20NASA%20Johnson/2021 05 14 - NASA Johnson - Space to Ground  Celestial Immunity  05 14 2021_5o-h9gx8U3Y - transcript (automated).pdf","Transcript Link")</f>
        <v>Transcript Link</v>
      </c>
    </row>
    <row r="244" ht="180" spans="1:13">
      <c r="A244" s="1" t="s">
        <v>1069</v>
      </c>
      <c r="B244" s="1" t="s">
        <v>13</v>
      </c>
      <c r="C244" s="4" t="s">
        <v>1070</v>
      </c>
      <c r="D244" s="1" t="s">
        <v>1071</v>
      </c>
      <c r="E244" s="1" t="s">
        <v>1072</v>
      </c>
      <c r="F244" s="4" t="s">
        <v>17</v>
      </c>
      <c r="G244" s="1" t="s">
        <v>18</v>
      </c>
      <c r="H244" s="1" t="s">
        <v>19</v>
      </c>
      <c r="I244" s="1" t="s">
        <v>20</v>
      </c>
      <c r="J244" s="1" t="s">
        <v>1073</v>
      </c>
      <c r="K244" s="1" t="s">
        <v>22</v>
      </c>
      <c r="L244" s="1" t="str">
        <f>HYPERLINK("https://files.afu.se/Downloads/Transcripts/0%20-%20Government/USA%20-%20NASA%20Johnson/2021 05 12 - NASA Johnson - Space Station Crew Talks with WeatherNation_JRk4LGSekXA - transcript (automated).pdf","Transcript Link")</f>
        <v>Transcript Link</v>
      </c>
      <c r="M244" s="2" t="str">
        <f>HYPERLINK("https://files.afu.se/Downloads/Transcripts/0%20-%20Government/USA%20-%20NASA%20Johnson/2021 05 12 - NASA Johnson - Space Station Crew Talks with WeatherNation_JRk4LGSekXA - transcript (automated).pdf","Transcript Link")</f>
        <v>Transcript Link</v>
      </c>
    </row>
    <row r="245" ht="195" spans="1:13">
      <c r="A245" s="1" t="s">
        <v>1074</v>
      </c>
      <c r="B245" s="1" t="s">
        <v>13</v>
      </c>
      <c r="C245" s="4" t="s">
        <v>1075</v>
      </c>
      <c r="D245" s="1" t="s">
        <v>1076</v>
      </c>
      <c r="E245" s="1" t="s">
        <v>1077</v>
      </c>
      <c r="F245" s="4" t="s">
        <v>17</v>
      </c>
      <c r="G245" s="1" t="s">
        <v>18</v>
      </c>
      <c r="H245" s="1" t="s">
        <v>19</v>
      </c>
      <c r="I245" s="1" t="s">
        <v>20</v>
      </c>
      <c r="J245" s="1" t="s">
        <v>1078</v>
      </c>
      <c r="K245" s="1" t="s">
        <v>22</v>
      </c>
      <c r="L245" s="1" t="str">
        <f>HYPERLINK("https://files.afu.se/Downloads/Transcripts/0%20-%20Government/USA%20-%20NASA%20Johnson/2021 05 07 - NASA Johnson - Space Station Images Trace Bird Migrations_Ds1cUlPEfv8 - transcript (automated).pdf","Transcript Link")</f>
        <v>Transcript Link</v>
      </c>
      <c r="M245" s="2" t="str">
        <f>HYPERLINK("https://files.afu.se/Downloads/Transcripts/0%20-%20Government/USA%20-%20NASA%20Johnson/2021 05 07 - NASA Johnson - Space Station Images Trace Bird Migrations_Ds1cUlPEfv8 - transcript (automated).pdf","Transcript Link")</f>
        <v>Transcript Link</v>
      </c>
    </row>
    <row r="246" ht="300" spans="1:13">
      <c r="A246" s="1" t="s">
        <v>1074</v>
      </c>
      <c r="B246" s="1" t="s">
        <v>13</v>
      </c>
      <c r="C246" s="4" t="s">
        <v>1079</v>
      </c>
      <c r="D246" s="1" t="s">
        <v>1080</v>
      </c>
      <c r="E246" s="1" t="s">
        <v>31</v>
      </c>
      <c r="F246" s="4" t="s">
        <v>17</v>
      </c>
      <c r="G246" s="1" t="s">
        <v>18</v>
      </c>
      <c r="H246" s="1" t="s">
        <v>19</v>
      </c>
      <c r="I246" s="1" t="s">
        <v>20</v>
      </c>
      <c r="J246" s="1" t="s">
        <v>1081</v>
      </c>
      <c r="K246" s="1" t="s">
        <v>22</v>
      </c>
      <c r="L246" s="1" t="str">
        <f>HYPERLINK("https://files.afu.se/Downloads/Transcripts/0%20-%20Government/USA%20-%20NASA%20Johnson/2021 05 07 - NASA Johnson - Space to Ground  Astro Beekeeping  05 07 2021_EMUyaIH7HaI - transcript (automated).pdf","Transcript Link")</f>
        <v>Transcript Link</v>
      </c>
      <c r="M246" s="2" t="str">
        <f>HYPERLINK("https://files.afu.se/Downloads/Transcripts/0%20-%20Government/USA%20-%20NASA%20Johnson/2021 05 07 - NASA Johnson - Space to Ground  Astro Beekeeping  05 07 2021_EMUyaIH7HaI - transcript (automated).pdf","Transcript Link")</f>
        <v>Transcript Link</v>
      </c>
    </row>
    <row r="247" ht="210" spans="1:13">
      <c r="A247" s="1" t="s">
        <v>1082</v>
      </c>
      <c r="B247" s="1" t="s">
        <v>13</v>
      </c>
      <c r="C247" s="4" t="s">
        <v>1083</v>
      </c>
      <c r="D247" s="1" t="s">
        <v>1084</v>
      </c>
      <c r="E247" s="1" t="s">
        <v>1085</v>
      </c>
      <c r="F247" s="4" t="s">
        <v>17</v>
      </c>
      <c r="G247" s="1" t="s">
        <v>18</v>
      </c>
      <c r="H247" s="1" t="s">
        <v>19</v>
      </c>
      <c r="I247" s="1" t="s">
        <v>20</v>
      </c>
      <c r="J247" s="1" t="s">
        <v>1086</v>
      </c>
      <c r="K247" s="1" t="s">
        <v>22</v>
      </c>
      <c r="L247" s="1" t="str">
        <f>HYPERLINK("https://files.afu.se/Downloads/Transcripts/0%20-%20Government/USA%20-%20NASA%20Johnson/2021 05 05 - NASA Johnson - The Day Alan Shepard Made American History_4ERV9n_VnW8 - transcript (automated).pdf","Transcript Link")</f>
        <v>Transcript Link</v>
      </c>
      <c r="M247" s="2" t="str">
        <f>HYPERLINK("https://files.afu.se/Downloads/Transcripts/0%20-%20Government/USA%20-%20NASA%20Johnson/2021 05 05 - NASA Johnson - The Day Alan Shepard Made American History_4ERV9n_VnW8 - transcript (automated).pdf","Transcript Link")</f>
        <v>Transcript Link</v>
      </c>
    </row>
    <row r="248" ht="300" spans="1:13">
      <c r="A248" s="1" t="s">
        <v>1087</v>
      </c>
      <c r="B248" s="1" t="s">
        <v>13</v>
      </c>
      <c r="C248" s="4" t="s">
        <v>1088</v>
      </c>
      <c r="D248" s="1" t="s">
        <v>1089</v>
      </c>
      <c r="E248" s="1" t="s">
        <v>31</v>
      </c>
      <c r="F248" s="4" t="s">
        <v>17</v>
      </c>
      <c r="G248" s="1" t="s">
        <v>18</v>
      </c>
      <c r="H248" s="1" t="s">
        <v>19</v>
      </c>
      <c r="I248" s="1" t="s">
        <v>20</v>
      </c>
      <c r="J248" s="1" t="s">
        <v>1090</v>
      </c>
      <c r="K248" s="1" t="s">
        <v>22</v>
      </c>
      <c r="L248" s="1" t="str">
        <f>HYPERLINK("https://files.afu.se/Downloads/Transcripts/0%20-%20Government/USA%20-%20NASA%20Johnson/2021 04 30 - NASA Johnson - Space to Ground  Endeavour and Resilience  04 30 2021_eJG6bdGlDK4 - transcript (automated).pdf","Transcript Link")</f>
        <v>Transcript Link</v>
      </c>
      <c r="M248" s="2" t="str">
        <f>HYPERLINK("https://files.afu.se/Downloads/Transcripts/0%20-%20Government/USA%20-%20NASA%20Johnson/2021 04 30 - NASA Johnson - Space to Ground  Endeavour and Resilience  04 30 2021_eJG6bdGlDK4 - transcript (automated).pdf","Transcript Link")</f>
        <v>Transcript Link</v>
      </c>
    </row>
    <row r="249" ht="300" spans="1:13">
      <c r="A249" s="1" t="s">
        <v>1091</v>
      </c>
      <c r="B249" s="1" t="s">
        <v>13</v>
      </c>
      <c r="C249" s="4" t="s">
        <v>1092</v>
      </c>
      <c r="D249" s="1" t="s">
        <v>1093</v>
      </c>
      <c r="E249" s="1" t="s">
        <v>31</v>
      </c>
      <c r="F249" s="4" t="s">
        <v>17</v>
      </c>
      <c r="G249" s="1" t="s">
        <v>18</v>
      </c>
      <c r="H249" s="1" t="s">
        <v>19</v>
      </c>
      <c r="I249" s="1" t="s">
        <v>20</v>
      </c>
      <c r="J249" s="1" t="s">
        <v>1094</v>
      </c>
      <c r="K249" s="1" t="s">
        <v>22</v>
      </c>
      <c r="L249" s="1" t="str">
        <f>HYPERLINK("https://files.afu.se/Downloads/Transcripts/0%20-%20Government/USA%20-%20NASA%20Johnson/2021 04 26 - NASA Johnson - Space to Ground  Crew-2  04 23 2021_kSzO79H9i8s - transcript (automated).pdf","Transcript Link")</f>
        <v>Transcript Link</v>
      </c>
      <c r="M249" s="2" t="str">
        <f>HYPERLINK("https://files.afu.se/Downloads/Transcripts/0%20-%20Government/USA%20-%20NASA%20Johnson/2021 04 26 - NASA Johnson - Space to Ground  Crew-2  04 23 2021_kSzO79H9i8s - transcript (automated).pdf","Transcript Link")</f>
        <v>Transcript Link</v>
      </c>
    </row>
    <row r="250" ht="375" spans="1:13">
      <c r="A250" s="1" t="s">
        <v>1091</v>
      </c>
      <c r="B250" s="1" t="s">
        <v>13</v>
      </c>
      <c r="C250" s="4" t="s">
        <v>1095</v>
      </c>
      <c r="D250" s="1" t="s">
        <v>1096</v>
      </c>
      <c r="E250" s="1" t="s">
        <v>1097</v>
      </c>
      <c r="F250" s="4" t="s">
        <v>17</v>
      </c>
      <c r="G250" s="1" t="s">
        <v>18</v>
      </c>
      <c r="H250" s="1" t="s">
        <v>19</v>
      </c>
      <c r="I250" s="1" t="s">
        <v>20</v>
      </c>
      <c r="J250" s="1" t="s">
        <v>1098</v>
      </c>
      <c r="K250" s="1" t="s">
        <v>22</v>
      </c>
      <c r="L250" s="1" t="str">
        <f>HYPERLINK("https://files.afu.se/Downloads/Transcripts/0%20-%20Government/USA%20-%20NASA%20Johnson/2021 04 26 - NASA Johnson - Crew-1 Astronauts Advance Research in Space_3uUJlNshAvk - transcript (automated).pdf","Transcript Link")</f>
        <v>Transcript Link</v>
      </c>
      <c r="M250" s="2" t="str">
        <f>HYPERLINK("https://files.afu.se/Downloads/Transcripts/0%20-%20Government/USA%20-%20NASA%20Johnson/2021 04 26 - NASA Johnson - Crew-1 Astronauts Advance Research in Space_3uUJlNshAvk - transcript (automated).pdf","Transcript Link")</f>
        <v>Transcript Link</v>
      </c>
    </row>
    <row r="251" ht="330" spans="1:13">
      <c r="A251" s="1" t="s">
        <v>1099</v>
      </c>
      <c r="B251" s="1" t="s">
        <v>13</v>
      </c>
      <c r="C251" s="4" t="s">
        <v>1100</v>
      </c>
      <c r="D251" s="1" t="s">
        <v>1101</v>
      </c>
      <c r="E251" s="1" t="s">
        <v>1102</v>
      </c>
      <c r="F251" s="4" t="s">
        <v>17</v>
      </c>
      <c r="G251" s="1" t="s">
        <v>18</v>
      </c>
      <c r="H251" s="1" t="s">
        <v>19</v>
      </c>
      <c r="I251" s="1" t="s">
        <v>20</v>
      </c>
      <c r="J251" s="1" t="s">
        <v>1103</v>
      </c>
      <c r="K251" s="1" t="s">
        <v>22</v>
      </c>
      <c r="L251" s="1" t="str">
        <f>HYPERLINK("https://files.afu.se/Downloads/Transcripts/0%20-%20Government/USA%20-%20NASA%20Johnson/2021 04 22 - NASA Johnson - 4K Earth Views Extended Cut for Earth Day 2021_ElxVZL526o8 - transcript (automated).pdf","Transcript Link")</f>
        <v>Transcript Link</v>
      </c>
      <c r="M251" s="2" t="str">
        <f>HYPERLINK("https://files.afu.se/Downloads/Transcripts/0%20-%20Government/USA%20-%20NASA%20Johnson/2021 04 22 - NASA Johnson - 4K Earth Views Extended Cut for Earth Day 2021_ElxVZL526o8 - transcript (automated).pdf","Transcript Link")</f>
        <v>Transcript Link</v>
      </c>
    </row>
    <row r="252" ht="180" spans="1:13">
      <c r="A252" s="1" t="s">
        <v>1104</v>
      </c>
      <c r="B252" s="1" t="s">
        <v>13</v>
      </c>
      <c r="C252" s="4" t="s">
        <v>1105</v>
      </c>
      <c r="D252" s="1" t="s">
        <v>1106</v>
      </c>
      <c r="E252" s="1" t="s">
        <v>1107</v>
      </c>
      <c r="F252" s="4" t="s">
        <v>17</v>
      </c>
      <c r="G252" s="1" t="s">
        <v>18</v>
      </c>
      <c r="H252" s="1" t="s">
        <v>19</v>
      </c>
      <c r="I252" s="1" t="s">
        <v>20</v>
      </c>
      <c r="J252" s="1" t="s">
        <v>1108</v>
      </c>
      <c r="K252" s="1" t="s">
        <v>22</v>
      </c>
      <c r="L252" s="1" t="str">
        <f>HYPERLINK("https://files.afu.se/Downloads/Transcripts/0%20-%20Government/USA%20-%20NASA%20Johnson/2021 04 21 - NASA Johnson - Crew-2 Mission Overview_2E3ufO03FWw - transcript (automated).pdf","Transcript Link")</f>
        <v>Transcript Link</v>
      </c>
      <c r="M252" s="2" t="str">
        <f>HYPERLINK("https://files.afu.se/Downloads/Transcripts/0%20-%20Government/USA%20-%20NASA%20Johnson/2021 04 21 - NASA Johnson - Crew-2 Mission Overview_2E3ufO03FWw - transcript (automated).pdf","Transcript Link")</f>
        <v>Transcript Link</v>
      </c>
    </row>
    <row r="253" ht="255" spans="1:13">
      <c r="A253" s="1" t="s">
        <v>1109</v>
      </c>
      <c r="B253" s="1" t="s">
        <v>13</v>
      </c>
      <c r="C253" s="4" t="s">
        <v>1110</v>
      </c>
      <c r="D253" s="1" t="s">
        <v>1111</v>
      </c>
      <c r="E253" s="1" t="s">
        <v>1112</v>
      </c>
      <c r="F253" s="4" t="s">
        <v>17</v>
      </c>
      <c r="G253" s="1" t="s">
        <v>18</v>
      </c>
      <c r="H253" s="1" t="s">
        <v>19</v>
      </c>
      <c r="I253" s="1" t="s">
        <v>20</v>
      </c>
      <c r="J253" s="1" t="s">
        <v>1113</v>
      </c>
      <c r="K253" s="1" t="s">
        <v>22</v>
      </c>
      <c r="L253" s="1" t="str">
        <f>HYPERLINK("https://files.afu.se/Downloads/Transcripts/0%20-%20Government/USA%20-%20NASA%20Johnson/2021 04 20 - NASA Johnson - Quick Questions with Crew-2_IF9tB0m6qF4 - transcript (automated).pdf","Transcript Link")</f>
        <v>Transcript Link</v>
      </c>
      <c r="M253" s="2" t="str">
        <f>HYPERLINK("https://files.afu.se/Downloads/Transcripts/0%20-%20Government/USA%20-%20NASA%20Johnson/2021 04 20 - NASA Johnson - Quick Questions with Crew-2_IF9tB0m6qF4 - transcript (automated).pdf","Transcript Link")</f>
        <v>Transcript Link</v>
      </c>
    </row>
    <row r="254" ht="225" spans="1:13">
      <c r="A254" s="1" t="s">
        <v>1114</v>
      </c>
      <c r="B254" s="1" t="s">
        <v>13</v>
      </c>
      <c r="C254" s="4" t="s">
        <v>1115</v>
      </c>
      <c r="D254" s="1" t="s">
        <v>1116</v>
      </c>
      <c r="E254" s="1" t="s">
        <v>1117</v>
      </c>
      <c r="F254" s="4" t="s">
        <v>17</v>
      </c>
      <c r="G254" s="1" t="s">
        <v>18</v>
      </c>
      <c r="H254" s="1" t="s">
        <v>19</v>
      </c>
      <c r="I254" s="1" t="s">
        <v>20</v>
      </c>
      <c r="J254" s="1" t="s">
        <v>1118</v>
      </c>
      <c r="K254" s="1" t="s">
        <v>22</v>
      </c>
      <c r="L254" s="1" t="str">
        <f>HYPERLINK("https://files.afu.se/Downloads/Transcripts/0%20-%20Government/USA%20-%20NASA%20Johnson/2021 04 16 - NASA Johnson - Know Your Crew...Two!_lbdsp3U3sAI - transcript (automated).pdf","Transcript Link")</f>
        <v>Transcript Link</v>
      </c>
      <c r="M254" s="2" t="str">
        <f>HYPERLINK("https://files.afu.se/Downloads/Transcripts/0%20-%20Government/USA%20-%20NASA%20Johnson/2021 04 16 - NASA Johnson - Know Your Crew...Two!_lbdsp3U3sAI - transcript (automated).pdf","Transcript Link")</f>
        <v>Transcript Link</v>
      </c>
    </row>
    <row r="255" ht="300" spans="1:13">
      <c r="A255" s="1" t="s">
        <v>1114</v>
      </c>
      <c r="B255" s="1" t="s">
        <v>13</v>
      </c>
      <c r="C255" s="4" t="s">
        <v>1119</v>
      </c>
      <c r="D255" s="1" t="s">
        <v>1120</v>
      </c>
      <c r="E255" s="1" t="s">
        <v>31</v>
      </c>
      <c r="F255" s="4" t="s">
        <v>17</v>
      </c>
      <c r="G255" s="1" t="s">
        <v>18</v>
      </c>
      <c r="H255" s="1" t="s">
        <v>19</v>
      </c>
      <c r="I255" s="1" t="s">
        <v>20</v>
      </c>
      <c r="J255" s="1" t="s">
        <v>1121</v>
      </c>
      <c r="K255" s="1" t="s">
        <v>22</v>
      </c>
      <c r="L255" s="1" t="str">
        <f>HYPERLINK("https://files.afu.se/Downloads/Transcripts/0%20-%20Government/USA%20-%20NASA%20Johnson/2021 04 16 - NASA Johnson - Space to Ground  Signing Out  04 16 2021_3ElOSYwXmxg - transcript (automated).pdf","Transcript Link")</f>
        <v>Transcript Link</v>
      </c>
      <c r="M255" s="2" t="str">
        <f>HYPERLINK("https://files.afu.se/Downloads/Transcripts/0%20-%20Government/USA%20-%20NASA%20Johnson/2021 04 16 - NASA Johnson - Space to Ground  Signing Out  04 16 2021_3ElOSYwXmxg - transcript (automated).pdf","Transcript Link")</f>
        <v>Transcript Link</v>
      </c>
    </row>
    <row r="256" ht="255" spans="1:13">
      <c r="A256" s="1" t="s">
        <v>1122</v>
      </c>
      <c r="B256" s="1" t="s">
        <v>13</v>
      </c>
      <c r="C256" s="4" t="s">
        <v>1123</v>
      </c>
      <c r="D256" s="1" t="s">
        <v>1124</v>
      </c>
      <c r="E256" s="1" t="s">
        <v>1125</v>
      </c>
      <c r="F256" s="4" t="s">
        <v>17</v>
      </c>
      <c r="G256" s="1" t="s">
        <v>18</v>
      </c>
      <c r="H256" s="1" t="s">
        <v>19</v>
      </c>
      <c r="I256" s="1" t="s">
        <v>20</v>
      </c>
      <c r="J256" s="1" t="s">
        <v>1126</v>
      </c>
      <c r="K256" s="1" t="s">
        <v>22</v>
      </c>
      <c r="L256" s="1" t="str">
        <f>HYPERLINK("https://files.afu.se/Downloads/Transcripts/0%20-%20Government/USA%20-%20NASA%20Johnson/2021 04 15 - NASA Johnson - STEMonstrations  Newton's First Law of Motion_-luKN6mad5w - transcript (automated).pdf","Transcript Link")</f>
        <v>Transcript Link</v>
      </c>
      <c r="M256" s="2" t="str">
        <f>HYPERLINK("https://files.afu.se/Downloads/Transcripts/0%20-%20Government/USA%20-%20NASA%20Johnson/2021 04 15 - NASA Johnson - STEMonstrations  Newton's First Law of Motion_-luKN6mad5w - transcript (automated).pdf","Transcript Link")</f>
        <v>Transcript Link</v>
      </c>
    </row>
    <row r="257" ht="300" spans="1:13">
      <c r="A257" s="1" t="s">
        <v>1122</v>
      </c>
      <c r="B257" s="1" t="s">
        <v>13</v>
      </c>
      <c r="C257" s="4" t="s">
        <v>1127</v>
      </c>
      <c r="D257" s="1" t="s">
        <v>1128</v>
      </c>
      <c r="E257" s="1" t="s">
        <v>1129</v>
      </c>
      <c r="F257" s="4" t="s">
        <v>17</v>
      </c>
      <c r="G257" s="1" t="s">
        <v>18</v>
      </c>
      <c r="H257" s="1" t="s">
        <v>19</v>
      </c>
      <c r="I257" s="1" t="s">
        <v>20</v>
      </c>
      <c r="J257" s="1" t="s">
        <v>1130</v>
      </c>
      <c r="K257" s="1" t="s">
        <v>22</v>
      </c>
      <c r="L257" s="1" t="str">
        <f>HYPERLINK("https://files.afu.se/Downloads/Transcripts/0%20-%20Government/USA%20-%20NASA%20Johnson/2021 04 15 - NASA Johnson - Spacewalks in HD 2020-2021_9ER4vvRv1UM - transcript (automated).pdf","Transcript Link")</f>
        <v>Transcript Link</v>
      </c>
      <c r="M257" s="2" t="str">
        <f>HYPERLINK("https://files.afu.se/Downloads/Transcripts/0%20-%20Government/USA%20-%20NASA%20Johnson/2021 04 15 - NASA Johnson - Spacewalks in HD 2020-2021_9ER4vvRv1UM - transcript (automated).pdf","Transcript Link")</f>
        <v>Transcript Link</v>
      </c>
    </row>
    <row r="258" ht="300" spans="1:13">
      <c r="A258" s="1" t="s">
        <v>1131</v>
      </c>
      <c r="B258" s="1" t="s">
        <v>13</v>
      </c>
      <c r="C258" s="4" t="s">
        <v>1132</v>
      </c>
      <c r="D258" s="1" t="s">
        <v>1133</v>
      </c>
      <c r="E258" s="1" t="s">
        <v>31</v>
      </c>
      <c r="F258" s="4" t="s">
        <v>17</v>
      </c>
      <c r="G258" s="1" t="s">
        <v>18</v>
      </c>
      <c r="H258" s="1" t="s">
        <v>19</v>
      </c>
      <c r="I258" s="1" t="s">
        <v>20</v>
      </c>
      <c r="J258" s="1" t="s">
        <v>1134</v>
      </c>
      <c r="K258" s="1" t="s">
        <v>22</v>
      </c>
      <c r="L258" s="1" t="str">
        <f>HYPERLINK("https://files.afu.se/Downloads/Transcripts/0%20-%20Government/USA%20-%20NASA%20Johnson/2021 04 09 - NASA Johnson - Space to Ground  A Crew of Ten  04 09 2021_Y4XlPUvYC1s - transcript (automated).pdf","Transcript Link")</f>
        <v>Transcript Link</v>
      </c>
      <c r="M258" s="2" t="str">
        <f>HYPERLINK("https://files.afu.se/Downloads/Transcripts/0%20-%20Government/USA%20-%20NASA%20Johnson/2021 04 09 - NASA Johnson - Space to Ground  A Crew of Ten  04 09 2021_Y4XlPUvYC1s - transcript (automated).pdf","Transcript Link")</f>
        <v>Transcript Link</v>
      </c>
    </row>
    <row r="259" ht="195" spans="1:13">
      <c r="A259" s="1" t="s">
        <v>1131</v>
      </c>
      <c r="B259" s="1" t="s">
        <v>13</v>
      </c>
      <c r="C259" s="4" t="s">
        <v>1135</v>
      </c>
      <c r="D259" s="1" t="s">
        <v>1136</v>
      </c>
      <c r="E259" s="1" t="s">
        <v>1137</v>
      </c>
      <c r="F259" s="4" t="s">
        <v>17</v>
      </c>
      <c r="G259" s="1" t="s">
        <v>18</v>
      </c>
      <c r="H259" s="1" t="s">
        <v>19</v>
      </c>
      <c r="I259" s="1" t="s">
        <v>20</v>
      </c>
      <c r="J259" s="1" t="s">
        <v>1138</v>
      </c>
      <c r="K259" s="1" t="s">
        <v>22</v>
      </c>
      <c r="L259" s="1" t="str">
        <f>HYPERLINK("https://files.afu.se/Downloads/Transcripts/0%20-%20Government/USA%20-%20NASA%20Johnson/2021 04 09 - NASA Johnson - Astronaut Moments  Mark Vande Hei, Living and Working in Space_L08sOD0hYTk - transcript (automated).pdf","Transcript Link")</f>
        <v>Transcript Link</v>
      </c>
      <c r="M259" s="2" t="str">
        <f>HYPERLINK("https://files.afu.se/Downloads/Transcripts/0%20-%20Government/USA%20-%20NASA%20Johnson/2021 04 09 - NASA Johnson - Astronaut Moments  Mark Vande Hei, Living and Working in Space_L08sOD0hYTk - transcript (automated).pdf","Transcript Link")</f>
        <v>Transcript Link</v>
      </c>
    </row>
    <row r="260" ht="300" spans="1:13">
      <c r="A260" s="1" t="s">
        <v>1139</v>
      </c>
      <c r="B260" s="1" t="s">
        <v>13</v>
      </c>
      <c r="C260" s="4" t="s">
        <v>1140</v>
      </c>
      <c r="D260" s="1" t="s">
        <v>1141</v>
      </c>
      <c r="E260" s="1" t="s">
        <v>31</v>
      </c>
      <c r="F260" s="4" t="s">
        <v>17</v>
      </c>
      <c r="G260" s="1" t="s">
        <v>18</v>
      </c>
      <c r="H260" s="1" t="s">
        <v>19</v>
      </c>
      <c r="I260" s="1" t="s">
        <v>20</v>
      </c>
      <c r="J260" s="1" t="s">
        <v>1142</v>
      </c>
      <c r="K260" s="1" t="s">
        <v>22</v>
      </c>
      <c r="L260" s="1" t="str">
        <f>HYPERLINK("https://files.afu.se/Downloads/Transcripts/0%20-%20Government/USA%20-%20NASA%20Johnson/2021 04 02 - NASA Johnson - Space to Ground  Scanning the Horizon  04 02 2021_eAByh5rcH2k - transcript (automated).pdf","Transcript Link")</f>
        <v>Transcript Link</v>
      </c>
      <c r="M260" s="2" t="str">
        <f>HYPERLINK("https://files.afu.se/Downloads/Transcripts/0%20-%20Government/USA%20-%20NASA%20Johnson/2021 04 02 - NASA Johnson - Space to Ground  Scanning the Horizon  04 02 2021_eAByh5rcH2k - transcript (automated).pdf","Transcript Link")</f>
        <v>Transcript Link</v>
      </c>
    </row>
    <row r="261" ht="300" spans="1:13">
      <c r="A261" s="1" t="s">
        <v>1143</v>
      </c>
      <c r="B261" s="1" t="s">
        <v>13</v>
      </c>
      <c r="C261" s="4" t="s">
        <v>1144</v>
      </c>
      <c r="D261" s="1" t="s">
        <v>1145</v>
      </c>
      <c r="E261" s="1" t="s">
        <v>31</v>
      </c>
      <c r="F261" s="4" t="s">
        <v>17</v>
      </c>
      <c r="G261" s="1" t="s">
        <v>18</v>
      </c>
      <c r="H261" s="1" t="s">
        <v>19</v>
      </c>
      <c r="I261" s="1" t="s">
        <v>20</v>
      </c>
      <c r="J261" s="1" t="s">
        <v>1146</v>
      </c>
      <c r="K261" s="1" t="s">
        <v>22</v>
      </c>
      <c r="L261" s="1" t="str">
        <f>HYPERLINK("https://files.afu.se/Downloads/Transcripts/0%20-%20Government/USA%20-%20NASA%20Johnson/2021 03 26 - NASA Johnson - Space to Ground  Soyuz Shuffle  03 26 2021_nn2b7re9XLA - transcript (automated).pdf","Transcript Link")</f>
        <v>Transcript Link</v>
      </c>
      <c r="M261" s="2" t="str">
        <f>HYPERLINK("https://files.afu.se/Downloads/Transcripts/0%20-%20Government/USA%20-%20NASA%20Johnson/2021 03 26 - NASA Johnson - Space to Ground  Soyuz Shuffle  03 26 2021_nn2b7re9XLA - transcript (automated).pdf","Transcript Link")</f>
        <v>Transcript Link</v>
      </c>
    </row>
    <row r="262" ht="345" spans="1:13">
      <c r="A262" s="1" t="s">
        <v>1147</v>
      </c>
      <c r="B262" s="1" t="s">
        <v>13</v>
      </c>
      <c r="C262" s="4" t="s">
        <v>1148</v>
      </c>
      <c r="D262" s="1" t="s">
        <v>1149</v>
      </c>
      <c r="E262" s="1" t="s">
        <v>1150</v>
      </c>
      <c r="F262" s="4" t="s">
        <v>17</v>
      </c>
      <c r="G262" s="1" t="s">
        <v>18</v>
      </c>
      <c r="H262" s="1" t="s">
        <v>19</v>
      </c>
      <c r="I262" s="1" t="s">
        <v>20</v>
      </c>
      <c r="J262" s="1" t="s">
        <v>1151</v>
      </c>
      <c r="K262" s="1" t="s">
        <v>22</v>
      </c>
      <c r="L262" s="1" t="str">
        <f>HYPERLINK("https://files.afu.se/Downloads/Transcripts/0%20-%20Government/USA%20-%20NASA%20Johnson/2021 03 19 - NASA Johnson - Space to Ground  Tournament Earth  03 19 2021_BT2F8cWP6q8 - transcript (automated).pdf","Transcript Link")</f>
        <v>Transcript Link</v>
      </c>
      <c r="M262" s="2" t="str">
        <f>HYPERLINK("https://files.afu.se/Downloads/Transcripts/0%20-%20Government/USA%20-%20NASA%20Johnson/2021 03 19 - NASA Johnson - Space to Ground  Tournament Earth  03 19 2021_BT2F8cWP6q8 - transcript (automated).pdf","Transcript Link")</f>
        <v>Transcript Link</v>
      </c>
    </row>
    <row r="263" ht="300" spans="1:13">
      <c r="A263" s="1" t="s">
        <v>1152</v>
      </c>
      <c r="B263" s="1" t="s">
        <v>13</v>
      </c>
      <c r="C263" s="4" t="s">
        <v>1153</v>
      </c>
      <c r="D263" s="1" t="s">
        <v>1154</v>
      </c>
      <c r="E263" s="1" t="s">
        <v>31</v>
      </c>
      <c r="F263" s="4" t="s">
        <v>17</v>
      </c>
      <c r="G263" s="1" t="s">
        <v>18</v>
      </c>
      <c r="H263" s="1" t="s">
        <v>19</v>
      </c>
      <c r="I263" s="1" t="s">
        <v>20</v>
      </c>
      <c r="J263" s="1" t="s">
        <v>1155</v>
      </c>
      <c r="K263" s="1" t="s">
        <v>22</v>
      </c>
      <c r="L263" s="1" t="str">
        <f>HYPERLINK("https://files.afu.se/Downloads/Transcripts/0%20-%20Government/USA%20-%20NASA%20Johnson/2021 03 12 - NASA Johnson - Space to Ground  Tale of the Tape  03 12 2021_HJcu-46ufmc - transcript (automated).pdf","Transcript Link")</f>
        <v>Transcript Link</v>
      </c>
      <c r="M263" s="2" t="str">
        <f>HYPERLINK("https://files.afu.se/Downloads/Transcripts/0%20-%20Government/USA%20-%20NASA%20Johnson/2021 03 12 - NASA Johnson - Space to Ground  Tale of the Tape  03 12 2021_HJcu-46ufmc - transcript (automated).pdf","Transcript Link")</f>
        <v>Transcript Link</v>
      </c>
    </row>
    <row r="264" ht="300" spans="1:13">
      <c r="A264" s="1" t="s">
        <v>1156</v>
      </c>
      <c r="B264" s="1" t="s">
        <v>13</v>
      </c>
      <c r="C264" s="4" t="s">
        <v>1157</v>
      </c>
      <c r="D264" s="1" t="s">
        <v>1158</v>
      </c>
      <c r="E264" s="1" t="s">
        <v>31</v>
      </c>
      <c r="F264" s="4" t="s">
        <v>17</v>
      </c>
      <c r="G264" s="1" t="s">
        <v>18</v>
      </c>
      <c r="H264" s="1" t="s">
        <v>19</v>
      </c>
      <c r="I264" s="1" t="s">
        <v>20</v>
      </c>
      <c r="J264" s="1" t="s">
        <v>1159</v>
      </c>
      <c r="K264" s="1" t="s">
        <v>22</v>
      </c>
      <c r="L264" s="1" t="str">
        <f>HYPERLINK("https://files.afu.se/Downloads/Transcripts/0%20-%20Government/USA%20-%20NASA%20Johnson/2021 03 05 - NASA Johnson - Space to Ground  One Week, Two Spacewalks  03 05 2021_XKmtwwu7X6M - transcript (automated).pdf","Transcript Link")</f>
        <v>Transcript Link</v>
      </c>
      <c r="M264" s="2" t="str">
        <f>HYPERLINK("https://files.afu.se/Downloads/Transcripts/0%20-%20Government/USA%20-%20NASA%20Johnson/2021 03 05 - NASA Johnson - Space to Ground  One Week, Two Spacewalks  03 05 2021_XKmtwwu7X6M - transcript (automated).pdf","Transcript Link")</f>
        <v>Transcript Link</v>
      </c>
    </row>
    <row r="265" ht="210" spans="1:13">
      <c r="A265" s="1" t="s">
        <v>1160</v>
      </c>
      <c r="B265" s="1" t="s">
        <v>13</v>
      </c>
      <c r="C265" s="4" t="s">
        <v>1161</v>
      </c>
      <c r="D265" s="1" t="s">
        <v>1162</v>
      </c>
      <c r="E265" s="1" t="s">
        <v>1163</v>
      </c>
      <c r="F265" s="4" t="s">
        <v>17</v>
      </c>
      <c r="G265" s="1" t="s">
        <v>18</v>
      </c>
      <c r="H265" s="1" t="s">
        <v>19</v>
      </c>
      <c r="I265" s="1" t="s">
        <v>20</v>
      </c>
      <c r="J265" s="1" t="s">
        <v>1164</v>
      </c>
      <c r="K265" s="1" t="s">
        <v>22</v>
      </c>
      <c r="L265" s="1" t="str">
        <f>HYPERLINK("https://files.afu.se/Downloads/Transcripts/0%20-%20Government/USA%20-%20NASA%20Johnson/2021 03 01 - NASA Johnson - Artemis  Inside the Latest Achievements – Episode 27_0I75L_O_iu4 - transcript (automated).pdf","Transcript Link")</f>
        <v>Transcript Link</v>
      </c>
      <c r="M265" s="2" t="str">
        <f>HYPERLINK("https://files.afu.se/Downloads/Transcripts/0%20-%20Government/USA%20-%20NASA%20Johnson/2021 03 01 - NASA Johnson - Artemis  Inside the Latest Achievements – Episode 27_0I75L_O_iu4 - transcript (automated).pdf","Transcript Link")</f>
        <v>Transcript Link</v>
      </c>
    </row>
    <row r="266" ht="300" spans="1:13">
      <c r="A266" s="1" t="s">
        <v>1165</v>
      </c>
      <c r="B266" s="1" t="s">
        <v>13</v>
      </c>
      <c r="C266" s="4" t="s">
        <v>1166</v>
      </c>
      <c r="D266" s="1" t="s">
        <v>1167</v>
      </c>
      <c r="E266" s="1" t="s">
        <v>31</v>
      </c>
      <c r="F266" s="4" t="s">
        <v>17</v>
      </c>
      <c r="G266" s="1" t="s">
        <v>18</v>
      </c>
      <c r="H266" s="1" t="s">
        <v>19</v>
      </c>
      <c r="I266" s="1" t="s">
        <v>20</v>
      </c>
      <c r="J266" s="1" t="s">
        <v>1168</v>
      </c>
      <c r="K266" s="1" t="s">
        <v>22</v>
      </c>
      <c r="L266" s="1" t="str">
        <f>HYPERLINK("https://files.afu.se/Downloads/Transcripts/0%20-%20Government/USA%20-%20NASA%20Johnson/2021 02 26 - NASA Johnson - Space to Ground  Space Worms  02 26 2021_DwJ-4zpJWHs - transcript (automated).pdf","Transcript Link")</f>
        <v>Transcript Link</v>
      </c>
      <c r="M266" s="2" t="str">
        <f>HYPERLINK("https://files.afu.se/Downloads/Transcripts/0%20-%20Government/USA%20-%20NASA%20Johnson/2021 02 26 - NASA Johnson - Space to Ground  Space Worms  02 26 2021_DwJ-4zpJWHs - transcript (automated).pdf","Transcript Link")</f>
        <v>Transcript Link</v>
      </c>
    </row>
    <row r="267" ht="300" spans="1:13">
      <c r="A267" s="1" t="s">
        <v>1169</v>
      </c>
      <c r="B267" s="1" t="s">
        <v>13</v>
      </c>
      <c r="C267" s="4" t="s">
        <v>1170</v>
      </c>
      <c r="D267" s="1" t="s">
        <v>1171</v>
      </c>
      <c r="E267" s="1" t="s">
        <v>31</v>
      </c>
      <c r="F267" s="4" t="s">
        <v>17</v>
      </c>
      <c r="G267" s="1" t="s">
        <v>18</v>
      </c>
      <c r="H267" s="1" t="s">
        <v>19</v>
      </c>
      <c r="I267" s="1" t="s">
        <v>20</v>
      </c>
      <c r="J267" s="1" t="s">
        <v>1172</v>
      </c>
      <c r="K267" s="1" t="s">
        <v>22</v>
      </c>
      <c r="L267" s="1" t="str">
        <f>HYPERLINK("https://files.afu.se/Downloads/Transcripts/0%20-%20Government/USA%20-%20NASA%20Johnson/2021 02 12 - NASA Johnson - Space to Ground  Riding with the Rover  02 12 2021_BXVK57CV4c4 - transcript (automated).pdf","Transcript Link")</f>
        <v>Transcript Link</v>
      </c>
      <c r="M267" s="2" t="str">
        <f>HYPERLINK("https://files.afu.se/Downloads/Transcripts/0%20-%20Government/USA%20-%20NASA%20Johnson/2021 02 12 - NASA Johnson - Space to Ground  Riding with the Rover  02 12 2021_BXVK57CV4c4 - transcript (automated).pdf","Transcript Link")</f>
        <v>Transcript Link</v>
      </c>
    </row>
    <row r="268" ht="300" spans="1:13">
      <c r="A268" s="1" t="s">
        <v>1173</v>
      </c>
      <c r="B268" s="1" t="s">
        <v>13</v>
      </c>
      <c r="C268" s="4" t="s">
        <v>1174</v>
      </c>
      <c r="D268" s="1" t="s">
        <v>1175</v>
      </c>
      <c r="E268" s="1" t="s">
        <v>31</v>
      </c>
      <c r="F268" s="4" t="s">
        <v>17</v>
      </c>
      <c r="G268" s="1" t="s">
        <v>18</v>
      </c>
      <c r="H268" s="1" t="s">
        <v>19</v>
      </c>
      <c r="I268" s="1" t="s">
        <v>20</v>
      </c>
      <c r="J268" s="1" t="s">
        <v>1176</v>
      </c>
      <c r="K268" s="1" t="s">
        <v>22</v>
      </c>
      <c r="L268" s="1" t="str">
        <f>HYPERLINK("https://files.afu.se/Downloads/Transcripts/0%20-%20Government/USA%20-%20NASA%20Johnson/2021 02 05 - NASA Johnson - Space to Ground  Upgraded Power  02 05 2021_NSWU82UHaWE - transcript (automated).pdf","Transcript Link")</f>
        <v>Transcript Link</v>
      </c>
      <c r="M268" s="2" t="str">
        <f>HYPERLINK("https://files.afu.se/Downloads/Transcripts/0%20-%20Government/USA%20-%20NASA%20Johnson/2021 02 05 - NASA Johnson - Space to Ground  Upgraded Power  02 05 2021_NSWU82UHaWE - transcript (automated).pdf","Transcript Link")</f>
        <v>Transcript Link</v>
      </c>
    </row>
    <row r="269" ht="330" spans="1:13">
      <c r="A269" s="1" t="s">
        <v>1177</v>
      </c>
      <c r="B269" s="1" t="s">
        <v>13</v>
      </c>
      <c r="C269" s="4" t="s">
        <v>1178</v>
      </c>
      <c r="D269" s="1" t="s">
        <v>1179</v>
      </c>
      <c r="E269" s="1" t="s">
        <v>1180</v>
      </c>
      <c r="F269" s="4" t="s">
        <v>17</v>
      </c>
      <c r="G269" s="1" t="s">
        <v>18</v>
      </c>
      <c r="H269" s="1" t="s">
        <v>19</v>
      </c>
      <c r="I269" s="1" t="s">
        <v>20</v>
      </c>
      <c r="J269" s="1" t="s">
        <v>1181</v>
      </c>
      <c r="K269" s="1" t="s">
        <v>22</v>
      </c>
      <c r="L269" s="1" t="str">
        <f>HYPERLINK("https://files.afu.se/Downloads/Transcripts/0%20-%20Government/USA%20-%20NASA%20Johnson/2021 01 29 - NASA Johnson - Astronaut Kate Rubins Advances DNA Sequencing in Space_zqCE8WvxWYk - transcript (automated).pdf","Transcript Link")</f>
        <v>Transcript Link</v>
      </c>
      <c r="M269" s="2" t="str">
        <f>HYPERLINK("https://files.afu.se/Downloads/Transcripts/0%20-%20Government/USA%20-%20NASA%20Johnson/2021 01 29 - NASA Johnson - Astronaut Kate Rubins Advances DNA Sequencing in Space_zqCE8WvxWYk - transcript (automated).pdf","Transcript Link")</f>
        <v>Transcript Link</v>
      </c>
    </row>
    <row r="270" ht="300" spans="1:13">
      <c r="A270" s="1" t="s">
        <v>1177</v>
      </c>
      <c r="B270" s="1" t="s">
        <v>13</v>
      </c>
      <c r="C270" s="4" t="s">
        <v>1182</v>
      </c>
      <c r="D270" s="1" t="s">
        <v>1183</v>
      </c>
      <c r="E270" s="1" t="s">
        <v>31</v>
      </c>
      <c r="F270" s="4" t="s">
        <v>17</v>
      </c>
      <c r="G270" s="1" t="s">
        <v>18</v>
      </c>
      <c r="H270" s="1" t="s">
        <v>19</v>
      </c>
      <c r="I270" s="1" t="s">
        <v>20</v>
      </c>
      <c r="J270" s="1" t="s">
        <v>1184</v>
      </c>
      <c r="K270" s="1" t="s">
        <v>22</v>
      </c>
      <c r="L270" s="1" t="str">
        <f>HYPERLINK("https://files.afu.se/Downloads/Transcripts/0%20-%20Government/USA%20-%20NASA%20Johnson/2021 01 29 - NASA Johnson - Space to Ground  Spacewalks &amp; Story Time  01 29 2021_EVkl4qmzewY - transcript (automated).pdf","Transcript Link")</f>
        <v>Transcript Link</v>
      </c>
      <c r="M270" s="2" t="str">
        <f>HYPERLINK("https://files.afu.se/Downloads/Transcripts/0%20-%20Government/USA%20-%20NASA%20Johnson/2021 01 29 - NASA Johnson - Space to Ground  Spacewalks &amp; Story Time  01 29 2021_EVkl4qmzewY - transcript (automated).pdf","Transcript Link")</f>
        <v>Transcript Link</v>
      </c>
    </row>
    <row r="271" ht="300" spans="1:13">
      <c r="A271" s="1" t="s">
        <v>1185</v>
      </c>
      <c r="B271" s="1" t="s">
        <v>13</v>
      </c>
      <c r="C271" s="4" t="s">
        <v>1186</v>
      </c>
      <c r="D271" s="1" t="s">
        <v>1187</v>
      </c>
      <c r="E271" s="1" t="s">
        <v>31</v>
      </c>
      <c r="F271" s="4" t="s">
        <v>17</v>
      </c>
      <c r="G271" s="1" t="s">
        <v>18</v>
      </c>
      <c r="H271" s="1" t="s">
        <v>19</v>
      </c>
      <c r="I271" s="1" t="s">
        <v>20</v>
      </c>
      <c r="J271" s="1" t="s">
        <v>1188</v>
      </c>
      <c r="K271" s="1" t="s">
        <v>22</v>
      </c>
      <c r="L271" s="1" t="str">
        <f>HYPERLINK("https://files.afu.se/Downloads/Transcripts/0%20-%20Government/USA%20-%20NASA%20Johnson/2021 01 22 - NASA Johnson - Space to Ground  Spacewalk Preparations  01 22 2021__6Jm2JUD5hM - transcript (automated).pdf","Transcript Link")</f>
        <v>Transcript Link</v>
      </c>
      <c r="M271" s="2" t="str">
        <f>HYPERLINK("https://files.afu.se/Downloads/Transcripts/0%20-%20Government/USA%20-%20NASA%20Johnson/2021 01 22 - NASA Johnson - Space to Ground  Spacewalk Preparations  01 22 2021__6Jm2JUD5hM - transcript (automated).pdf","Transcript Link")</f>
        <v>Transcript Link</v>
      </c>
    </row>
    <row r="272" ht="300" spans="1:13">
      <c r="A272" s="1" t="s">
        <v>1189</v>
      </c>
      <c r="B272" s="1" t="s">
        <v>13</v>
      </c>
      <c r="C272" s="4" t="s">
        <v>1190</v>
      </c>
      <c r="D272" s="1" t="s">
        <v>1191</v>
      </c>
      <c r="E272" s="1" t="s">
        <v>31</v>
      </c>
      <c r="F272" s="4" t="s">
        <v>17</v>
      </c>
      <c r="G272" s="1" t="s">
        <v>18</v>
      </c>
      <c r="H272" s="1" t="s">
        <v>19</v>
      </c>
      <c r="I272" s="1" t="s">
        <v>20</v>
      </c>
      <c r="J272" s="1" t="s">
        <v>1192</v>
      </c>
      <c r="K272" s="1" t="s">
        <v>22</v>
      </c>
      <c r="L272" s="1" t="str">
        <f>HYPERLINK("https://files.afu.se/Downloads/Transcripts/0%20-%20Government/USA%20-%20NASA%20Johnson/2021 01 15 - NASA Johnson - Space to Ground  Science Splashdown  01 15 2021_OCaviw4a5pk - transcript (automated).pdf","Transcript Link")</f>
        <v>Transcript Link</v>
      </c>
      <c r="M272" s="2" t="str">
        <f>HYPERLINK("https://files.afu.se/Downloads/Transcripts/0%20-%20Government/USA%20-%20NASA%20Johnson/2021 01 15 - NASA Johnson - Space to Ground  Science Splashdown  01 15 2021_OCaviw4a5pk - transcript (automated).pdf","Transcript Link")</f>
        <v>Transcript Link</v>
      </c>
    </row>
    <row r="273" ht="300" spans="1:13">
      <c r="A273" s="1" t="s">
        <v>1193</v>
      </c>
      <c r="B273" s="1" t="s">
        <v>13</v>
      </c>
      <c r="C273" s="4" t="s">
        <v>1194</v>
      </c>
      <c r="D273" s="1" t="s">
        <v>1195</v>
      </c>
      <c r="E273" s="1" t="s">
        <v>31</v>
      </c>
      <c r="F273" s="4" t="s">
        <v>17</v>
      </c>
      <c r="G273" s="1" t="s">
        <v>18</v>
      </c>
      <c r="H273" s="1" t="s">
        <v>19</v>
      </c>
      <c r="I273" s="1" t="s">
        <v>20</v>
      </c>
      <c r="J273" s="1" t="s">
        <v>1196</v>
      </c>
      <c r="K273" s="1" t="s">
        <v>22</v>
      </c>
      <c r="L273" s="1" t="str">
        <f>HYPERLINK("https://files.afu.se/Downloads/Transcripts/0%20-%20Government/USA%20-%20NASA%20Johnson/2021 01 08 - NASA Johnson - Space to Ground  A New Year  01 08 2021_sJwtuycs3Mg - transcript (automated).pdf","Transcript Link")</f>
        <v>Transcript Link</v>
      </c>
      <c r="M273" s="2" t="str">
        <f>HYPERLINK("https://files.afu.se/Downloads/Transcripts/0%20-%20Government/USA%20-%20NASA%20Johnson/2021 01 08 - NASA Johnson - Space to Ground  A New Year  01 08 2021_sJwtuycs3Mg - transcript (automated).pdf","Transcript Link")</f>
        <v>Transcript Link</v>
      </c>
    </row>
    <row r="274" ht="375" spans="1:13">
      <c r="A274" s="1" t="s">
        <v>1197</v>
      </c>
      <c r="B274" s="1" t="s">
        <v>13</v>
      </c>
      <c r="C274" s="4" t="s">
        <v>1198</v>
      </c>
      <c r="D274" s="1" t="s">
        <v>1199</v>
      </c>
      <c r="E274" s="1" t="s">
        <v>1200</v>
      </c>
      <c r="F274" s="4" t="s">
        <v>17</v>
      </c>
      <c r="G274" s="1" t="s">
        <v>18</v>
      </c>
      <c r="H274" s="1" t="s">
        <v>19</v>
      </c>
      <c r="I274" s="1" t="s">
        <v>20</v>
      </c>
      <c r="J274" s="1" t="s">
        <v>1201</v>
      </c>
      <c r="K274" s="1" t="s">
        <v>22</v>
      </c>
      <c r="L274" s="1" t="str">
        <f>HYPERLINK("https://files.afu.se/Downloads/Transcripts/0%20-%20Government/USA%20-%20NASA%20Johnson/2021 01 07 - NASA Johnson - Artemis  Inside the Latest Achievements – Episode 26_TGkkY-Gr-Nc - transcript (automated).pdf","Transcript Link")</f>
        <v>Transcript Link</v>
      </c>
      <c r="M274" s="2" t="str">
        <f>HYPERLINK("https://files.afu.se/Downloads/Transcripts/0%20-%20Government/USA%20-%20NASA%20Johnson/2021 01 07 - NASA Johnson - Artemis  Inside the Latest Achievements – Episode 26_TGkkY-Gr-Nc - transcript (automated).pdf","Transcript Link")</f>
        <v>Transcript Link</v>
      </c>
    </row>
    <row r="275" ht="315" spans="1:13">
      <c r="A275" s="1" t="s">
        <v>1202</v>
      </c>
      <c r="B275" s="1" t="s">
        <v>13</v>
      </c>
      <c r="C275" s="4" t="s">
        <v>1203</v>
      </c>
      <c r="D275" s="1" t="s">
        <v>1204</v>
      </c>
      <c r="E275" s="1" t="s">
        <v>1205</v>
      </c>
      <c r="F275" s="4" t="s">
        <v>17</v>
      </c>
      <c r="G275" s="1" t="s">
        <v>18</v>
      </c>
      <c r="H275" s="1" t="s">
        <v>19</v>
      </c>
      <c r="I275" s="1" t="s">
        <v>20</v>
      </c>
      <c r="J275" s="1" t="s">
        <v>1206</v>
      </c>
      <c r="K275" s="1" t="s">
        <v>22</v>
      </c>
      <c r="L275" s="1" t="str">
        <f>HYPERLINK("https://files.afu.se/Downloads/Transcripts/0%20-%20Government/USA%20-%20NASA%20Johnson/2021 01 01 - NASA Johnson - To the Moon and Beyond   Down To Earth - S1 E19_rFwqXnCDPJU - transcript (automated).pdf","Transcript Link")</f>
        <v>Transcript Link</v>
      </c>
      <c r="M275" s="2" t="str">
        <f>HYPERLINK("https://files.afu.se/Downloads/Transcripts/0%20-%20Government/USA%20-%20NASA%20Johnson/2021 01 01 - NASA Johnson - To the Moon and Beyond   Down To Earth - S1 E19_rFwqXnCDPJU - transcript (automated).pdf","Transcript Link")</f>
        <v>Transcript Link</v>
      </c>
    </row>
    <row r="276" ht="409.5" spans="1:13">
      <c r="A276" s="1" t="s">
        <v>1207</v>
      </c>
      <c r="B276" s="1" t="s">
        <v>13</v>
      </c>
      <c r="C276" s="4" t="s">
        <v>1208</v>
      </c>
      <c r="D276" s="1" t="s">
        <v>1209</v>
      </c>
      <c r="E276" s="1" t="s">
        <v>1210</v>
      </c>
      <c r="F276" s="4" t="s">
        <v>17</v>
      </c>
      <c r="G276" s="1" t="s">
        <v>18</v>
      </c>
      <c r="H276" s="1" t="s">
        <v>19</v>
      </c>
      <c r="I276" s="1" t="s">
        <v>20</v>
      </c>
      <c r="J276" s="1" t="s">
        <v>1211</v>
      </c>
      <c r="K276" s="1" t="s">
        <v>22</v>
      </c>
      <c r="L276" s="1" t="str">
        <f>HYPERLINK("https://files.afu.se/Downloads/Transcripts/0%20-%20Government/USA%20-%20NASA%20Johnson/2020 12 30 - NASA Johnson - Top 20 Earth Images of 2020_xFK7gkj6yN8 - transcript (automated).pdf","Transcript Link")</f>
        <v>Transcript Link</v>
      </c>
      <c r="M276" s="2" t="str">
        <f>HYPERLINK("https://files.afu.se/Downloads/Transcripts/0%20-%20Government/USA%20-%20NASA%20Johnson/2020 12 30 - NASA Johnson - Top 20 Earth Images of 2020_xFK7gkj6yN8 - transcript (automated).pdf","Transcript Link")</f>
        <v>Transcript Link</v>
      </c>
    </row>
    <row r="277" ht="285" spans="1:13">
      <c r="A277" s="1" t="s">
        <v>1207</v>
      </c>
      <c r="B277" s="1" t="s">
        <v>13</v>
      </c>
      <c r="C277" s="4" t="s">
        <v>1212</v>
      </c>
      <c r="D277" s="1" t="s">
        <v>1213</v>
      </c>
      <c r="E277" s="1" t="s">
        <v>1214</v>
      </c>
      <c r="F277" s="4" t="s">
        <v>17</v>
      </c>
      <c r="G277" s="1" t="s">
        <v>18</v>
      </c>
      <c r="H277" s="1" t="s">
        <v>19</v>
      </c>
      <c r="I277" s="1" t="s">
        <v>20</v>
      </c>
      <c r="J277" s="1" t="s">
        <v>1215</v>
      </c>
      <c r="K277" s="1" t="s">
        <v>22</v>
      </c>
      <c r="L277" s="1" t="str">
        <f>HYPERLINK("https://files.afu.se/Downloads/Transcripts/0%20-%20Government/USA%20-%20NASA%20Johnson/2020 12 30 - NASA Johnson - A New Year’s Tradition Looks a Little Different in Space_KSv_Y8uGwFQ - transcript (automated).pdf","Transcript Link")</f>
        <v>Transcript Link</v>
      </c>
      <c r="M277" s="2" t="str">
        <f>HYPERLINK("https://files.afu.se/Downloads/Transcripts/0%20-%20Government/USA%20-%20NASA%20Johnson/2020 12 30 - NASA Johnson - A New Year’s Tradition Looks a Little Different in Space_KSv_Y8uGwFQ - transcript (automated).pdf","Transcript Link")</f>
        <v>Transcript Link</v>
      </c>
    </row>
    <row r="278" ht="240" spans="1:13">
      <c r="A278" s="1" t="s">
        <v>1216</v>
      </c>
      <c r="B278" s="1" t="s">
        <v>13</v>
      </c>
      <c r="C278" s="4" t="s">
        <v>1217</v>
      </c>
      <c r="D278" s="1" t="s">
        <v>1218</v>
      </c>
      <c r="E278" s="1" t="s">
        <v>1219</v>
      </c>
      <c r="F278" s="4" t="s">
        <v>17</v>
      </c>
      <c r="G278" s="1" t="s">
        <v>18</v>
      </c>
      <c r="H278" s="1" t="s">
        <v>19</v>
      </c>
      <c r="I278" s="1" t="s">
        <v>20</v>
      </c>
      <c r="J278" s="1" t="s">
        <v>1220</v>
      </c>
      <c r="K278" s="1" t="s">
        <v>22</v>
      </c>
      <c r="L278" s="1" t="str">
        <f>HYPERLINK("https://files.afu.se/Downloads/Transcripts/0%20-%20Government/USA%20-%20NASA%20Johnson/2020 12 29 - NASA Johnson - 2020 Space Station Science Photos_dYINlVcCV8w - transcript (automated).pdf","Transcript Link")</f>
        <v>Transcript Link</v>
      </c>
      <c r="M278" s="2" t="str">
        <f>HYPERLINK("https://files.afu.se/Downloads/Transcripts/0%20-%20Government/USA%20-%20NASA%20Johnson/2020 12 29 - NASA Johnson - 2020 Space Station Science Photos_dYINlVcCV8w - transcript (automated).pdf","Transcript Link")</f>
        <v>Transcript Link</v>
      </c>
    </row>
    <row r="279" ht="270" spans="1:13">
      <c r="A279" s="1" t="s">
        <v>1221</v>
      </c>
      <c r="B279" s="1" t="s">
        <v>13</v>
      </c>
      <c r="C279" s="4" t="s">
        <v>1222</v>
      </c>
      <c r="D279" s="1" t="s">
        <v>1223</v>
      </c>
      <c r="E279" s="1" t="s">
        <v>1224</v>
      </c>
      <c r="F279" s="4" t="s">
        <v>17</v>
      </c>
      <c r="G279" s="1" t="s">
        <v>18</v>
      </c>
      <c r="H279" s="1" t="s">
        <v>19</v>
      </c>
      <c r="I279" s="1" t="s">
        <v>20</v>
      </c>
      <c r="J279" s="1" t="s">
        <v>1225</v>
      </c>
      <c r="K279" s="1" t="s">
        <v>22</v>
      </c>
      <c r="L279" s="1" t="str">
        <f>HYPERLINK("https://files.afu.se/Downloads/Transcripts/0%20-%20Government/USA%20-%20NASA%20Johnson/2020 12 24 - NASA Johnson - Thoughts, Gifts, and a Challenge  An International Space Station Holiday_QDALsVmNqJg - transcript (automated).pdf","Transcript Link")</f>
        <v>Transcript Link</v>
      </c>
      <c r="M279" s="2" t="str">
        <f>HYPERLINK("https://files.afu.se/Downloads/Transcripts/0%20-%20Government/USA%20-%20NASA%20Johnson/2020 12 24 - NASA Johnson - Thoughts, Gifts, and a Challenge  An International Space Station Holiday_QDALsVmNqJg - transcript (automated).pdf","Transcript Link")</f>
        <v>Transcript Link</v>
      </c>
    </row>
    <row r="280" ht="300" spans="1:13">
      <c r="A280" s="1" t="s">
        <v>1226</v>
      </c>
      <c r="B280" s="1" t="s">
        <v>13</v>
      </c>
      <c r="C280" s="4" t="s">
        <v>1227</v>
      </c>
      <c r="D280" s="1" t="s">
        <v>1228</v>
      </c>
      <c r="E280" s="1" t="s">
        <v>31</v>
      </c>
      <c r="F280" s="4" t="s">
        <v>17</v>
      </c>
      <c r="G280" s="1" t="s">
        <v>18</v>
      </c>
      <c r="H280" s="1" t="s">
        <v>19</v>
      </c>
      <c r="I280" s="1" t="s">
        <v>20</v>
      </c>
      <c r="J280" s="1" t="s">
        <v>1229</v>
      </c>
      <c r="K280" s="1" t="s">
        <v>22</v>
      </c>
      <c r="L280" s="1" t="str">
        <f>HYPERLINK("https://files.afu.se/Downloads/Transcripts/0%20-%20Government/USA%20-%20NASA%20Johnson/2020 12 23 - NASA Johnson - Space to Ground  The Year That Was  12 23 2020_Hzhxyt87yBk - transcript (automated).pdf","Transcript Link")</f>
        <v>Transcript Link</v>
      </c>
      <c r="M280" s="2" t="str">
        <f>HYPERLINK("https://files.afu.se/Downloads/Transcripts/0%20-%20Government/USA%20-%20NASA%20Johnson/2020 12 23 - NASA Johnson - Space to Ground  The Year That Was  12 23 2020_Hzhxyt87yBk - transcript (automated).pdf","Transcript Link")</f>
        <v>Transcript Link</v>
      </c>
    </row>
    <row r="281" ht="285" spans="1:13">
      <c r="A281" s="1" t="s">
        <v>1230</v>
      </c>
      <c r="B281" s="1" t="s">
        <v>13</v>
      </c>
      <c r="C281" s="4" t="s">
        <v>1231</v>
      </c>
      <c r="D281" s="1" t="s">
        <v>1232</v>
      </c>
      <c r="E281" s="1" t="s">
        <v>1233</v>
      </c>
      <c r="F281" s="4" t="s">
        <v>17</v>
      </c>
      <c r="G281" s="1" t="s">
        <v>18</v>
      </c>
      <c r="H281" s="1" t="s">
        <v>19</v>
      </c>
      <c r="I281" s="1" t="s">
        <v>20</v>
      </c>
      <c r="J281" s="1" t="s">
        <v>1234</v>
      </c>
      <c r="K281" s="1" t="s">
        <v>22</v>
      </c>
      <c r="L281" s="1" t="str">
        <f>HYPERLINK("https://files.afu.se/Downloads/Transcripts/0%20-%20Government/USA%20-%20NASA%20Johnson/2020 12 22 - NASA Johnson - A Message of Resilience from the International Space Station_WJUdH3uWkFI - transcript (automated).pdf","Transcript Link")</f>
        <v>Transcript Link</v>
      </c>
      <c r="M281" s="2" t="str">
        <f>HYPERLINK("https://files.afu.se/Downloads/Transcripts/0%20-%20Government/USA%20-%20NASA%20Johnson/2020 12 22 - NASA Johnson - A Message of Resilience from the International Space Station_WJUdH3uWkFI - transcript (automated).pdf","Transcript Link")</f>
        <v>Transcript Link</v>
      </c>
    </row>
    <row r="282" ht="300" spans="1:13">
      <c r="A282" s="1" t="s">
        <v>1235</v>
      </c>
      <c r="B282" s="1" t="s">
        <v>13</v>
      </c>
      <c r="C282" s="4" t="s">
        <v>1236</v>
      </c>
      <c r="D282" s="1" t="s">
        <v>1237</v>
      </c>
      <c r="E282" s="1" t="s">
        <v>31</v>
      </c>
      <c r="F282" s="4" t="s">
        <v>17</v>
      </c>
      <c r="G282" s="1" t="s">
        <v>18</v>
      </c>
      <c r="H282" s="1" t="s">
        <v>19</v>
      </c>
      <c r="I282" s="1" t="s">
        <v>20</v>
      </c>
      <c r="J282" s="1" t="s">
        <v>1238</v>
      </c>
      <c r="K282" s="1" t="s">
        <v>22</v>
      </c>
      <c r="L282" s="1" t="str">
        <f>HYPERLINK("https://files.afu.se/Downloads/Transcripts/0%20-%20Government/USA%20-%20NASA%20Johnson/2020 12 18 - NASA Johnson - Space to Ground  Cardinal Heart Study  12 18 2020_-zhili_b_Bw - transcript (automated).pdf","Transcript Link")</f>
        <v>Transcript Link</v>
      </c>
      <c r="M282" s="2" t="str">
        <f>HYPERLINK("https://files.afu.se/Downloads/Transcripts/0%20-%20Government/USA%20-%20NASA%20Johnson/2020 12 18 - NASA Johnson - Space to Ground  Cardinal Heart Study  12 18 2020_-zhili_b_Bw - transcript (automated).pdf","Transcript Link")</f>
        <v>Transcript Link</v>
      </c>
    </row>
    <row r="283" ht="300" spans="1:13">
      <c r="A283" s="1" t="s">
        <v>1239</v>
      </c>
      <c r="B283" s="1" t="s">
        <v>13</v>
      </c>
      <c r="C283" s="4" t="s">
        <v>1240</v>
      </c>
      <c r="D283" s="1" t="s">
        <v>1241</v>
      </c>
      <c r="E283" s="1" t="s">
        <v>31</v>
      </c>
      <c r="F283" s="4" t="s">
        <v>17</v>
      </c>
      <c r="G283" s="1" t="s">
        <v>18</v>
      </c>
      <c r="H283" s="1" t="s">
        <v>19</v>
      </c>
      <c r="I283" s="1" t="s">
        <v>20</v>
      </c>
      <c r="J283" s="1" t="s">
        <v>1242</v>
      </c>
      <c r="K283" s="1" t="s">
        <v>22</v>
      </c>
      <c r="L283" s="1" t="str">
        <f>HYPERLINK("https://files.afu.se/Downloads/Transcripts/0%20-%20Government/USA%20-%20NASA%20Johnson/2020 12 11 - NASA Johnson - Space to Ground  Double Dragons  12 11 2020_NBdKcIbHBj0 - transcript (automated).pdf","Transcript Link")</f>
        <v>Transcript Link</v>
      </c>
      <c r="M283" s="2" t="str">
        <f>HYPERLINK("https://files.afu.se/Downloads/Transcripts/0%20-%20Government/USA%20-%20NASA%20Johnson/2020 12 11 - NASA Johnson - Space to Ground  Double Dragons  12 11 2020_NBdKcIbHBj0 - transcript (automated).pdf","Transcript Link")</f>
        <v>Transcript Link</v>
      </c>
    </row>
    <row r="284" ht="300" spans="1:13">
      <c r="A284" s="1" t="s">
        <v>1243</v>
      </c>
      <c r="B284" s="1" t="s">
        <v>13</v>
      </c>
      <c r="C284" s="4" t="s">
        <v>1244</v>
      </c>
      <c r="D284" s="1" t="s">
        <v>1245</v>
      </c>
      <c r="E284" s="1" t="s">
        <v>31</v>
      </c>
      <c r="F284" s="4" t="s">
        <v>17</v>
      </c>
      <c r="G284" s="1" t="s">
        <v>18</v>
      </c>
      <c r="H284" s="1" t="s">
        <v>19</v>
      </c>
      <c r="I284" s="1" t="s">
        <v>20</v>
      </c>
      <c r="J284" s="1" t="s">
        <v>1246</v>
      </c>
      <c r="K284" s="1" t="s">
        <v>22</v>
      </c>
      <c r="L284" s="1" t="str">
        <f>HYPERLINK("https://files.afu.se/Downloads/Transcripts/0%20-%20Government/USA%20-%20NASA%20Johnson/2020 12 04 - NASA Johnson - Space to Ground  A New Door to Space  12 04 2020_sH0hz7Z0JPc - transcript (automated).pdf","Transcript Link")</f>
        <v>Transcript Link</v>
      </c>
      <c r="M284" s="2" t="str">
        <f>HYPERLINK("https://files.afu.se/Downloads/Transcripts/0%20-%20Government/USA%20-%20NASA%20Johnson/2020 12 04 - NASA Johnson - Space to Ground  A New Door to Space  12 04 2020_sH0hz7Z0JPc - transcript (automated).pdf","Transcript Link")</f>
        <v>Transcript Link</v>
      </c>
    </row>
    <row r="285" ht="300" spans="1:13">
      <c r="A285" s="1" t="s">
        <v>1247</v>
      </c>
      <c r="B285" s="1" t="s">
        <v>13</v>
      </c>
      <c r="C285" s="4" t="s">
        <v>1248</v>
      </c>
      <c r="D285" s="1" t="s">
        <v>1249</v>
      </c>
      <c r="E285" s="1" t="s">
        <v>31</v>
      </c>
      <c r="F285" s="4" t="s">
        <v>17</v>
      </c>
      <c r="G285" s="1" t="s">
        <v>18</v>
      </c>
      <c r="H285" s="1" t="s">
        <v>19</v>
      </c>
      <c r="I285" s="1" t="s">
        <v>20</v>
      </c>
      <c r="J285" s="1" t="s">
        <v>1250</v>
      </c>
      <c r="K285" s="1" t="s">
        <v>22</v>
      </c>
      <c r="L285" s="1" t="str">
        <f>HYPERLINK("https://files.afu.se/Downloads/Transcripts/0%20-%20Government/USA%20-%20NASA%20Johnson/2020 11 27 - NASA Johnson - Space to Ground  Talking Turkey  11 27 2020_sXFtMoJDM18 - transcript (automated).pdf","Transcript Link")</f>
        <v>Transcript Link</v>
      </c>
      <c r="M285" s="2" t="str">
        <f>HYPERLINK("https://files.afu.se/Downloads/Transcripts/0%20-%20Government/USA%20-%20NASA%20Johnson/2020 11 27 - NASA Johnson - Space to Ground  Talking Turkey  11 27 2020_sXFtMoJDM18 - transcript (automated).pdf","Transcript Link")</f>
        <v>Transcript Link</v>
      </c>
    </row>
    <row r="286" ht="300" spans="1:13">
      <c r="A286" s="1" t="s">
        <v>1251</v>
      </c>
      <c r="B286" s="1" t="s">
        <v>13</v>
      </c>
      <c r="C286" s="4" t="s">
        <v>1252</v>
      </c>
      <c r="D286" s="1" t="s">
        <v>1253</v>
      </c>
      <c r="E286" s="1" t="s">
        <v>1254</v>
      </c>
      <c r="F286" s="4" t="s">
        <v>17</v>
      </c>
      <c r="G286" s="1" t="s">
        <v>18</v>
      </c>
      <c r="H286" s="1" t="s">
        <v>19</v>
      </c>
      <c r="I286" s="1" t="s">
        <v>20</v>
      </c>
      <c r="J286" s="1" t="s">
        <v>1255</v>
      </c>
      <c r="K286" s="1" t="s">
        <v>22</v>
      </c>
      <c r="L286" s="1" t="str">
        <f>HYPERLINK("https://files.afu.se/Downloads/Transcripts/0%20-%20Government/USA%20-%20NASA%20Johnson/2020 11 26 - NASA Johnson - Astronauts Reading Fan Mail %232_jEyiHgRPEJc - transcript (automated).pdf","Transcript Link")</f>
        <v>Transcript Link</v>
      </c>
      <c r="M286" s="2" t="str">
        <f>HYPERLINK("https://files.afu.se/Downloads/Transcripts/0%20-%20Government/USA%20-%20NASA%20Johnson/2020 11 26 - NASA Johnson - Astronauts Reading Fan Mail %232_jEyiHgRPEJc - transcript (automated).pdf","Transcript Link")</f>
        <v>Transcript Link</v>
      </c>
    </row>
    <row r="287" ht="195" spans="1:13">
      <c r="A287" s="1" t="s">
        <v>1256</v>
      </c>
      <c r="B287" s="1" t="s">
        <v>13</v>
      </c>
      <c r="C287" s="4" t="s">
        <v>1257</v>
      </c>
      <c r="D287" s="1" t="s">
        <v>1258</v>
      </c>
      <c r="E287" s="1" t="s">
        <v>1259</v>
      </c>
      <c r="F287" s="4" t="s">
        <v>17</v>
      </c>
      <c r="G287" s="1" t="s">
        <v>18</v>
      </c>
      <c r="H287" s="1" t="s">
        <v>19</v>
      </c>
      <c r="I287" s="1" t="s">
        <v>20</v>
      </c>
      <c r="J287" s="1" t="s">
        <v>1260</v>
      </c>
      <c r="K287" s="1" t="s">
        <v>22</v>
      </c>
      <c r="L287" s="1" t="str">
        <f>HYPERLINK("https://files.afu.se/Downloads/Transcripts/0%20-%20Government/USA%20-%20NASA%20Johnson/2020 11 25 - NASA Johnson - Space Station Crew Discusses the Meaning of Thanksgiving on Orbit_bPOfgiArkbI - transcript (automated).pdf","Transcript Link")</f>
        <v>Transcript Link</v>
      </c>
      <c r="M287" s="2" t="str">
        <f>HYPERLINK("https://files.afu.se/Downloads/Transcripts/0%20-%20Government/USA%20-%20NASA%20Johnson/2020 11 25 - NASA Johnson - Space Station Crew Discusses the Meaning of Thanksgiving on Orbit_bPOfgiArkbI - transcript (automated).pdf","Transcript Link")</f>
        <v>Transcript Link</v>
      </c>
    </row>
    <row r="288" ht="300" spans="1:13">
      <c r="A288" s="1" t="s">
        <v>1261</v>
      </c>
      <c r="B288" s="1" t="s">
        <v>13</v>
      </c>
      <c r="C288" s="4" t="s">
        <v>1262</v>
      </c>
      <c r="D288" s="1" t="s">
        <v>1263</v>
      </c>
      <c r="E288" s="1" t="s">
        <v>31</v>
      </c>
      <c r="F288" s="4" t="s">
        <v>17</v>
      </c>
      <c r="G288" s="1" t="s">
        <v>18</v>
      </c>
      <c r="H288" s="1" t="s">
        <v>19</v>
      </c>
      <c r="I288" s="1" t="s">
        <v>20</v>
      </c>
      <c r="J288" s="1" t="s">
        <v>1264</v>
      </c>
      <c r="K288" s="1" t="s">
        <v>22</v>
      </c>
      <c r="L288" s="1" t="str">
        <f>HYPERLINK("https://files.afu.se/Downloads/Transcripts/0%20-%20Government/USA%20-%20NASA%20Johnson/2020 11 20 - NASA Johnson - Space to Ground  Resilience Rises  11 20 2020_HXs-OtvIyxw - transcript (automated).pdf","Transcript Link")</f>
        <v>Transcript Link</v>
      </c>
      <c r="M288" s="2" t="str">
        <f>HYPERLINK("https://files.afu.se/Downloads/Transcripts/0%20-%20Government/USA%20-%20NASA%20Johnson/2020 11 20 - NASA Johnson - Space to Ground  Resilience Rises  11 20 2020_HXs-OtvIyxw - transcript (automated).pdf","Transcript Link")</f>
        <v>Transcript Link</v>
      </c>
    </row>
    <row r="289" ht="300" spans="1:13">
      <c r="A289" s="1" t="s">
        <v>1265</v>
      </c>
      <c r="B289" s="1" t="s">
        <v>13</v>
      </c>
      <c r="C289" s="4" t="s">
        <v>1266</v>
      </c>
      <c r="D289" s="1" t="s">
        <v>1267</v>
      </c>
      <c r="E289" s="1" t="s">
        <v>1268</v>
      </c>
      <c r="F289" s="4" t="s">
        <v>17</v>
      </c>
      <c r="G289" s="1" t="s">
        <v>18</v>
      </c>
      <c r="H289" s="1" t="s">
        <v>19</v>
      </c>
      <c r="I289" s="1" t="s">
        <v>20</v>
      </c>
      <c r="J289" s="1" t="s">
        <v>1269</v>
      </c>
      <c r="K289" s="1" t="s">
        <v>22</v>
      </c>
      <c r="L289" s="1" t="str">
        <f>HYPERLINK("https://files.afu.se/Downloads/Transcripts/0%20-%20Government/USA%20-%20NASA%20Johnson/2020 11 18 - NASA Johnson - Russian Spacewalk %2347 Animation_ZSa5C8gX_IY - transcript (automated).pdf","Transcript Link")</f>
        <v>Transcript Link</v>
      </c>
      <c r="M289" s="2" t="str">
        <f>HYPERLINK("https://files.afu.se/Downloads/Transcripts/0%20-%20Government/USA%20-%20NASA%20Johnson/2020 11 18 - NASA Johnson - Russian Spacewalk %2347 Animation_ZSa5C8gX_IY - transcript (automated).pdf","Transcript Link")</f>
        <v>Transcript Link</v>
      </c>
    </row>
    <row r="290" ht="300" spans="1:13">
      <c r="A290" s="1" t="s">
        <v>1270</v>
      </c>
      <c r="B290" s="1" t="s">
        <v>13</v>
      </c>
      <c r="C290" s="4" t="s">
        <v>1271</v>
      </c>
      <c r="D290" s="1" t="s">
        <v>1272</v>
      </c>
      <c r="E290" s="1" t="s">
        <v>31</v>
      </c>
      <c r="F290" s="4" t="s">
        <v>17</v>
      </c>
      <c r="G290" s="1" t="s">
        <v>18</v>
      </c>
      <c r="H290" s="1" t="s">
        <v>19</v>
      </c>
      <c r="I290" s="1" t="s">
        <v>20</v>
      </c>
      <c r="J290" s="1" t="s">
        <v>1273</v>
      </c>
      <c r="K290" s="1" t="s">
        <v>22</v>
      </c>
      <c r="L290" s="1" t="str">
        <f>HYPERLINK("https://files.afu.se/Downloads/Transcripts/0%20-%20Government/USA%20-%20NASA%20Johnson/2020 11 13 - NASA Johnson - Space to Ground  Dragon Quest  11 13 2020_bBKe3cuw-b8 - transcript (automated).pdf","Transcript Link")</f>
        <v>Transcript Link</v>
      </c>
      <c r="M290" s="2" t="str">
        <f>HYPERLINK("https://files.afu.se/Downloads/Transcripts/0%20-%20Government/USA%20-%20NASA%20Johnson/2020 11 13 - NASA Johnson - Space to Ground  Dragon Quest  11 13 2020_bBKe3cuw-b8 - transcript (automated).pdf","Transcript Link")</f>
        <v>Transcript Link</v>
      </c>
    </row>
    <row r="291" ht="255" spans="1:13">
      <c r="A291" s="1" t="s">
        <v>1274</v>
      </c>
      <c r="B291" s="1" t="s">
        <v>13</v>
      </c>
      <c r="C291" s="4" t="s">
        <v>1275</v>
      </c>
      <c r="D291" s="1" t="s">
        <v>1276</v>
      </c>
      <c r="E291" s="1" t="s">
        <v>1277</v>
      </c>
      <c r="F291" s="4" t="s">
        <v>17</v>
      </c>
      <c r="G291" s="1" t="s">
        <v>18</v>
      </c>
      <c r="H291" s="1" t="s">
        <v>19</v>
      </c>
      <c r="I291" s="1" t="s">
        <v>20</v>
      </c>
      <c r="J291" s="1" t="s">
        <v>1278</v>
      </c>
      <c r="K291" s="1" t="s">
        <v>22</v>
      </c>
      <c r="L291" s="1" t="str">
        <f>HYPERLINK("https://files.afu.se/Downloads/Transcripts/0%20-%20Government/USA%20-%20NASA%20Johnson/2020 11 11 - NASA Johnson - Quick Questions With Crew-1_pBa4mjXUW_o - transcript (automated).pdf","Transcript Link")</f>
        <v>Transcript Link</v>
      </c>
      <c r="M291" s="2" t="str">
        <f>HYPERLINK("https://files.afu.se/Downloads/Transcripts/0%20-%20Government/USA%20-%20NASA%20Johnson/2020 11 11 - NASA Johnson - Quick Questions With Crew-1_pBa4mjXUW_o - transcript (automated).pdf","Transcript Link")</f>
        <v>Transcript Link</v>
      </c>
    </row>
    <row r="292" ht="285" spans="1:13">
      <c r="A292" s="1" t="s">
        <v>1279</v>
      </c>
      <c r="B292" s="1" t="s">
        <v>13</v>
      </c>
      <c r="C292" s="4" t="s">
        <v>1280</v>
      </c>
      <c r="D292" s="1" t="s">
        <v>1281</v>
      </c>
      <c r="E292" s="1" t="s">
        <v>1282</v>
      </c>
      <c r="F292" s="4" t="s">
        <v>17</v>
      </c>
      <c r="G292" s="1" t="s">
        <v>18</v>
      </c>
      <c r="H292" s="1" t="s">
        <v>19</v>
      </c>
      <c r="I292" s="1" t="s">
        <v>20</v>
      </c>
      <c r="J292" s="1" t="s">
        <v>1283</v>
      </c>
      <c r="K292" s="1" t="s">
        <v>22</v>
      </c>
      <c r="L292" s="1" t="str">
        <f>HYPERLINK("https://files.afu.se/Downloads/Transcripts/0%20-%20Government/USA%20-%20NASA%20Johnson/2020 11 06 - NASA Johnson - Crew-1 for All_ngfUbxrRnuU - transcript (automated).pdf","Transcript Link")</f>
        <v>Transcript Link</v>
      </c>
      <c r="M292" s="2" t="str">
        <f>HYPERLINK("https://files.afu.se/Downloads/Transcripts/0%20-%20Government/USA%20-%20NASA%20Johnson/2020 11 06 - NASA Johnson - Crew-1 for All_ngfUbxrRnuU - transcript (automated).pdf","Transcript Link")</f>
        <v>Transcript Link</v>
      </c>
    </row>
    <row r="293" ht="300" spans="1:13">
      <c r="A293" s="1" t="s">
        <v>1279</v>
      </c>
      <c r="B293" s="1" t="s">
        <v>13</v>
      </c>
      <c r="C293" s="4" t="s">
        <v>1284</v>
      </c>
      <c r="D293" s="1" t="s">
        <v>1285</v>
      </c>
      <c r="E293" s="1" t="s">
        <v>31</v>
      </c>
      <c r="F293" s="4" t="s">
        <v>17</v>
      </c>
      <c r="G293" s="1" t="s">
        <v>18</v>
      </c>
      <c r="H293" s="1" t="s">
        <v>19</v>
      </c>
      <c r="I293" s="1" t="s">
        <v>20</v>
      </c>
      <c r="J293" s="1" t="s">
        <v>1286</v>
      </c>
      <c r="K293" s="1" t="s">
        <v>22</v>
      </c>
      <c r="L293" s="1" t="str">
        <f>HYPERLINK("https://files.afu.se/Downloads/Transcripts/0%20-%20Government/USA%20-%20NASA%20Johnson/2020 11 06 - NASA Johnson - Space to Ground  We Are One  11 06 2020_o8utu2W8v_0 - transcript (automated).pdf","Transcript Link")</f>
        <v>Transcript Link</v>
      </c>
      <c r="M293" s="2" t="str">
        <f>HYPERLINK("https://files.afu.se/Downloads/Transcripts/0%20-%20Government/USA%20-%20NASA%20Johnson/2020 11 06 - NASA Johnson - Space to Ground  We Are One  11 06 2020_o8utu2W8v_0 - transcript (automated).pdf","Transcript Link")</f>
        <v>Transcript Link</v>
      </c>
    </row>
    <row r="294" ht="315" spans="1:13">
      <c r="A294" s="1" t="s">
        <v>1287</v>
      </c>
      <c r="B294" s="1" t="s">
        <v>13</v>
      </c>
      <c r="C294" s="4" t="s">
        <v>1288</v>
      </c>
      <c r="D294" s="1" t="s">
        <v>1289</v>
      </c>
      <c r="E294" s="1" t="s">
        <v>1290</v>
      </c>
      <c r="F294" s="4" t="s">
        <v>17</v>
      </c>
      <c r="G294" s="1" t="s">
        <v>18</v>
      </c>
      <c r="H294" s="1" t="s">
        <v>19</v>
      </c>
      <c r="I294" s="1" t="s">
        <v>20</v>
      </c>
      <c r="J294" s="1" t="s">
        <v>1291</v>
      </c>
      <c r="K294" s="1" t="s">
        <v>22</v>
      </c>
      <c r="L294" s="1" t="str">
        <f>HYPERLINK("https://files.afu.se/Downloads/Transcripts/0%20-%20Government/USA%20-%20NASA%20Johnson/2020 11 04 - NASA Johnson - Know Your Crew…One!__BQOPYNvr98 - transcript (automated).pdf","Transcript Link")</f>
        <v>Transcript Link</v>
      </c>
      <c r="M294" s="2" t="str">
        <f>HYPERLINK("https://files.afu.se/Downloads/Transcripts/0%20-%20Government/USA%20-%20NASA%20Johnson/2020 11 04 - NASA Johnson - Know Your Crew…One!__BQOPYNvr98 - transcript (automated).pdf","Transcript Link")</f>
        <v>Transcript Link</v>
      </c>
    </row>
    <row r="295" ht="300" spans="1:13">
      <c r="A295" s="1" t="s">
        <v>1292</v>
      </c>
      <c r="B295" s="1" t="s">
        <v>13</v>
      </c>
      <c r="C295" s="4" t="s">
        <v>1293</v>
      </c>
      <c r="D295" s="1" t="s">
        <v>1294</v>
      </c>
      <c r="E295" s="1" t="s">
        <v>31</v>
      </c>
      <c r="F295" s="4" t="s">
        <v>17</v>
      </c>
      <c r="G295" s="1" t="s">
        <v>18</v>
      </c>
      <c r="H295" s="1" t="s">
        <v>19</v>
      </c>
      <c r="I295" s="1" t="s">
        <v>20</v>
      </c>
      <c r="J295" s="1" t="s">
        <v>1295</v>
      </c>
      <c r="K295" s="1" t="s">
        <v>22</v>
      </c>
      <c r="L295" s="1" t="str">
        <f>HYPERLINK("https://files.afu.se/Downloads/Transcripts/0%20-%20Government/USA%20-%20NASA%20Johnson/2020 10 30 - NASA Johnson - Space to Ground  How It Started  10 30 2020_91HFRawNWpA - transcript (automated).pdf","Transcript Link")</f>
        <v>Transcript Link</v>
      </c>
      <c r="M295" s="2" t="str">
        <f>HYPERLINK("https://files.afu.se/Downloads/Transcripts/0%20-%20Government/USA%20-%20NASA%20Johnson/2020 10 30 - NASA Johnson - Space to Ground  How It Started  10 30 2020_91HFRawNWpA - transcript (automated).pdf","Transcript Link")</f>
        <v>Transcript Link</v>
      </c>
    </row>
    <row r="296" ht="300" spans="1:13">
      <c r="A296" s="1" t="s">
        <v>1296</v>
      </c>
      <c r="B296" s="1" t="s">
        <v>13</v>
      </c>
      <c r="C296" s="4" t="s">
        <v>1297</v>
      </c>
      <c r="D296" s="1" t="s">
        <v>1298</v>
      </c>
      <c r="E296" s="1" t="s">
        <v>31</v>
      </c>
      <c r="F296" s="4" t="s">
        <v>17</v>
      </c>
      <c r="G296" s="1" t="s">
        <v>18</v>
      </c>
      <c r="H296" s="1" t="s">
        <v>19</v>
      </c>
      <c r="I296" s="1" t="s">
        <v>20</v>
      </c>
      <c r="J296" s="1" t="s">
        <v>1299</v>
      </c>
      <c r="K296" s="1" t="s">
        <v>22</v>
      </c>
      <c r="L296" s="1" t="str">
        <f>HYPERLINK("https://files.afu.se/Downloads/Transcripts/0%20-%20Government/USA%20-%20NASA%20Johnson/2020 10 23 - NASA Johnson - Space to Ground  Thumbs Up  10 23 2020_zRUieQ6sSfo - transcript (automated).pdf","Transcript Link")</f>
        <v>Transcript Link</v>
      </c>
      <c r="M296" s="2" t="str">
        <f>HYPERLINK("https://files.afu.se/Downloads/Transcripts/0%20-%20Government/USA%20-%20NASA%20Johnson/2020 10 23 - NASA Johnson - Space to Ground  Thumbs Up  10 23 2020_zRUieQ6sSfo - transcript (automated).pdf","Transcript Link")</f>
        <v>Transcript Link</v>
      </c>
    </row>
    <row r="297" ht="195" spans="1:13">
      <c r="A297" s="1" t="s">
        <v>1300</v>
      </c>
      <c r="B297" s="1" t="s">
        <v>13</v>
      </c>
      <c r="C297" s="4" t="s">
        <v>1301</v>
      </c>
      <c r="D297" s="1" t="s">
        <v>1302</v>
      </c>
      <c r="E297" s="1" t="s">
        <v>1303</v>
      </c>
      <c r="F297" s="4" t="s">
        <v>17</v>
      </c>
      <c r="G297" s="1" t="s">
        <v>18</v>
      </c>
      <c r="H297" s="1" t="s">
        <v>19</v>
      </c>
      <c r="I297" s="1" t="s">
        <v>20</v>
      </c>
      <c r="J297" s="1" t="s">
        <v>1304</v>
      </c>
      <c r="K297" s="1" t="s">
        <v>22</v>
      </c>
      <c r="L297" s="1" t="str">
        <f>HYPERLINK("https://files.afu.se/Downloads/Transcripts/0%20-%20Government/USA%20-%20NASA%20Johnson/2020 10 20 - NASA Johnson - Spacesuits for the Next Explorers (Full feature)_vPkamuLqwM8 - transcript (automated).pdf","Transcript Link")</f>
        <v>Transcript Link</v>
      </c>
      <c r="M297" s="2" t="str">
        <f>HYPERLINK("https://files.afu.se/Downloads/Transcripts/0%20-%20Government/USA%20-%20NASA%20Johnson/2020 10 20 - NASA Johnson - Spacesuits for the Next Explorers (Full feature)_vPkamuLqwM8 - transcript (automated).pdf","Transcript Link")</f>
        <v>Transcript Link</v>
      </c>
    </row>
    <row r="298" ht="300" spans="1:13">
      <c r="A298" s="1" t="s">
        <v>1300</v>
      </c>
      <c r="B298" s="1" t="s">
        <v>13</v>
      </c>
      <c r="C298" s="4" t="s">
        <v>1305</v>
      </c>
      <c r="D298" s="1" t="s">
        <v>1306</v>
      </c>
      <c r="E298" s="1" t="s">
        <v>1307</v>
      </c>
      <c r="F298" s="4" t="s">
        <v>17</v>
      </c>
      <c r="G298" s="1" t="s">
        <v>18</v>
      </c>
      <c r="H298" s="1" t="s">
        <v>19</v>
      </c>
      <c r="I298" s="1" t="s">
        <v>20</v>
      </c>
      <c r="J298" s="1" t="s">
        <v>1308</v>
      </c>
      <c r="K298" s="1" t="s">
        <v>22</v>
      </c>
      <c r="L298" s="1" t="str">
        <f>HYPERLINK("https://files.afu.se/Downloads/Transcripts/0%20-%20Government/USA%20-%20NASA%20Johnson/2020 10 20 - NASA Johnson - Chris Cassidy - Space Station Scientist_u8L66TSXSxY - transcript (automated).pdf","Transcript Link")</f>
        <v>Transcript Link</v>
      </c>
      <c r="M298" s="2" t="str">
        <f>HYPERLINK("https://files.afu.se/Downloads/Transcripts/0%20-%20Government/USA%20-%20NASA%20Johnson/2020 10 20 - NASA Johnson - Chris Cassidy - Space Station Scientist_u8L66TSXSxY - transcript (automated).pdf","Transcript Link")</f>
        <v>Transcript Link</v>
      </c>
    </row>
    <row r="299" ht="300" spans="1:13">
      <c r="A299" s="1" t="s">
        <v>1309</v>
      </c>
      <c r="B299" s="1" t="s">
        <v>13</v>
      </c>
      <c r="C299" s="4" t="s">
        <v>1310</v>
      </c>
      <c r="D299" s="1" t="s">
        <v>1311</v>
      </c>
      <c r="E299" s="1" t="s">
        <v>31</v>
      </c>
      <c r="F299" s="4" t="s">
        <v>17</v>
      </c>
      <c r="G299" s="1" t="s">
        <v>18</v>
      </c>
      <c r="H299" s="1" t="s">
        <v>19</v>
      </c>
      <c r="I299" s="1" t="s">
        <v>20</v>
      </c>
      <c r="J299" s="1" t="s">
        <v>1312</v>
      </c>
      <c r="K299" s="1" t="s">
        <v>22</v>
      </c>
      <c r="L299" s="1" t="str">
        <f>HYPERLINK("https://files.afu.se/Downloads/Transcripts/0%20-%20Government/USA%20-%20NASA%20Johnson/2020 10 16 - NASA Johnson - Space to Ground  Fresh Dining  10 16 2020_gEfqbmexgq0 - transcript (automated).pdf","Transcript Link")</f>
        <v>Transcript Link</v>
      </c>
      <c r="M299" s="2" t="str">
        <f>HYPERLINK("https://files.afu.se/Downloads/Transcripts/0%20-%20Government/USA%20-%20NASA%20Johnson/2020 10 16 - NASA Johnson - Space to Ground  Fresh Dining  10 16 2020_gEfqbmexgq0 - transcript (automated).pdf","Transcript Link")</f>
        <v>Transcript Link</v>
      </c>
    </row>
    <row r="300" ht="180" spans="1:13">
      <c r="A300" s="1" t="s">
        <v>1313</v>
      </c>
      <c r="B300" s="1" t="s">
        <v>13</v>
      </c>
      <c r="C300" s="4" t="s">
        <v>1314</v>
      </c>
      <c r="D300" s="1" t="s">
        <v>1315</v>
      </c>
      <c r="E300" s="1" t="s">
        <v>1316</v>
      </c>
      <c r="F300" s="4" t="s">
        <v>17</v>
      </c>
      <c r="G300" s="1" t="s">
        <v>18</v>
      </c>
      <c r="H300" s="1" t="s">
        <v>19</v>
      </c>
      <c r="I300" s="1" t="s">
        <v>20</v>
      </c>
      <c r="J300" s="1" t="s">
        <v>1317</v>
      </c>
      <c r="K300" s="1" t="s">
        <v>22</v>
      </c>
      <c r="L300" s="1" t="str">
        <f>HYPERLINK("https://files.afu.se/Downloads/Transcripts/0%20-%20Government/USA%20-%20NASA%20Johnson/2020 10 14 - NASA Johnson - A Perfect Planet   Down To Earth - S1 E18_w5jOK3ealFE - transcript (automated).pdf","Transcript Link")</f>
        <v>Transcript Link</v>
      </c>
      <c r="M300" s="2" t="str">
        <f>HYPERLINK("https://files.afu.se/Downloads/Transcripts/0%20-%20Government/USA%20-%20NASA%20Johnson/2020 10 14 - NASA Johnson - A Perfect Planet   Down To Earth - S1 E18_w5jOK3ealFE - transcript (automated).pdf","Transcript Link")</f>
        <v>Transcript Link</v>
      </c>
    </row>
    <row r="301" ht="180" spans="1:13">
      <c r="A301" s="1" t="s">
        <v>1318</v>
      </c>
      <c r="B301" s="1" t="s">
        <v>13</v>
      </c>
      <c r="C301" s="4" t="s">
        <v>1319</v>
      </c>
      <c r="D301" s="1" t="s">
        <v>1320</v>
      </c>
      <c r="E301" s="1" t="s">
        <v>1321</v>
      </c>
      <c r="F301" s="4" t="s">
        <v>17</v>
      </c>
      <c r="G301" s="1" t="s">
        <v>18</v>
      </c>
      <c r="H301" s="1" t="s">
        <v>19</v>
      </c>
      <c r="I301" s="1" t="s">
        <v>20</v>
      </c>
      <c r="J301" s="1" t="s">
        <v>1322</v>
      </c>
      <c r="K301" s="1" t="s">
        <v>22</v>
      </c>
      <c r="L301" s="1" t="str">
        <f>HYPERLINK("https://files.afu.se/Downloads/Transcripts/0%20-%20Government/USA%20-%20NASA%20Johnson/2020 10 13 - NASA Johnson - Kate Rubins  Science on the Space Station_XFivJfn2Ys4 - transcript (automated).pdf","Transcript Link")</f>
        <v>Transcript Link</v>
      </c>
      <c r="M301" s="2" t="str">
        <f>HYPERLINK("https://files.afu.se/Downloads/Transcripts/0%20-%20Government/USA%20-%20NASA%20Johnson/2020 10 13 - NASA Johnson - Kate Rubins  Science on the Space Station_XFivJfn2Ys4 - transcript (automated).pdf","Transcript Link")</f>
        <v>Transcript Link</v>
      </c>
    </row>
    <row r="302" ht="180" spans="1:13">
      <c r="A302" s="1" t="s">
        <v>1318</v>
      </c>
      <c r="B302" s="1" t="s">
        <v>13</v>
      </c>
      <c r="C302" s="4" t="s">
        <v>1323</v>
      </c>
      <c r="D302" s="1" t="s">
        <v>1324</v>
      </c>
      <c r="E302" s="1" t="s">
        <v>1325</v>
      </c>
      <c r="F302" s="4" t="s">
        <v>17</v>
      </c>
      <c r="G302" s="1" t="s">
        <v>18</v>
      </c>
      <c r="H302" s="1" t="s">
        <v>19</v>
      </c>
      <c r="I302" s="1" t="s">
        <v>20</v>
      </c>
      <c r="J302" s="1" t="s">
        <v>1326</v>
      </c>
      <c r="K302" s="1" t="s">
        <v>22</v>
      </c>
      <c r="L302" s="1" t="str">
        <f>HYPERLINK("https://files.afu.se/Downloads/Transcripts/0%20-%20Government/USA%20-%20NASA%20Johnson/2020 10 13 - NASA Johnson - Spacesuits for the Next Explorers   Preview Trailer 3- New Car Smell_KnZRf5B29Bk - transcript (automated).pdf","Transcript Link")</f>
        <v>Transcript Link</v>
      </c>
      <c r="M302" s="2" t="str">
        <f>HYPERLINK("https://files.afu.se/Downloads/Transcripts/0%20-%20Government/USA%20-%20NASA%20Johnson/2020 10 13 - NASA Johnson - Spacesuits for the Next Explorers   Preview Trailer 3- New Car Smell_KnZRf5B29Bk - transcript (automated).pdf","Transcript Link")</f>
        <v>Transcript Link</v>
      </c>
    </row>
    <row r="303" ht="300" spans="1:13">
      <c r="A303" s="1" t="s">
        <v>1327</v>
      </c>
      <c r="B303" s="1" t="s">
        <v>13</v>
      </c>
      <c r="C303" s="4" t="s">
        <v>1328</v>
      </c>
      <c r="D303" s="1" t="s">
        <v>1329</v>
      </c>
      <c r="E303" s="1" t="s">
        <v>31</v>
      </c>
      <c r="F303" s="4" t="s">
        <v>17</v>
      </c>
      <c r="G303" s="1" t="s">
        <v>18</v>
      </c>
      <c r="H303" s="1" t="s">
        <v>19</v>
      </c>
      <c r="I303" s="1" t="s">
        <v>20</v>
      </c>
      <c r="J303" s="1" t="s">
        <v>1330</v>
      </c>
      <c r="K303" s="1" t="s">
        <v>22</v>
      </c>
      <c r="L303" s="1" t="str">
        <f>HYPERLINK("https://files.afu.se/Downloads/Transcripts/0%20-%20Government/USA%20-%20NASA%20Johnson/2020 10 09 - NASA Johnson - Space to Ground  Crank it to 11  10 09 2020_AUwg13FvkX8 - transcript (automated).pdf","Transcript Link")</f>
        <v>Transcript Link</v>
      </c>
      <c r="M303" s="2" t="str">
        <f>HYPERLINK("https://files.afu.se/Downloads/Transcripts/0%20-%20Government/USA%20-%20NASA%20Johnson/2020 10 09 - NASA Johnson - Space to Ground  Crank it to 11  10 09 2020_AUwg13FvkX8 - transcript (automated).pdf","Transcript Link")</f>
        <v>Transcript Link</v>
      </c>
    </row>
    <row r="304" ht="255" spans="1:13">
      <c r="A304" s="1" t="s">
        <v>1331</v>
      </c>
      <c r="B304" s="1" t="s">
        <v>13</v>
      </c>
      <c r="C304" s="4" t="s">
        <v>1332</v>
      </c>
      <c r="D304" s="1" t="s">
        <v>1333</v>
      </c>
      <c r="E304" s="1" t="s">
        <v>1334</v>
      </c>
      <c r="F304" s="4" t="s">
        <v>17</v>
      </c>
      <c r="G304" s="1" t="s">
        <v>18</v>
      </c>
      <c r="H304" s="1" t="s">
        <v>19</v>
      </c>
      <c r="I304" s="1" t="s">
        <v>20</v>
      </c>
      <c r="J304" s="1" t="s">
        <v>1335</v>
      </c>
      <c r="K304" s="1" t="s">
        <v>22</v>
      </c>
      <c r="L304" s="1" t="str">
        <f>HYPERLINK("https://files.afu.se/Downloads/Transcripts/0%20-%20Government/USA%20-%20NASA%20Johnson/2020 10 06 - NASA Johnson - How to use the Bathroom in Space_3VoeRAR0YgE - transcript (automated).pdf","Transcript Link")</f>
        <v>Transcript Link</v>
      </c>
      <c r="M304" s="2" t="str">
        <f>HYPERLINK("https://files.afu.se/Downloads/Transcripts/0%20-%20Government/USA%20-%20NASA%20Johnson/2020 10 06 - NASA Johnson - How to use the Bathroom in Space_3VoeRAR0YgE - transcript (automated).pdf","Transcript Link")</f>
        <v>Transcript Link</v>
      </c>
    </row>
    <row r="305" ht="225" spans="1:13">
      <c r="A305" s="1" t="s">
        <v>1331</v>
      </c>
      <c r="B305" s="1" t="s">
        <v>13</v>
      </c>
      <c r="C305" s="4" t="s">
        <v>1336</v>
      </c>
      <c r="D305" s="1" t="s">
        <v>1337</v>
      </c>
      <c r="E305" s="1" t="s">
        <v>1338</v>
      </c>
      <c r="F305" s="4" t="s">
        <v>17</v>
      </c>
      <c r="G305" s="1" t="s">
        <v>18</v>
      </c>
      <c r="H305" s="1" t="s">
        <v>19</v>
      </c>
      <c r="I305" s="1" t="s">
        <v>20</v>
      </c>
      <c r="J305" s="1" t="s">
        <v>1339</v>
      </c>
      <c r="K305" s="1" t="s">
        <v>22</v>
      </c>
      <c r="L305" s="1" t="str">
        <f>HYPERLINK("https://files.afu.se/Downloads/Transcripts/0%20-%20Government/USA%20-%20NASA%20Johnson/2020 10 06 - NASA Johnson - Astronauts Test Tools Spacesuits Facilities in Preparation for Moonwalks_NFnvR4TYg70 - transcript (automated).pdf","Transcript Link")</f>
        <v>Transcript Link</v>
      </c>
      <c r="M305" s="2" t="str">
        <f>HYPERLINK("https://files.afu.se/Downloads/Transcripts/0%20-%20Government/USA%20-%20NASA%20Johnson/2020 10 06 - NASA Johnson - Astronauts Test Tools Spacesuits Facilities in Preparation for Moonwalks_NFnvR4TYg70 - transcript (automated).pdf","Transcript Link")</f>
        <v>Transcript Link</v>
      </c>
    </row>
    <row r="306" ht="180" spans="1:13">
      <c r="A306" s="1" t="s">
        <v>1340</v>
      </c>
      <c r="B306" s="1" t="s">
        <v>13</v>
      </c>
      <c r="C306" s="4" t="s">
        <v>1341</v>
      </c>
      <c r="D306" s="1" t="s">
        <v>1342</v>
      </c>
      <c r="E306" s="1" t="s">
        <v>1343</v>
      </c>
      <c r="F306" s="4" t="s">
        <v>17</v>
      </c>
      <c r="G306" s="1" t="s">
        <v>18</v>
      </c>
      <c r="H306" s="1" t="s">
        <v>19</v>
      </c>
      <c r="I306" s="1" t="s">
        <v>20</v>
      </c>
      <c r="J306" s="1" t="s">
        <v>1344</v>
      </c>
      <c r="K306" s="1" t="s">
        <v>22</v>
      </c>
      <c r="L306" s="1" t="str">
        <f>HYPERLINK("https://files.afu.se/Downloads/Transcripts/0%20-%20Government/USA%20-%20NASA%20Johnson/2020 10 05 - NASA Johnson - Spacesuits for the Next Explorers- Preview Trailer 2   “It’s a Great Job!”_j4Z1TcQjA0Q - transcript (automated).pdf","Transcript Link")</f>
        <v>Transcript Link</v>
      </c>
      <c r="M306" s="2" t="str">
        <f>HYPERLINK("https://files.afu.se/Downloads/Transcripts/0%20-%20Government/USA%20-%20NASA%20Johnson/2020 10 05 - NASA Johnson - Spacesuits for the Next Explorers- Preview Trailer 2   “It’s a Great Job!”_j4Z1TcQjA0Q - transcript (automated).pdf","Transcript Link")</f>
        <v>Transcript Link</v>
      </c>
    </row>
    <row r="307" ht="300" spans="1:13">
      <c r="A307" s="1" t="s">
        <v>1345</v>
      </c>
      <c r="B307" s="1" t="s">
        <v>13</v>
      </c>
      <c r="C307" s="4" t="s">
        <v>1346</v>
      </c>
      <c r="D307" s="1" t="s">
        <v>1347</v>
      </c>
      <c r="E307" s="1" t="s">
        <v>31</v>
      </c>
      <c r="F307" s="4" t="s">
        <v>17</v>
      </c>
      <c r="G307" s="1" t="s">
        <v>18</v>
      </c>
      <c r="H307" s="1" t="s">
        <v>19</v>
      </c>
      <c r="I307" s="1" t="s">
        <v>20</v>
      </c>
      <c r="J307" s="1" t="s">
        <v>1348</v>
      </c>
      <c r="K307" s="1" t="s">
        <v>22</v>
      </c>
      <c r="L307" s="1" t="str">
        <f>HYPERLINK("https://files.afu.se/Downloads/Transcripts/0%20-%20Government/USA%20-%20NASA%20Johnson/2020 10 02 - NASA Johnson - Space to Ground  Influential People  10 02 2020_-7aIqgQ_an0 - transcript (automated).pdf","Transcript Link")</f>
        <v>Transcript Link</v>
      </c>
      <c r="M307" s="2" t="str">
        <f>HYPERLINK("https://files.afu.se/Downloads/Transcripts/0%20-%20Government/USA%20-%20NASA%20Johnson/2020 10 02 - NASA Johnson - Space to Ground  Influential People  10 02 2020_-7aIqgQ_an0 - transcript (automated).pdf","Transcript Link")</f>
        <v>Transcript Link</v>
      </c>
    </row>
    <row r="308" ht="180" spans="1:13">
      <c r="A308" s="1" t="s">
        <v>1349</v>
      </c>
      <c r="B308" s="1" t="s">
        <v>13</v>
      </c>
      <c r="C308" s="4" t="s">
        <v>1350</v>
      </c>
      <c r="D308" s="1" t="s">
        <v>1351</v>
      </c>
      <c r="E308" s="1" t="s">
        <v>1352</v>
      </c>
      <c r="F308" s="4" t="s">
        <v>17</v>
      </c>
      <c r="G308" s="1" t="s">
        <v>18</v>
      </c>
      <c r="H308" s="1" t="s">
        <v>19</v>
      </c>
      <c r="I308" s="1" t="s">
        <v>20</v>
      </c>
      <c r="J308" s="1" t="s">
        <v>1353</v>
      </c>
      <c r="K308" s="1" t="s">
        <v>22</v>
      </c>
      <c r="L308" s="1" t="str">
        <f>HYPERLINK("https://files.afu.se/Downloads/Transcripts/0%20-%20Government/USA%20-%20NASA%20Johnson/2020 09 28 - NASA Johnson - Spacesuits for the Next Explorers- Preview Trailer 1- What is an EVA _I7a7mOWBV0w - transcript (automated).pdf","Transcript Link")</f>
        <v>Transcript Link</v>
      </c>
      <c r="M308" s="2" t="str">
        <f>HYPERLINK("https://files.afu.se/Downloads/Transcripts/0%20-%20Government/USA%20-%20NASA%20Johnson/2020 09 28 - NASA Johnson - Spacesuits for the Next Explorers- Preview Trailer 1- What is an EVA _I7a7mOWBV0w - transcript (automated).pdf","Transcript Link")</f>
        <v>Transcript Link</v>
      </c>
    </row>
    <row r="309" ht="300" spans="1:13">
      <c r="A309" s="1" t="s">
        <v>1354</v>
      </c>
      <c r="B309" s="1" t="s">
        <v>13</v>
      </c>
      <c r="C309" s="4" t="s">
        <v>1355</v>
      </c>
      <c r="D309" s="1" t="s">
        <v>1356</v>
      </c>
      <c r="E309" s="1" t="s">
        <v>31</v>
      </c>
      <c r="F309" s="4" t="s">
        <v>17</v>
      </c>
      <c r="G309" s="1" t="s">
        <v>18</v>
      </c>
      <c r="H309" s="1" t="s">
        <v>19</v>
      </c>
      <c r="I309" s="1" t="s">
        <v>20</v>
      </c>
      <c r="J309" s="1" t="s">
        <v>1357</v>
      </c>
      <c r="K309" s="1" t="s">
        <v>22</v>
      </c>
      <c r="L309" s="1" t="str">
        <f>HYPERLINK("https://files.afu.se/Downloads/Transcripts/0%20-%20Government/USA%20-%20NASA%20Johnson/2020 09 25 - NASA Johnson - Space to Ground  Rolling Out  09 25 2020_WDC_DNTXlN8 - transcript (automated).pdf","Transcript Link")</f>
        <v>Transcript Link</v>
      </c>
      <c r="M309" s="2" t="str">
        <f>HYPERLINK("https://files.afu.se/Downloads/Transcripts/0%20-%20Government/USA%20-%20NASA%20Johnson/2020 09 25 - NASA Johnson - Space to Ground  Rolling Out  09 25 2020_WDC_DNTXlN8 - transcript (automated).pdf","Transcript Link")</f>
        <v>Transcript Link</v>
      </c>
    </row>
    <row r="310" ht="210" spans="1:13">
      <c r="A310" s="1" t="s">
        <v>1358</v>
      </c>
      <c r="B310" s="1" t="s">
        <v>13</v>
      </c>
      <c r="C310" s="4" t="s">
        <v>1359</v>
      </c>
      <c r="D310" s="1" t="s">
        <v>1360</v>
      </c>
      <c r="E310" s="1" t="s">
        <v>1361</v>
      </c>
      <c r="F310" s="4" t="s">
        <v>17</v>
      </c>
      <c r="G310" s="1" t="s">
        <v>18</v>
      </c>
      <c r="H310" s="1" t="s">
        <v>19</v>
      </c>
      <c r="I310" s="1" t="s">
        <v>20</v>
      </c>
      <c r="J310" s="1" t="s">
        <v>1362</v>
      </c>
      <c r="K310" s="1" t="s">
        <v>22</v>
      </c>
      <c r="L310" s="1" t="str">
        <f>HYPERLINK("https://files.afu.se/Downloads/Transcripts/0%20-%20Government/USA%20-%20NASA%20Johnson/2020 09 23 - NASA Johnson - NASA Testing Tools, Spacesuits, Facilities to Prepare for Moonwalks_cPmx1TtYF64 - transcript (automated).pdf","Transcript Link")</f>
        <v>Transcript Link</v>
      </c>
      <c r="M310" s="2" t="str">
        <f>HYPERLINK("https://files.afu.se/Downloads/Transcripts/0%20-%20Government/USA%20-%20NASA%20Johnson/2020 09 23 - NASA Johnson - NASA Testing Tools, Spacesuits, Facilities to Prepare for Moonwalks_cPmx1TtYF64 - transcript (automated).pdf","Transcript Link")</f>
        <v>Transcript Link</v>
      </c>
    </row>
    <row r="311" ht="270" spans="1:13">
      <c r="A311" s="1" t="s">
        <v>1363</v>
      </c>
      <c r="B311" s="1" t="s">
        <v>13</v>
      </c>
      <c r="C311" s="4" t="s">
        <v>1364</v>
      </c>
      <c r="D311" s="1" t="s">
        <v>1365</v>
      </c>
      <c r="E311" s="1" t="s">
        <v>1366</v>
      </c>
      <c r="F311" s="4" t="s">
        <v>17</v>
      </c>
      <c r="G311" s="1" t="s">
        <v>18</v>
      </c>
      <c r="H311" s="1" t="s">
        <v>19</v>
      </c>
      <c r="I311" s="1" t="s">
        <v>20</v>
      </c>
      <c r="J311" s="1" t="s">
        <v>1367</v>
      </c>
      <c r="K311" s="1" t="s">
        <v>22</v>
      </c>
      <c r="L311" s="1" t="str">
        <f>HYPERLINK("https://files.afu.se/Downloads/Transcripts/0%20-%20Government/USA%20-%20NASA%20Johnson/2020 09 21 - NASA Johnson - STEMonstrations  Moon Phases_SDhlPEMkiOo - transcript (automated).pdf","Transcript Link")</f>
        <v>Transcript Link</v>
      </c>
      <c r="M311" s="2" t="str">
        <f>HYPERLINK("https://files.afu.se/Downloads/Transcripts/0%20-%20Government/USA%20-%20NASA%20Johnson/2020 09 21 - NASA Johnson - STEMonstrations  Moon Phases_SDhlPEMkiOo - transcript (automated).pdf","Transcript Link")</f>
        <v>Transcript Link</v>
      </c>
    </row>
    <row r="312" ht="300" spans="1:13">
      <c r="A312" s="1" t="s">
        <v>1368</v>
      </c>
      <c r="B312" s="1" t="s">
        <v>13</v>
      </c>
      <c r="C312" s="4" t="s">
        <v>1369</v>
      </c>
      <c r="D312" s="1" t="s">
        <v>1370</v>
      </c>
      <c r="E312" s="1" t="s">
        <v>31</v>
      </c>
      <c r="F312" s="4" t="s">
        <v>17</v>
      </c>
      <c r="G312" s="1" t="s">
        <v>18</v>
      </c>
      <c r="H312" s="1" t="s">
        <v>19</v>
      </c>
      <c r="I312" s="1" t="s">
        <v>20</v>
      </c>
      <c r="J312" s="1" t="s">
        <v>1371</v>
      </c>
      <c r="K312" s="1" t="s">
        <v>22</v>
      </c>
      <c r="L312" s="1" t="str">
        <f>HYPERLINK("https://files.afu.se/Downloads/Transcripts/0%20-%20Government/USA%20-%20NASA%20Johnson/2020 09 18 - NASA Johnson - Space to Ground  Honoring Kalpana  09 18 2020_FyiMhGvQD5c - transcript (automated).pdf","Transcript Link")</f>
        <v>Transcript Link</v>
      </c>
      <c r="M312" s="2" t="str">
        <f>HYPERLINK("https://files.afu.se/Downloads/Transcripts/0%20-%20Government/USA%20-%20NASA%20Johnson/2020 09 18 - NASA Johnson - Space to Ground  Honoring Kalpana  09 18 2020_FyiMhGvQD5c - transcript (automated).pdf","Transcript Link")</f>
        <v>Transcript Link</v>
      </c>
    </row>
    <row r="313" ht="180" spans="1:13">
      <c r="A313" s="1" t="s">
        <v>1372</v>
      </c>
      <c r="B313" s="1" t="s">
        <v>13</v>
      </c>
      <c r="C313" s="4" t="s">
        <v>1373</v>
      </c>
      <c r="D313" s="1" t="s">
        <v>1374</v>
      </c>
      <c r="E313" s="1" t="s">
        <v>918</v>
      </c>
      <c r="F313" s="4" t="s">
        <v>17</v>
      </c>
      <c r="G313" s="1" t="s">
        <v>18</v>
      </c>
      <c r="H313" s="1" t="s">
        <v>19</v>
      </c>
      <c r="I313" s="1" t="s">
        <v>20</v>
      </c>
      <c r="J313" s="1" t="s">
        <v>1375</v>
      </c>
      <c r="K313" s="1" t="s">
        <v>22</v>
      </c>
      <c r="L313" s="1" t="str">
        <f>HYPERLINK("https://files.afu.se/Downloads/Transcripts/0%20-%20Government/USA%20-%20NASA%20Johnson/2020 09 11 - NASA Johnson - SpaceCast Weekly - September 11, 2020_d56BA5yLXJo - transcript (automated).pdf","Transcript Link")</f>
        <v>Transcript Link</v>
      </c>
      <c r="M313" s="2" t="str">
        <f>HYPERLINK("https://files.afu.se/Downloads/Transcripts/0%20-%20Government/USA%20-%20NASA%20Johnson/2020 09 11 - NASA Johnson - SpaceCast Weekly - September 11, 2020_d56BA5yLXJo - transcript (automated).pdf","Transcript Link")</f>
        <v>Transcript Link</v>
      </c>
    </row>
    <row r="314" ht="300" spans="1:13">
      <c r="A314" s="1" t="s">
        <v>1372</v>
      </c>
      <c r="B314" s="1" t="s">
        <v>13</v>
      </c>
      <c r="C314" s="4" t="s">
        <v>1376</v>
      </c>
      <c r="D314" s="1" t="s">
        <v>1377</v>
      </c>
      <c r="E314" s="1" t="s">
        <v>31</v>
      </c>
      <c r="F314" s="4" t="s">
        <v>17</v>
      </c>
      <c r="G314" s="1" t="s">
        <v>18</v>
      </c>
      <c r="H314" s="1" t="s">
        <v>19</v>
      </c>
      <c r="I314" s="1" t="s">
        <v>20</v>
      </c>
      <c r="J314" s="1" t="s">
        <v>1378</v>
      </c>
      <c r="K314" s="1" t="s">
        <v>22</v>
      </c>
      <c r="L314" s="1" t="str">
        <f>HYPERLINK("https://files.afu.se/Downloads/Transcripts/0%20-%20Government/USA%20-%20NASA%20Johnson/2020 09 11 - NASA Johnson - Space to Ground  Studying DNA Breaks  09 11 2020_XRwMDlvE6h8 - transcript (automated).pdf","Transcript Link")</f>
        <v>Transcript Link</v>
      </c>
      <c r="M314" s="2" t="str">
        <f>HYPERLINK("https://files.afu.se/Downloads/Transcripts/0%20-%20Government/USA%20-%20NASA%20Johnson/2020 09 11 - NASA Johnson - Space to Ground  Studying DNA Breaks  09 11 2020_XRwMDlvE6h8 - transcript (automated).pdf","Transcript Link")</f>
        <v>Transcript Link</v>
      </c>
    </row>
    <row r="315" ht="180" spans="1:13">
      <c r="A315" s="1" t="s">
        <v>1379</v>
      </c>
      <c r="B315" s="1" t="s">
        <v>13</v>
      </c>
      <c r="C315" s="4" t="s">
        <v>1380</v>
      </c>
      <c r="D315" s="1" t="s">
        <v>1381</v>
      </c>
      <c r="E315" s="1" t="s">
        <v>1382</v>
      </c>
      <c r="F315" s="4" t="s">
        <v>17</v>
      </c>
      <c r="G315" s="1" t="s">
        <v>18</v>
      </c>
      <c r="H315" s="1" t="s">
        <v>19</v>
      </c>
      <c r="I315" s="1" t="s">
        <v>20</v>
      </c>
      <c r="J315" s="1" t="s">
        <v>1383</v>
      </c>
      <c r="K315" s="1" t="s">
        <v>22</v>
      </c>
      <c r="L315" s="1" t="str">
        <f>HYPERLINK("https://files.afu.se/Downloads/Transcripts/0%20-%20Government/USA%20-%20NASA%20Johnson/2020 09 09 - NASA Johnson - Palace in the Sky   Down To Earth - S1 E17_agwlu0wR1_w - transcript (automated).pdf","Transcript Link")</f>
        <v>Transcript Link</v>
      </c>
      <c r="M315" s="2" t="str">
        <f>HYPERLINK("https://files.afu.se/Downloads/Transcripts/0%20-%20Government/USA%20-%20NASA%20Johnson/2020 09 09 - NASA Johnson - Palace in the Sky   Down To Earth - S1 E17_agwlu0wR1_w - transcript (automated).pdf","Transcript Link")</f>
        <v>Transcript Link</v>
      </c>
    </row>
    <row r="316" ht="180" spans="1:13">
      <c r="A316" s="1" t="s">
        <v>1379</v>
      </c>
      <c r="B316" s="1" t="s">
        <v>13</v>
      </c>
      <c r="C316" s="4" t="s">
        <v>1384</v>
      </c>
      <c r="D316" s="1" t="s">
        <v>1385</v>
      </c>
      <c r="E316" s="1" t="s">
        <v>1386</v>
      </c>
      <c r="F316" s="4" t="s">
        <v>17</v>
      </c>
      <c r="G316" s="1" t="s">
        <v>18</v>
      </c>
      <c r="H316" s="1" t="s">
        <v>19</v>
      </c>
      <c r="I316" s="1" t="s">
        <v>20</v>
      </c>
      <c r="J316" s="1" t="s">
        <v>1387</v>
      </c>
      <c r="K316" s="1" t="s">
        <v>22</v>
      </c>
      <c r="L316" s="1" t="str">
        <f>HYPERLINK("https://files.afu.se/Downloads/Transcripts/0%20-%20Government/USA%20-%20NASA%20Johnson/2020 09 09 - NASA Johnson - Micro-G NExT_DuRtGUBewK4 - transcript (automated).pdf","Transcript Link")</f>
        <v>Transcript Link</v>
      </c>
      <c r="M316" s="2" t="str">
        <f>HYPERLINK("https://files.afu.se/Downloads/Transcripts/0%20-%20Government/USA%20-%20NASA%20Johnson/2020 09 09 - NASA Johnson - Micro-G NExT_DuRtGUBewK4 - transcript (automated).pdf","Transcript Link")</f>
        <v>Transcript Link</v>
      </c>
    </row>
    <row r="317" ht="300" spans="1:13">
      <c r="A317" s="1" t="s">
        <v>1388</v>
      </c>
      <c r="B317" s="1" t="s">
        <v>13</v>
      </c>
      <c r="C317" s="4" t="s">
        <v>1389</v>
      </c>
      <c r="D317" s="1" t="s">
        <v>1390</v>
      </c>
      <c r="E317" s="1" t="s">
        <v>31</v>
      </c>
      <c r="F317" s="4" t="s">
        <v>17</v>
      </c>
      <c r="G317" s="1" t="s">
        <v>18</v>
      </c>
      <c r="H317" s="1" t="s">
        <v>19</v>
      </c>
      <c r="I317" s="1" t="s">
        <v>20</v>
      </c>
      <c r="J317" s="1" t="s">
        <v>1391</v>
      </c>
      <c r="K317" s="1" t="s">
        <v>22</v>
      </c>
      <c r="L317" s="1" t="str">
        <f>HYPERLINK("https://files.afu.se/Downloads/Transcripts/0%20-%20Government/USA%20-%20NASA%20Johnson/2020 09 04 - NASA Johnson - Space to Ground  Following Chris  09 04 2020_yc2MsGbgTuw - transcript (automated).pdf","Transcript Link")</f>
        <v>Transcript Link</v>
      </c>
      <c r="M317" s="2" t="str">
        <f>HYPERLINK("https://files.afu.se/Downloads/Transcripts/0%20-%20Government/USA%20-%20NASA%20Johnson/2020 09 04 - NASA Johnson - Space to Ground  Following Chris  09 04 2020_yc2MsGbgTuw - transcript (automated).pdf","Transcript Link")</f>
        <v>Transcript Link</v>
      </c>
    </row>
    <row r="318" ht="360" spans="1:13">
      <c r="A318" s="1" t="s">
        <v>1392</v>
      </c>
      <c r="B318" s="1" t="s">
        <v>13</v>
      </c>
      <c r="C318" s="4" t="s">
        <v>1393</v>
      </c>
      <c r="D318" s="1" t="s">
        <v>1394</v>
      </c>
      <c r="E318" s="1" t="s">
        <v>1395</v>
      </c>
      <c r="F318" s="4" t="s">
        <v>17</v>
      </c>
      <c r="G318" s="1" t="s">
        <v>18</v>
      </c>
      <c r="H318" s="1" t="s">
        <v>19</v>
      </c>
      <c r="I318" s="1" t="s">
        <v>20</v>
      </c>
      <c r="J318" s="1" t="s">
        <v>1396</v>
      </c>
      <c r="K318" s="1" t="s">
        <v>22</v>
      </c>
      <c r="L318" s="1" t="str">
        <f>HYPERLINK("https://files.afu.se/Downloads/Transcripts/0%20-%20Government/USA%20-%20NASA%20Johnson/2020 09 02 - NASA Johnson - Artemis  Inside the Latest Achievements – Episode 25_h2BdBDYqXJE - transcript (automated).pdf","Transcript Link")</f>
        <v>Transcript Link</v>
      </c>
      <c r="M318" s="2" t="str">
        <f>HYPERLINK("https://files.afu.se/Downloads/Transcripts/0%20-%20Government/USA%20-%20NASA%20Johnson/2020 09 02 - NASA Johnson - Artemis  Inside the Latest Achievements – Episode 25_h2BdBDYqXJE - transcript (automated).pdf","Transcript Link")</f>
        <v>Transcript Link</v>
      </c>
    </row>
    <row r="319" ht="255" spans="1:13">
      <c r="A319" s="1" t="s">
        <v>1397</v>
      </c>
      <c r="B319" s="1" t="s">
        <v>13</v>
      </c>
      <c r="C319" s="4" t="s">
        <v>1398</v>
      </c>
      <c r="D319" s="1" t="s">
        <v>1399</v>
      </c>
      <c r="E319" s="1" t="s">
        <v>1400</v>
      </c>
      <c r="F319" s="4" t="s">
        <v>17</v>
      </c>
      <c r="G319" s="1" t="s">
        <v>18</v>
      </c>
      <c r="H319" s="1" t="s">
        <v>19</v>
      </c>
      <c r="I319" s="1" t="s">
        <v>20</v>
      </c>
      <c r="J319" s="1" t="s">
        <v>1401</v>
      </c>
      <c r="K319" s="1" t="s">
        <v>22</v>
      </c>
      <c r="L319" s="1" t="str">
        <f>HYPERLINK("https://files.afu.se/Downloads/Transcripts/0%20-%20Government/USA%20-%20NASA%20Johnson/2020 08 25 - NASA Johnson - Students Use Ham Radio to Call an Astronaut in Space_1clACXLdDhs - transcript (automated).pdf","Transcript Link")</f>
        <v>Transcript Link</v>
      </c>
      <c r="M319" s="2" t="str">
        <f>HYPERLINK("https://files.afu.se/Downloads/Transcripts/0%20-%20Government/USA%20-%20NASA%20Johnson/2020 08 25 - NASA Johnson - Students Use Ham Radio to Call an Astronaut in Space_1clACXLdDhs - transcript (automated).pdf","Transcript Link")</f>
        <v>Transcript Link</v>
      </c>
    </row>
    <row r="320" ht="180" spans="1:13">
      <c r="A320" s="1" t="s">
        <v>1402</v>
      </c>
      <c r="B320" s="1" t="s">
        <v>13</v>
      </c>
      <c r="C320" s="4" t="s">
        <v>1403</v>
      </c>
      <c r="D320" s="1" t="s">
        <v>1404</v>
      </c>
      <c r="E320" s="1" t="s">
        <v>1405</v>
      </c>
      <c r="F320" s="4" t="s">
        <v>17</v>
      </c>
      <c r="G320" s="1" t="s">
        <v>18</v>
      </c>
      <c r="H320" s="1" t="s">
        <v>19</v>
      </c>
      <c r="I320" s="1" t="s">
        <v>20</v>
      </c>
      <c r="J320" s="1" t="s">
        <v>1406</v>
      </c>
      <c r="K320" s="1" t="s">
        <v>22</v>
      </c>
      <c r="L320" s="1" t="str">
        <f>HYPERLINK("https://files.afu.se/Downloads/Transcripts/0%20-%20Government/USA%20-%20NASA%20Johnson/2020 08 24 - NASA Johnson - TROPICAL STORM LAURA VIEWED FROM INTERNATIONAL SPACE STATION_XWOyh_U5qRQ - transcript (automated).pdf","Transcript Link")</f>
        <v>Transcript Link</v>
      </c>
      <c r="M320" s="2" t="str">
        <f>HYPERLINK("https://files.afu.se/Downloads/Transcripts/0%20-%20Government/USA%20-%20NASA%20Johnson/2020 08 24 - NASA Johnson - TROPICAL STORM LAURA VIEWED FROM INTERNATIONAL SPACE STATION_XWOyh_U5qRQ - transcript (automated).pdf","Transcript Link")</f>
        <v>Transcript Link</v>
      </c>
    </row>
    <row r="321" ht="300" spans="1:13">
      <c r="A321" s="1" t="s">
        <v>1407</v>
      </c>
      <c r="B321" s="1" t="s">
        <v>13</v>
      </c>
      <c r="C321" s="4" t="s">
        <v>1408</v>
      </c>
      <c r="D321" s="1" t="s">
        <v>1409</v>
      </c>
      <c r="E321" s="1" t="s">
        <v>31</v>
      </c>
      <c r="F321" s="4" t="s">
        <v>17</v>
      </c>
      <c r="G321" s="1" t="s">
        <v>18</v>
      </c>
      <c r="H321" s="1" t="s">
        <v>19</v>
      </c>
      <c r="I321" s="1" t="s">
        <v>20</v>
      </c>
      <c r="J321" s="1" t="s">
        <v>1410</v>
      </c>
      <c r="K321" s="1" t="s">
        <v>22</v>
      </c>
      <c r="L321" s="1" t="str">
        <f>HYPERLINK("https://files.afu.se/Downloads/Transcripts/0%20-%20Government/USA%20-%20NASA%20Johnson/2020 08 21 - NASA Johnson - Space to Ground  Final Flight  08 21 2020_Qn3SbSn2J9U - transcript (automated).pdf","Transcript Link")</f>
        <v>Transcript Link</v>
      </c>
      <c r="M321" s="2" t="str">
        <f>HYPERLINK("https://files.afu.se/Downloads/Transcripts/0%20-%20Government/USA%20-%20NASA%20Johnson/2020 08 21 - NASA Johnson - Space to Ground  Final Flight  08 21 2020_Qn3SbSn2J9U - transcript (automated).pdf","Transcript Link")</f>
        <v>Transcript Link</v>
      </c>
    </row>
    <row r="322" ht="300" spans="1:13">
      <c r="A322" s="1" t="s">
        <v>1411</v>
      </c>
      <c r="B322" s="1" t="s">
        <v>13</v>
      </c>
      <c r="C322" s="4" t="s">
        <v>1412</v>
      </c>
      <c r="D322" s="1" t="s">
        <v>1413</v>
      </c>
      <c r="E322" s="1" t="s">
        <v>31</v>
      </c>
      <c r="F322" s="4" t="s">
        <v>17</v>
      </c>
      <c r="G322" s="1" t="s">
        <v>18</v>
      </c>
      <c r="H322" s="1" t="s">
        <v>19</v>
      </c>
      <c r="I322" s="1" t="s">
        <v>20</v>
      </c>
      <c r="J322" s="1" t="s">
        <v>1414</v>
      </c>
      <c r="K322" s="1" t="s">
        <v>22</v>
      </c>
      <c r="L322" s="1" t="str">
        <f>HYPERLINK("https://files.afu.se/Downloads/Transcripts/0%20-%20Government/USA%20-%20NASA%20Johnson/2020 08 14 - NASA Johnson - Space to Ground  The Checklist  08 14 2020_NQ5ThYhnMz8 - transcript (automated).pdf","Transcript Link")</f>
        <v>Transcript Link</v>
      </c>
      <c r="M322" s="2" t="str">
        <f>HYPERLINK("https://files.afu.se/Downloads/Transcripts/0%20-%20Government/USA%20-%20NASA%20Johnson/2020 08 14 - NASA Johnson - Space to Ground  The Checklist  08 14 2020_NQ5ThYhnMz8 - transcript (automated).pdf","Transcript Link")</f>
        <v>Transcript Link</v>
      </c>
    </row>
    <row r="323" ht="255" spans="1:13">
      <c r="A323" s="1" t="s">
        <v>1415</v>
      </c>
      <c r="B323" s="1" t="s">
        <v>13</v>
      </c>
      <c r="C323" s="4" t="s">
        <v>1416</v>
      </c>
      <c r="D323" s="1" t="s">
        <v>1417</v>
      </c>
      <c r="E323" s="1" t="s">
        <v>1418</v>
      </c>
      <c r="F323" s="4" t="s">
        <v>17</v>
      </c>
      <c r="G323" s="1" t="s">
        <v>18</v>
      </c>
      <c r="H323" s="1" t="s">
        <v>19</v>
      </c>
      <c r="I323" s="1" t="s">
        <v>20</v>
      </c>
      <c r="J323" s="1" t="s">
        <v>1419</v>
      </c>
      <c r="K323" s="1" t="s">
        <v>22</v>
      </c>
      <c r="L323" s="1" t="str">
        <f>HYPERLINK("https://files.afu.se/Downloads/Transcripts/0%20-%20Government/USA%20-%20NASA%20Johnson/2020 08 07 - NASA Johnson - Space to Ground  Gulf Coast Splashdown  08 07 2020_zdAHCtHmYTY - transcript (automated).pdf","Transcript Link")</f>
        <v>Transcript Link</v>
      </c>
      <c r="M323" s="2" t="str">
        <f>HYPERLINK("https://files.afu.se/Downloads/Transcripts/0%20-%20Government/USA%20-%20NASA%20Johnson/2020 08 07 - NASA Johnson - Space to Ground  Gulf Coast Splashdown  08 07 2020_zdAHCtHmYTY - transcript (automated).pdf","Transcript Link")</f>
        <v>Transcript Link</v>
      </c>
    </row>
    <row r="324" ht="180" spans="1:13">
      <c r="A324" s="1" t="s">
        <v>1420</v>
      </c>
      <c r="B324" s="1" t="s">
        <v>13</v>
      </c>
      <c r="C324" s="4" t="s">
        <v>1421</v>
      </c>
      <c r="D324" s="1" t="s">
        <v>1422</v>
      </c>
      <c r="E324" s="1" t="s">
        <v>1423</v>
      </c>
      <c r="F324" s="4" t="s">
        <v>17</v>
      </c>
      <c r="G324" s="1" t="s">
        <v>18</v>
      </c>
      <c r="H324" s="1" t="s">
        <v>19</v>
      </c>
      <c r="I324" s="1" t="s">
        <v>20</v>
      </c>
      <c r="J324" s="1" t="s">
        <v>1424</v>
      </c>
      <c r="K324" s="1" t="s">
        <v>22</v>
      </c>
      <c r="L324" s="1" t="str">
        <f>HYPERLINK("https://files.afu.se/Downloads/Transcripts/0%20-%20Government/USA%20-%20NASA%20Johnson/2020 08 05 - NASA Johnson - All in This Together   Down To Earth - S1 E16_Bcxqr4X7a-A - transcript (automated).pdf","Transcript Link")</f>
        <v>Transcript Link</v>
      </c>
      <c r="M324" s="2" t="str">
        <f>HYPERLINK("https://files.afu.se/Downloads/Transcripts/0%20-%20Government/USA%20-%20NASA%20Johnson/2020 08 05 - NASA Johnson - All in This Together   Down To Earth - S1 E16_Bcxqr4X7a-A - transcript (automated).pdf","Transcript Link")</f>
        <v>Transcript Link</v>
      </c>
    </row>
    <row r="325" ht="285" spans="1:13">
      <c r="A325" s="1" t="s">
        <v>1425</v>
      </c>
      <c r="B325" s="1" t="s">
        <v>13</v>
      </c>
      <c r="C325" s="4" t="s">
        <v>1426</v>
      </c>
      <c r="D325" s="1" t="s">
        <v>1427</v>
      </c>
      <c r="E325" s="1" t="s">
        <v>1428</v>
      </c>
      <c r="F325" s="4" t="s">
        <v>17</v>
      </c>
      <c r="G325" s="1" t="s">
        <v>18</v>
      </c>
      <c r="H325" s="1" t="s">
        <v>19</v>
      </c>
      <c r="I325" s="1" t="s">
        <v>20</v>
      </c>
      <c r="J325" s="1" t="s">
        <v>1429</v>
      </c>
      <c r="K325" s="1" t="s">
        <v>22</v>
      </c>
      <c r="L325" s="1" t="str">
        <f>HYPERLINK("https://files.afu.se/Downloads/Transcripts/0%20-%20Government/USA%20-%20NASA%20Johnson/2020 08 04 - NASA Johnson - It’s A Great Day to be Alive_ckk5PZ1ZSck - transcript (automated).pdf","Transcript Link")</f>
        <v>Transcript Link</v>
      </c>
      <c r="M325" s="2" t="str">
        <f>HYPERLINK("https://files.afu.se/Downloads/Transcripts/0%20-%20Government/USA%20-%20NASA%20Johnson/2020 08 04 - NASA Johnson - It’s A Great Day to be Alive_ckk5PZ1ZSck - transcript (automated).pdf","Transcript Link")</f>
        <v>Transcript Link</v>
      </c>
    </row>
    <row r="326" ht="409.5" spans="1:13">
      <c r="A326" s="1" t="s">
        <v>1430</v>
      </c>
      <c r="B326" s="1" t="s">
        <v>13</v>
      </c>
      <c r="C326" s="4" t="s">
        <v>1431</v>
      </c>
      <c r="D326" s="1" t="s">
        <v>1432</v>
      </c>
      <c r="E326" s="1" t="s">
        <v>1433</v>
      </c>
      <c r="F326" s="4" t="s">
        <v>17</v>
      </c>
      <c r="G326" s="1" t="s">
        <v>18</v>
      </c>
      <c r="H326" s="1" t="s">
        <v>19</v>
      </c>
      <c r="I326" s="1" t="s">
        <v>20</v>
      </c>
      <c r="J326" s="1" t="s">
        <v>1434</v>
      </c>
      <c r="K326" s="1" t="s">
        <v>22</v>
      </c>
      <c r="L326" s="1" t="str">
        <f>HYPERLINK("https://files.afu.se/Downloads/Transcripts/0%20-%20Government/USA%20-%20NASA%20Johnson/2020 08 03 - NASA Johnson - NASA's SpaceX DM-2 Mission Highlights_iaeNBjIoPa8 - transcript (automated).pdf","Transcript Link")</f>
        <v>Transcript Link</v>
      </c>
      <c r="M326" s="2" t="str">
        <f>HYPERLINK("https://files.afu.se/Downloads/Transcripts/0%20-%20Government/USA%20-%20NASA%20Johnson/2020 08 03 - NASA Johnson - NASA's SpaceX DM-2 Mission Highlights_iaeNBjIoPa8 - transcript (automated).pdf","Transcript Link")</f>
        <v>Transcript Link</v>
      </c>
    </row>
    <row r="327" ht="255" spans="1:13">
      <c r="A327" s="1" t="s">
        <v>1435</v>
      </c>
      <c r="B327" s="1" t="s">
        <v>13</v>
      </c>
      <c r="C327" s="4" t="s">
        <v>1436</v>
      </c>
      <c r="D327" s="1" t="s">
        <v>1437</v>
      </c>
      <c r="E327" s="1" t="s">
        <v>1418</v>
      </c>
      <c r="F327" s="4" t="s">
        <v>17</v>
      </c>
      <c r="G327" s="1" t="s">
        <v>18</v>
      </c>
      <c r="H327" s="1" t="s">
        <v>19</v>
      </c>
      <c r="I327" s="1" t="s">
        <v>20</v>
      </c>
      <c r="J327" s="1" t="s">
        <v>1438</v>
      </c>
      <c r="K327" s="1" t="s">
        <v>22</v>
      </c>
      <c r="L327" s="1" t="str">
        <f>HYPERLINK("https://files.afu.se/Downloads/Transcripts/0%20-%20Government/USA%20-%20NASA%20Johnson/2020 07 31 - NASA Johnson - Space to Ground  %23BecauseScience  07 31 2020_DoTs3-bQRo0 - transcript (automated).pdf","Transcript Link")</f>
        <v>Transcript Link</v>
      </c>
      <c r="M327" s="2" t="str">
        <f>HYPERLINK("https://files.afu.se/Downloads/Transcripts/0%20-%20Government/USA%20-%20NASA%20Johnson/2020 07 31 - NASA Johnson - Space to Ground  %23BecauseScience  07 31 2020_DoTs3-bQRo0 - transcript (automated).pdf","Transcript Link")</f>
        <v>Transcript Link</v>
      </c>
    </row>
    <row r="328" ht="255" spans="1:13">
      <c r="A328" s="1" t="s">
        <v>1439</v>
      </c>
      <c r="B328" s="1" t="s">
        <v>13</v>
      </c>
      <c r="C328" s="4" t="s">
        <v>1440</v>
      </c>
      <c r="D328" s="1" t="s">
        <v>1441</v>
      </c>
      <c r="E328" s="1" t="s">
        <v>1418</v>
      </c>
      <c r="F328" s="4" t="s">
        <v>17</v>
      </c>
      <c r="G328" s="1" t="s">
        <v>18</v>
      </c>
      <c r="H328" s="1" t="s">
        <v>19</v>
      </c>
      <c r="I328" s="1" t="s">
        <v>20</v>
      </c>
      <c r="J328" s="1" t="s">
        <v>1442</v>
      </c>
      <c r="K328" s="1" t="s">
        <v>22</v>
      </c>
      <c r="L328" s="1" t="str">
        <f>HYPERLINK("https://files.afu.se/Downloads/Transcripts/0%20-%20Government/USA%20-%20NASA%20Johnson/2020 07 24 - NASA Johnson - Space to Ground  Same Day Delivery  07 24 2020_LLziUxoVA54 - transcript (automated).pdf","Transcript Link")</f>
        <v>Transcript Link</v>
      </c>
      <c r="M328" s="2" t="str">
        <f>HYPERLINK("https://files.afu.se/Downloads/Transcripts/0%20-%20Government/USA%20-%20NASA%20Johnson/2020 07 24 - NASA Johnson - Space to Ground  Same Day Delivery  07 24 2020_LLziUxoVA54 - transcript (automated).pdf","Transcript Link")</f>
        <v>Transcript Link</v>
      </c>
    </row>
    <row r="329" ht="270" spans="1:13">
      <c r="A329" s="1" t="s">
        <v>1443</v>
      </c>
      <c r="B329" s="1" t="s">
        <v>13</v>
      </c>
      <c r="C329" s="4" t="s">
        <v>1444</v>
      </c>
      <c r="D329" s="1" t="s">
        <v>1445</v>
      </c>
      <c r="E329" s="1" t="s">
        <v>1446</v>
      </c>
      <c r="F329" s="4" t="s">
        <v>17</v>
      </c>
      <c r="G329" s="1" t="s">
        <v>18</v>
      </c>
      <c r="H329" s="1" t="s">
        <v>19</v>
      </c>
      <c r="I329" s="1" t="s">
        <v>20</v>
      </c>
      <c r="J329" s="1" t="s">
        <v>1447</v>
      </c>
      <c r="K329" s="1" t="s">
        <v>22</v>
      </c>
      <c r="L329" s="1" t="str">
        <f>HYPERLINK("https://files.afu.se/Downloads/Transcripts/0%20-%20Government/USA%20-%20NASA%20Johnson/2020 07 22 - NASA Johnson - Fruit Punch and Foam  Managing Liquids in Space_2Dzx6b6vSK4 - transcript (automated).pdf","Transcript Link")</f>
        <v>Transcript Link</v>
      </c>
      <c r="M329" s="2" t="str">
        <f>HYPERLINK("https://files.afu.se/Downloads/Transcripts/0%20-%20Government/USA%20-%20NASA%20Johnson/2020 07 22 - NASA Johnson - Fruit Punch and Foam  Managing Liquids in Space_2Dzx6b6vSK4 - transcript (automated).pdf","Transcript Link")</f>
        <v>Transcript Link</v>
      </c>
    </row>
    <row r="330" ht="285" spans="1:13">
      <c r="A330" s="1" t="s">
        <v>1448</v>
      </c>
      <c r="B330" s="1" t="s">
        <v>13</v>
      </c>
      <c r="C330" s="4" t="s">
        <v>1449</v>
      </c>
      <c r="D330" s="1" t="s">
        <v>1450</v>
      </c>
      <c r="E330" s="1" t="s">
        <v>1451</v>
      </c>
      <c r="F330" s="4" t="s">
        <v>17</v>
      </c>
      <c r="G330" s="1" t="s">
        <v>18</v>
      </c>
      <c r="H330" s="1" t="s">
        <v>19</v>
      </c>
      <c r="I330" s="1" t="s">
        <v>20</v>
      </c>
      <c r="J330" s="1" t="s">
        <v>1452</v>
      </c>
      <c r="K330" s="1" t="s">
        <v>22</v>
      </c>
      <c r="L330" s="1" t="str">
        <f>HYPERLINK("https://files.afu.se/Downloads/Transcripts/0%20-%20Government/USA%20-%20NASA%20Johnson/2020 07 21 - NASA Johnson - SpaceX Crew Dragon Flies Through Habitability Testing_kw64FUpCNCA - transcript (automated).pdf","Transcript Link")</f>
        <v>Transcript Link</v>
      </c>
      <c r="M330" s="2" t="str">
        <f>HYPERLINK("https://files.afu.se/Downloads/Transcripts/0%20-%20Government/USA%20-%20NASA%20Johnson/2020 07 21 - NASA Johnson - SpaceX Crew Dragon Flies Through Habitability Testing_kw64FUpCNCA - transcript (automated).pdf","Transcript Link")</f>
        <v>Transcript Link</v>
      </c>
    </row>
    <row r="331" ht="330" spans="1:13">
      <c r="A331" s="1" t="s">
        <v>1453</v>
      </c>
      <c r="B331" s="1" t="s">
        <v>13</v>
      </c>
      <c r="C331" s="4" t="s">
        <v>1454</v>
      </c>
      <c r="D331" s="1" t="s">
        <v>1455</v>
      </c>
      <c r="E331" s="1" t="s">
        <v>1456</v>
      </c>
      <c r="F331" s="4" t="s">
        <v>17</v>
      </c>
      <c r="G331" s="1" t="s">
        <v>18</v>
      </c>
      <c r="H331" s="1" t="s">
        <v>19</v>
      </c>
      <c r="I331" s="1" t="s">
        <v>20</v>
      </c>
      <c r="J331" s="1" t="s">
        <v>1457</v>
      </c>
      <c r="K331" s="1" t="s">
        <v>22</v>
      </c>
      <c r="L331" s="1" t="str">
        <f>HYPERLINK("https://files.afu.se/Downloads/Transcripts/0%20-%20Government/USA%20-%20NASA%20Johnson/2020 07 17 - NASA Johnson - Space to Ground  Outside The Hatch  07 17 2020_5hNSgkEqx9U - transcript (automated).pdf","Transcript Link")</f>
        <v>Transcript Link</v>
      </c>
      <c r="M331" s="2" t="str">
        <f>HYPERLINK("https://files.afu.se/Downloads/Transcripts/0%20-%20Government/USA%20-%20NASA%20Johnson/2020 07 17 - NASA Johnson - Space to Ground  Outside The Hatch  07 17 2020_5hNSgkEqx9U - transcript (automated).pdf","Transcript Link")</f>
        <v>Transcript Link</v>
      </c>
    </row>
    <row r="332" ht="180" spans="1:13">
      <c r="A332" s="1" t="s">
        <v>1458</v>
      </c>
      <c r="B332" s="1" t="s">
        <v>13</v>
      </c>
      <c r="C332" s="4" t="s">
        <v>1459</v>
      </c>
      <c r="D332" s="1" t="s">
        <v>1460</v>
      </c>
      <c r="E332" s="1" t="s">
        <v>1461</v>
      </c>
      <c r="F332" s="4" t="s">
        <v>17</v>
      </c>
      <c r="G332" s="1" t="s">
        <v>18</v>
      </c>
      <c r="H332" s="1" t="s">
        <v>19</v>
      </c>
      <c r="I332" s="1" t="s">
        <v>20</v>
      </c>
      <c r="J332" s="1" t="s">
        <v>1462</v>
      </c>
      <c r="K332" s="1" t="s">
        <v>22</v>
      </c>
      <c r="L332" s="1" t="str">
        <f>HYPERLINK("https://files.afu.se/Downloads/Transcripts/0%20-%20Government/USA%20-%20NASA%20Johnson/2020 07 14 - NASA Johnson - Reach for the Stars   Down To Earth - S1 E15_kTROaE33Kn4 - transcript (automated).pdf","Transcript Link")</f>
        <v>Transcript Link</v>
      </c>
      <c r="M332" s="2" t="str">
        <f>HYPERLINK("https://files.afu.se/Downloads/Transcripts/0%20-%20Government/USA%20-%20NASA%20Johnson/2020 07 14 - NASA Johnson - Reach for the Stars   Down To Earth - S1 E15_kTROaE33Kn4 - transcript (automated).pdf","Transcript Link")</f>
        <v>Transcript Link</v>
      </c>
    </row>
    <row r="333" ht="270" spans="1:13">
      <c r="A333" s="1" t="s">
        <v>1463</v>
      </c>
      <c r="B333" s="1" t="s">
        <v>13</v>
      </c>
      <c r="C333" s="4" t="s">
        <v>1464</v>
      </c>
      <c r="D333" s="1" t="s">
        <v>1465</v>
      </c>
      <c r="E333" s="1" t="s">
        <v>1466</v>
      </c>
      <c r="F333" s="4" t="s">
        <v>17</v>
      </c>
      <c r="G333" s="1" t="s">
        <v>18</v>
      </c>
      <c r="H333" s="1" t="s">
        <v>19</v>
      </c>
      <c r="I333" s="1" t="s">
        <v>20</v>
      </c>
      <c r="J333" s="1" t="s">
        <v>1467</v>
      </c>
      <c r="K333" s="1" t="s">
        <v>22</v>
      </c>
      <c r="L333" s="1" t="str">
        <f>HYPERLINK("https://files.afu.se/Downloads/Transcripts/0%20-%20Government/USA%20-%20NASA%20Johnson/2020 07 10 - NASA Johnson - Behind the Scenes in Space During Historic SpaceX DM-2 Launch and Docking_D9FLgwnNWEY - transcript (automated).pdf","Transcript Link")</f>
        <v>Transcript Link</v>
      </c>
      <c r="M333" s="2" t="str">
        <f>HYPERLINK("https://files.afu.se/Downloads/Transcripts/0%20-%20Government/USA%20-%20NASA%20Johnson/2020 07 10 - NASA Johnson - Behind the Scenes in Space During Historic SpaceX DM-2 Launch and Docking_D9FLgwnNWEY - transcript (automated).pdf","Transcript Link")</f>
        <v>Transcript Link</v>
      </c>
    </row>
    <row r="334" ht="255" spans="1:13">
      <c r="A334" s="1" t="s">
        <v>1463</v>
      </c>
      <c r="B334" s="1" t="s">
        <v>13</v>
      </c>
      <c r="C334" s="4" t="s">
        <v>1468</v>
      </c>
      <c r="D334" s="1" t="s">
        <v>1469</v>
      </c>
      <c r="E334" s="1" t="s">
        <v>1418</v>
      </c>
      <c r="F334" s="4" t="s">
        <v>17</v>
      </c>
      <c r="G334" s="1" t="s">
        <v>18</v>
      </c>
      <c r="H334" s="1" t="s">
        <v>19</v>
      </c>
      <c r="I334" s="1" t="s">
        <v>20</v>
      </c>
      <c r="J334" s="1" t="s">
        <v>1470</v>
      </c>
      <c r="K334" s="1" t="s">
        <v>22</v>
      </c>
      <c r="L334" s="1" t="str">
        <f>HYPERLINK("https://files.afu.se/Downloads/Transcripts/0%20-%20Government/USA%20-%20NASA%20Johnson/2020 07 10 - NASA Johnson - Space to Ground  Dragon's Den  07 10 2020_aoSr6y4gBdw - transcript (automated).pdf","Transcript Link")</f>
        <v>Transcript Link</v>
      </c>
      <c r="M334" s="2" t="str">
        <f>HYPERLINK("https://files.afu.se/Downloads/Transcripts/0%20-%20Government/USA%20-%20NASA%20Johnson/2020 07 10 - NASA Johnson - Space to Ground  Dragon's Den  07 10 2020_aoSr6y4gBdw - transcript (automated).pdf","Transcript Link")</f>
        <v>Transcript Link</v>
      </c>
    </row>
    <row r="335" ht="255" spans="1:13">
      <c r="A335" s="1" t="s">
        <v>1471</v>
      </c>
      <c r="B335" s="1" t="s">
        <v>13</v>
      </c>
      <c r="C335" s="4" t="s">
        <v>1472</v>
      </c>
      <c r="D335" s="1" t="s">
        <v>1473</v>
      </c>
      <c r="E335" s="1" t="s">
        <v>1418</v>
      </c>
      <c r="F335" s="4" t="s">
        <v>17</v>
      </c>
      <c r="G335" s="1" t="s">
        <v>18</v>
      </c>
      <c r="H335" s="1" t="s">
        <v>19</v>
      </c>
      <c r="I335" s="1" t="s">
        <v>20</v>
      </c>
      <c r="J335" s="1" t="s">
        <v>1474</v>
      </c>
      <c r="K335" s="1" t="s">
        <v>22</v>
      </c>
      <c r="L335" s="1" t="str">
        <f>HYPERLINK("https://files.afu.se/Downloads/Transcripts/0%20-%20Government/USA%20-%20NASA%20Johnson/2020 07 03 - NASA Johnson - Space to Ground  New &amp; Improved  07 03 2020_ANjyApJx8X0 - transcript (automated).pdf","Transcript Link")</f>
        <v>Transcript Link</v>
      </c>
      <c r="M335" s="2" t="str">
        <f>HYPERLINK("https://files.afu.se/Downloads/Transcripts/0%20-%20Government/USA%20-%20NASA%20Johnson/2020 07 03 - NASA Johnson - Space to Ground  New &amp; Improved  07 03 2020_ANjyApJx8X0 - transcript (automated).pdf","Transcript Link")</f>
        <v>Transcript Link</v>
      </c>
    </row>
    <row r="336" ht="195" spans="1:13">
      <c r="A336" s="1" t="s">
        <v>1475</v>
      </c>
      <c r="B336" s="1" t="s">
        <v>13</v>
      </c>
      <c r="C336" s="4" t="s">
        <v>1476</v>
      </c>
      <c r="D336" s="1" t="s">
        <v>1477</v>
      </c>
      <c r="E336" s="1" t="s">
        <v>1478</v>
      </c>
      <c r="F336" s="4" t="s">
        <v>17</v>
      </c>
      <c r="G336" s="1" t="s">
        <v>18</v>
      </c>
      <c r="H336" s="1" t="s">
        <v>19</v>
      </c>
      <c r="I336" s="1" t="s">
        <v>20</v>
      </c>
      <c r="J336" s="1" t="s">
        <v>1479</v>
      </c>
      <c r="K336" s="1" t="s">
        <v>22</v>
      </c>
      <c r="L336" s="1" t="str">
        <f>HYPERLINK("https://files.afu.se/Downloads/Transcripts/0%20-%20Government/USA%20-%20NASA%20Johnson/2020 07 02 - NASA Johnson - Expedition 63 July 4th Message - July 3, 2020_zLGKYQ7FvUs - transcript (automated).pdf","Transcript Link")</f>
        <v>Transcript Link</v>
      </c>
      <c r="M336" s="2" t="str">
        <f>HYPERLINK("https://files.afu.se/Downloads/Transcripts/0%20-%20Government/USA%20-%20NASA%20Johnson/2020 07 02 - NASA Johnson - Expedition 63 July 4th Message - July 3, 2020_zLGKYQ7FvUs - transcript (automated).pdf","Transcript Link")</f>
        <v>Transcript Link</v>
      </c>
    </row>
    <row r="337" ht="180" spans="1:13">
      <c r="A337" s="1" t="s">
        <v>1480</v>
      </c>
      <c r="B337" s="1" t="s">
        <v>13</v>
      </c>
      <c r="C337" s="4" t="s">
        <v>1481</v>
      </c>
      <c r="D337" s="1" t="s">
        <v>1482</v>
      </c>
      <c r="E337" s="1" t="s">
        <v>1483</v>
      </c>
      <c r="F337" s="4" t="s">
        <v>17</v>
      </c>
      <c r="G337" s="1" t="s">
        <v>18</v>
      </c>
      <c r="H337" s="1" t="s">
        <v>19</v>
      </c>
      <c r="I337" s="1" t="s">
        <v>20</v>
      </c>
      <c r="J337" s="1" t="s">
        <v>1484</v>
      </c>
      <c r="K337" s="1" t="s">
        <v>22</v>
      </c>
      <c r="L337" s="1" t="str">
        <f>HYPERLINK("https://files.afu.se/Downloads/Transcripts/0%20-%20Government/USA%20-%20NASA%20Johnson/2020 06 30 - NASA Johnson - Unity of Space   Down To Earth - S1 E14_o_jel2vWNAw - transcript (automated).pdf","Transcript Link")</f>
        <v>Transcript Link</v>
      </c>
      <c r="M337" s="2" t="str">
        <f>HYPERLINK("https://files.afu.se/Downloads/Transcripts/0%20-%20Government/USA%20-%20NASA%20Johnson/2020 06 30 - NASA Johnson - Unity of Space   Down To Earth - S1 E14_o_jel2vWNAw - transcript (automated).pdf","Transcript Link")</f>
        <v>Transcript Link</v>
      </c>
    </row>
    <row r="338" ht="180" spans="1:13">
      <c r="A338" s="1" t="s">
        <v>1485</v>
      </c>
      <c r="B338" s="1" t="s">
        <v>13</v>
      </c>
      <c r="C338" s="4" t="s">
        <v>1486</v>
      </c>
      <c r="D338" s="1" t="s">
        <v>1487</v>
      </c>
      <c r="E338" s="1" t="s">
        <v>1488</v>
      </c>
      <c r="F338" s="4" t="s">
        <v>17</v>
      </c>
      <c r="G338" s="1" t="s">
        <v>18</v>
      </c>
      <c r="H338" s="1" t="s">
        <v>19</v>
      </c>
      <c r="I338" s="1" t="s">
        <v>20</v>
      </c>
      <c r="J338" s="1" t="s">
        <v>1489</v>
      </c>
      <c r="K338" s="1" t="s">
        <v>22</v>
      </c>
      <c r="L338" s="1" t="str">
        <f>HYPERLINK("https://files.afu.se/Downloads/Transcripts/0%20-%20Government/USA%20-%20NASA%20Johnson/2020 06 29 - NASA Johnson - Expedition 63 Solar Annual Eclipse - June 21, 2020_JwgcByUyEyI - transcript (automated).pdf","Transcript Link")</f>
        <v>Transcript Link</v>
      </c>
      <c r="M338" s="2" t="str">
        <f>HYPERLINK("https://files.afu.se/Downloads/Transcripts/0%20-%20Government/USA%20-%20NASA%20Johnson/2020 06 29 - NASA Johnson - Expedition 63 Solar Annual Eclipse - June 21, 2020_JwgcByUyEyI - transcript (automated).pdf","Transcript Link")</f>
        <v>Transcript Link</v>
      </c>
    </row>
    <row r="339" ht="255" spans="1:13">
      <c r="A339" s="1" t="s">
        <v>1490</v>
      </c>
      <c r="B339" s="1" t="s">
        <v>13</v>
      </c>
      <c r="C339" s="4" t="s">
        <v>1491</v>
      </c>
      <c r="D339" s="1" t="s">
        <v>1492</v>
      </c>
      <c r="E339" s="1" t="s">
        <v>1418</v>
      </c>
      <c r="F339" s="4" t="s">
        <v>17</v>
      </c>
      <c r="G339" s="1" t="s">
        <v>18</v>
      </c>
      <c r="H339" s="1" t="s">
        <v>19</v>
      </c>
      <c r="I339" s="1" t="s">
        <v>20</v>
      </c>
      <c r="J339" s="1" t="s">
        <v>1493</v>
      </c>
      <c r="K339" s="1" t="s">
        <v>22</v>
      </c>
      <c r="L339" s="1" t="str">
        <f>HYPERLINK("https://files.afu.se/Downloads/Transcripts/0%20-%20Government/USA%20-%20NASA%20Johnson/2020 06 26 - NASA Johnson - Space to Ground  Channeling Energy  06 26 2020_uS9wZzJKauw - transcript (automated).pdf","Transcript Link")</f>
        <v>Transcript Link</v>
      </c>
      <c r="M339" s="2" t="str">
        <f>HYPERLINK("https://files.afu.se/Downloads/Transcripts/0%20-%20Government/USA%20-%20NASA%20Johnson/2020 06 26 - NASA Johnson - Space to Ground  Channeling Energy  06 26 2020_uS9wZzJKauw - transcript (automated).pdf","Transcript Link")</f>
        <v>Transcript Link</v>
      </c>
    </row>
    <row r="340" ht="360" spans="1:13">
      <c r="A340" s="1" t="s">
        <v>1494</v>
      </c>
      <c r="B340" s="1" t="s">
        <v>13</v>
      </c>
      <c r="C340" s="4" t="s">
        <v>1495</v>
      </c>
      <c r="D340" s="1" t="s">
        <v>1496</v>
      </c>
      <c r="E340" s="1" t="s">
        <v>1497</v>
      </c>
      <c r="F340" s="4" t="s">
        <v>17</v>
      </c>
      <c r="G340" s="1" t="s">
        <v>18</v>
      </c>
      <c r="H340" s="1" t="s">
        <v>19</v>
      </c>
      <c r="I340" s="1" t="s">
        <v>20</v>
      </c>
      <c r="J340" s="1" t="s">
        <v>1498</v>
      </c>
      <c r="K340" s="1" t="s">
        <v>22</v>
      </c>
      <c r="L340" s="1" t="str">
        <f>HYPERLINK("https://files.afu.se/Downloads/Transcripts/0%20-%20Government/USA%20-%20NASA%20Johnson/2020 06 24 - NASA Johnson - US Spacewalk %2366 Animation_GiYD00U1qp0 - transcript (automated).pdf","Transcript Link")</f>
        <v>Transcript Link</v>
      </c>
      <c r="M340" s="2" t="str">
        <f>HYPERLINK("https://files.afu.se/Downloads/Transcripts/0%20-%20Government/USA%20-%20NASA%20Johnson/2020 06 24 - NASA Johnson - US Spacewalk %2366 Animation_GiYD00U1qp0 - transcript (automated).pdf","Transcript Link")</f>
        <v>Transcript Link</v>
      </c>
    </row>
    <row r="341" ht="360" spans="1:13">
      <c r="A341" s="1" t="s">
        <v>1494</v>
      </c>
      <c r="B341" s="1" t="s">
        <v>13</v>
      </c>
      <c r="C341" s="4" t="s">
        <v>1499</v>
      </c>
      <c r="D341" s="1" t="s">
        <v>1500</v>
      </c>
      <c r="E341" s="1" t="s">
        <v>1501</v>
      </c>
      <c r="F341" s="4" t="s">
        <v>17</v>
      </c>
      <c r="G341" s="1" t="s">
        <v>18</v>
      </c>
      <c r="H341" s="1" t="s">
        <v>19</v>
      </c>
      <c r="I341" s="1" t="s">
        <v>20</v>
      </c>
      <c r="J341" s="1" t="s">
        <v>1502</v>
      </c>
      <c r="K341" s="1" t="s">
        <v>22</v>
      </c>
      <c r="L341" s="1" t="str">
        <f>HYPERLINK("https://files.afu.se/Downloads/Transcripts/0%20-%20Government/USA%20-%20NASA%20Johnson/2020 06 24 - NASA Johnson - US Spacewalk %2365 Animation_EyM2t_MKbMI - transcript (automated).pdf","Transcript Link")</f>
        <v>Transcript Link</v>
      </c>
      <c r="M341" s="2" t="str">
        <f>HYPERLINK("https://files.afu.se/Downloads/Transcripts/0%20-%20Government/USA%20-%20NASA%20Johnson/2020 06 24 - NASA Johnson - US Spacewalk %2365 Animation_EyM2t_MKbMI - transcript (automated).pdf","Transcript Link")</f>
        <v>Transcript Link</v>
      </c>
    </row>
    <row r="342" ht="255" spans="1:13">
      <c r="A342" s="1" t="s">
        <v>1503</v>
      </c>
      <c r="B342" s="1" t="s">
        <v>13</v>
      </c>
      <c r="C342" s="4" t="s">
        <v>1504</v>
      </c>
      <c r="D342" s="1" t="s">
        <v>1505</v>
      </c>
      <c r="E342" s="1" t="s">
        <v>1418</v>
      </c>
      <c r="F342" s="4" t="s">
        <v>17</v>
      </c>
      <c r="G342" s="1" t="s">
        <v>18</v>
      </c>
      <c r="H342" s="1" t="s">
        <v>19</v>
      </c>
      <c r="I342" s="1" t="s">
        <v>20</v>
      </c>
      <c r="J342" s="1" t="s">
        <v>1506</v>
      </c>
      <c r="K342" s="1" t="s">
        <v>22</v>
      </c>
      <c r="L342" s="1" t="str">
        <f>HYPERLINK("https://files.afu.se/Downloads/Transcripts/0%20-%20Government/USA%20-%20NASA%20Johnson/2020 06 19 - NASA Johnson - Space to Ground  Alpha Guys  06 19 2020_OiGlZu4uScE - transcript (automated).pdf","Transcript Link")</f>
        <v>Transcript Link</v>
      </c>
      <c r="M342" s="2" t="str">
        <f>HYPERLINK("https://files.afu.se/Downloads/Transcripts/0%20-%20Government/USA%20-%20NASA%20Johnson/2020 06 19 - NASA Johnson - Space to Ground  Alpha Guys  06 19 2020_OiGlZu4uScE - transcript (automated).pdf","Transcript Link")</f>
        <v>Transcript Link</v>
      </c>
    </row>
    <row r="343" ht="180" spans="1:13">
      <c r="A343" s="1" t="s">
        <v>1507</v>
      </c>
      <c r="B343" s="1" t="s">
        <v>13</v>
      </c>
      <c r="C343" s="4" t="s">
        <v>1508</v>
      </c>
      <c r="D343" s="1" t="s">
        <v>1509</v>
      </c>
      <c r="E343" s="1" t="s">
        <v>1510</v>
      </c>
      <c r="F343" s="4" t="s">
        <v>17</v>
      </c>
      <c r="G343" s="1" t="s">
        <v>18</v>
      </c>
      <c r="H343" s="1" t="s">
        <v>19</v>
      </c>
      <c r="I343" s="1" t="s">
        <v>20</v>
      </c>
      <c r="J343" s="1" t="s">
        <v>1511</v>
      </c>
      <c r="K343" s="1" t="s">
        <v>22</v>
      </c>
      <c r="L343" s="1" t="str">
        <f>HYPERLINK("https://files.afu.se/Downloads/Transcripts/0%20-%20Government/USA%20-%20NASA%20Johnson/2020 06 16 - NASA Johnson - The Fragile Earth   Down To Earth - S1 E13_Vs-q_u4qjJs - transcript (automated).pdf","Transcript Link")</f>
        <v>Transcript Link</v>
      </c>
      <c r="M343" s="2" t="str">
        <f>HYPERLINK("https://files.afu.se/Downloads/Transcripts/0%20-%20Government/USA%20-%20NASA%20Johnson/2020 06 16 - NASA Johnson - The Fragile Earth   Down To Earth - S1 E13_Vs-q_u4qjJs - transcript (automated).pdf","Transcript Link")</f>
        <v>Transcript Link</v>
      </c>
    </row>
    <row r="344" ht="255" spans="1:13">
      <c r="A344" s="1" t="s">
        <v>1512</v>
      </c>
      <c r="B344" s="1" t="s">
        <v>13</v>
      </c>
      <c r="C344" s="4" t="s">
        <v>1513</v>
      </c>
      <c r="D344" s="1" t="s">
        <v>1514</v>
      </c>
      <c r="E344" s="1" t="s">
        <v>1418</v>
      </c>
      <c r="F344" s="4" t="s">
        <v>17</v>
      </c>
      <c r="G344" s="1" t="s">
        <v>18</v>
      </c>
      <c r="H344" s="1" t="s">
        <v>19</v>
      </c>
      <c r="I344" s="1" t="s">
        <v>20</v>
      </c>
      <c r="J344" s="1" t="s">
        <v>1515</v>
      </c>
      <c r="K344" s="1" t="s">
        <v>22</v>
      </c>
      <c r="L344" s="1" t="str">
        <f>HYPERLINK("https://files.afu.se/Downloads/Transcripts/0%20-%20Government/USA%20-%20NASA%20Johnson/2020 06 12 - NASA Johnson - Space to Ground  The Storm Above  06 12 2020_9RMqi-163hE - transcript (automated).pdf","Transcript Link")</f>
        <v>Transcript Link</v>
      </c>
      <c r="M344" s="2" t="str">
        <f>HYPERLINK("https://files.afu.se/Downloads/Transcripts/0%20-%20Government/USA%20-%20NASA%20Johnson/2020 06 12 - NASA Johnson - Space to Ground  The Storm Above  06 12 2020_9RMqi-163hE - transcript (automated).pdf","Transcript Link")</f>
        <v>Transcript Link</v>
      </c>
    </row>
    <row r="345" ht="255" spans="1:13">
      <c r="A345" s="1" t="s">
        <v>1516</v>
      </c>
      <c r="B345" s="1" t="s">
        <v>13</v>
      </c>
      <c r="C345" s="4" t="s">
        <v>1517</v>
      </c>
      <c r="D345" s="1" t="s">
        <v>1518</v>
      </c>
      <c r="E345" s="1" t="s">
        <v>1418</v>
      </c>
      <c r="F345" s="4" t="s">
        <v>17</v>
      </c>
      <c r="G345" s="1" t="s">
        <v>18</v>
      </c>
      <c r="H345" s="1" t="s">
        <v>19</v>
      </c>
      <c r="I345" s="1" t="s">
        <v>20</v>
      </c>
      <c r="J345" s="1" t="s">
        <v>1519</v>
      </c>
      <c r="K345" s="1" t="s">
        <v>22</v>
      </c>
      <c r="L345" s="1" t="str">
        <f>HYPERLINK("https://files.afu.se/Downloads/Transcripts/0%20-%20Government/USA%20-%20NASA%20Johnson/2020 06 05 - NASA Johnson - Space to Ground  A New Endeavour  06 05 2020_-3xd5WjUtgc - transcript (automated).pdf","Transcript Link")</f>
        <v>Transcript Link</v>
      </c>
      <c r="M345" s="2" t="str">
        <f>HYPERLINK("https://files.afu.se/Downloads/Transcripts/0%20-%20Government/USA%20-%20NASA%20Johnson/2020 06 05 - NASA Johnson - Space to Ground  A New Endeavour  06 05 2020_-3xd5WjUtgc - transcript (automated).pdf","Transcript Link")</f>
        <v>Transcript Link</v>
      </c>
    </row>
    <row r="346" ht="255" spans="1:13">
      <c r="A346" s="1" t="s">
        <v>1520</v>
      </c>
      <c r="B346" s="1" t="s">
        <v>13</v>
      </c>
      <c r="C346" s="4" t="s">
        <v>1521</v>
      </c>
      <c r="D346" s="1" t="s">
        <v>1522</v>
      </c>
      <c r="E346" s="1" t="s">
        <v>1418</v>
      </c>
      <c r="F346" s="4" t="s">
        <v>17</v>
      </c>
      <c r="G346" s="1" t="s">
        <v>18</v>
      </c>
      <c r="H346" s="1" t="s">
        <v>19</v>
      </c>
      <c r="I346" s="1" t="s">
        <v>20</v>
      </c>
      <c r="J346" s="1" t="s">
        <v>1523</v>
      </c>
      <c r="K346" s="1" t="s">
        <v>22</v>
      </c>
      <c r="L346" s="1" t="str">
        <f>HYPERLINK("https://files.afu.se/Downloads/Transcripts/0%20-%20Government/USA%20-%20NASA%20Johnson/2020 05 29 - NASA Johnson - Space to Ground  Dawn of the Dragon  05 29 2020_CAy22HV1D0M - transcript (automated).pdf","Transcript Link")</f>
        <v>Transcript Link</v>
      </c>
      <c r="M346" s="2" t="str">
        <f>HYPERLINK("https://files.afu.se/Downloads/Transcripts/0%20-%20Government/USA%20-%20NASA%20Johnson/2020 05 29 - NASA Johnson - Space to Ground  Dawn of the Dragon  05 29 2020_CAy22HV1D0M - transcript (automated).pdf","Transcript Link")</f>
        <v>Transcript Link</v>
      </c>
    </row>
    <row r="347" ht="300" spans="1:13">
      <c r="A347" s="1" t="s">
        <v>1524</v>
      </c>
      <c r="B347" s="1" t="s">
        <v>13</v>
      </c>
      <c r="C347" s="4" t="s">
        <v>1525</v>
      </c>
      <c r="D347" s="1" t="s">
        <v>1526</v>
      </c>
      <c r="E347" s="1" t="s">
        <v>1527</v>
      </c>
      <c r="F347" s="4" t="s">
        <v>17</v>
      </c>
      <c r="G347" s="1" t="s">
        <v>18</v>
      </c>
      <c r="H347" s="1" t="s">
        <v>19</v>
      </c>
      <c r="I347" s="1" t="s">
        <v>20</v>
      </c>
      <c r="J347" s="1" t="s">
        <v>1528</v>
      </c>
      <c r="K347" s="1" t="s">
        <v>22</v>
      </c>
      <c r="L347" s="1" t="str">
        <f>HYPERLINK("https://files.afu.se/Downloads/Transcripts/0%20-%20Government/USA%20-%20NASA%20Johnson/2020 05 28 - NASA Johnson - Some Space News_0eYWLIc2Vjk - transcript (automated).pdf","Transcript Link")</f>
        <v>Transcript Link</v>
      </c>
      <c r="M347" s="2" t="str">
        <f>HYPERLINK("https://files.afu.se/Downloads/Transcripts/0%20-%20Government/USA%20-%20NASA%20Johnson/2020 05 28 - NASA Johnson - Some Space News_0eYWLIc2Vjk - transcript (automated).pdf","Transcript Link")</f>
        <v>Transcript Link</v>
      </c>
    </row>
    <row r="348" ht="180" spans="1:13">
      <c r="A348" s="1" t="s">
        <v>1529</v>
      </c>
      <c r="B348" s="1" t="s">
        <v>13</v>
      </c>
      <c r="C348" s="4" t="s">
        <v>1530</v>
      </c>
      <c r="D348" s="1" t="s">
        <v>1531</v>
      </c>
      <c r="E348" s="1" t="s">
        <v>1532</v>
      </c>
      <c r="F348" s="4" t="s">
        <v>17</v>
      </c>
      <c r="G348" s="1" t="s">
        <v>18</v>
      </c>
      <c r="H348" s="1" t="s">
        <v>19</v>
      </c>
      <c r="I348" s="1" t="s">
        <v>20</v>
      </c>
      <c r="J348" s="1" t="s">
        <v>1533</v>
      </c>
      <c r="K348" s="1" t="s">
        <v>22</v>
      </c>
      <c r="L348" s="1" t="str">
        <f>HYPERLINK("https://files.afu.se/Downloads/Transcripts/0%20-%20Government/USA%20-%20NASA%20Johnson/2020 05 26 - NASA Johnson - Some Place Special   Down To Earth - S1 E12_OIRX9sjTcgk - transcript (automated).pdf","Transcript Link")</f>
        <v>Transcript Link</v>
      </c>
      <c r="M348" s="2" t="str">
        <f>HYPERLINK("https://files.afu.se/Downloads/Transcripts/0%20-%20Government/USA%20-%20NASA%20Johnson/2020 05 26 - NASA Johnson - Some Place Special   Down To Earth - S1 E12_OIRX9sjTcgk - transcript (automated).pdf","Transcript Link")</f>
        <v>Transcript Link</v>
      </c>
    </row>
    <row r="349" ht="300" spans="1:13">
      <c r="A349" s="1" t="s">
        <v>1534</v>
      </c>
      <c r="B349" s="1" t="s">
        <v>13</v>
      </c>
      <c r="C349" s="4" t="s">
        <v>1535</v>
      </c>
      <c r="D349" s="1" t="s">
        <v>1536</v>
      </c>
      <c r="E349" s="1" t="s">
        <v>1537</v>
      </c>
      <c r="F349" s="4" t="s">
        <v>17</v>
      </c>
      <c r="G349" s="1" t="s">
        <v>18</v>
      </c>
      <c r="H349" s="1" t="s">
        <v>19</v>
      </c>
      <c r="I349" s="1" t="s">
        <v>20</v>
      </c>
      <c r="J349" s="1" t="s">
        <v>1538</v>
      </c>
      <c r="K349" s="1" t="s">
        <v>22</v>
      </c>
      <c r="L349" s="1" t="str">
        <f>HYPERLINK("https://files.afu.se/Downloads/Transcripts/0%20-%20Government/USA%20-%20NASA%20Johnson/2020 05 22 - NASA Johnson - This is Doug Hurley_oewIeat50EM - transcript (automated).pdf","Transcript Link")</f>
        <v>Transcript Link</v>
      </c>
      <c r="M349" s="2" t="str">
        <f>HYPERLINK("https://files.afu.se/Downloads/Transcripts/0%20-%20Government/USA%20-%20NASA%20Johnson/2020 05 22 - NASA Johnson - This is Doug Hurley_oewIeat50EM - transcript (automated).pdf","Transcript Link")</f>
        <v>Transcript Link</v>
      </c>
    </row>
    <row r="350" ht="285" spans="1:13">
      <c r="A350" s="1" t="s">
        <v>1534</v>
      </c>
      <c r="B350" s="1" t="s">
        <v>13</v>
      </c>
      <c r="C350" s="4" t="s">
        <v>1539</v>
      </c>
      <c r="D350" s="1" t="s">
        <v>1540</v>
      </c>
      <c r="E350" s="1" t="s">
        <v>1541</v>
      </c>
      <c r="F350" s="4" t="s">
        <v>17</v>
      </c>
      <c r="G350" s="1" t="s">
        <v>18</v>
      </c>
      <c r="H350" s="1" t="s">
        <v>19</v>
      </c>
      <c r="I350" s="1" t="s">
        <v>20</v>
      </c>
      <c r="J350" s="1" t="s">
        <v>1542</v>
      </c>
      <c r="K350" s="1" t="s">
        <v>22</v>
      </c>
      <c r="L350" s="1" t="str">
        <f>HYPERLINK("https://files.afu.se/Downloads/Transcripts/0%20-%20Government/USA%20-%20NASA%20Johnson/2020 05 22 - NASA Johnson - This is Bob Behnken_tIVtG4jsqEM - transcript (automated).pdf","Transcript Link")</f>
        <v>Transcript Link</v>
      </c>
      <c r="M350" s="2" t="str">
        <f>HYPERLINK("https://files.afu.se/Downloads/Transcripts/0%20-%20Government/USA%20-%20NASA%20Johnson/2020 05 22 - NASA Johnson - This is Bob Behnken_tIVtG4jsqEM - transcript (automated).pdf","Transcript Link")</f>
        <v>Transcript Link</v>
      </c>
    </row>
    <row r="351" ht="225" spans="1:13">
      <c r="A351" s="1" t="s">
        <v>1534</v>
      </c>
      <c r="B351" s="1" t="s">
        <v>13</v>
      </c>
      <c r="C351" s="4" t="s">
        <v>1543</v>
      </c>
      <c r="D351" s="1" t="s">
        <v>1544</v>
      </c>
      <c r="E351" s="1" t="s">
        <v>1545</v>
      </c>
      <c r="F351" s="4" t="s">
        <v>17</v>
      </c>
      <c r="G351" s="1" t="s">
        <v>18</v>
      </c>
      <c r="H351" s="1" t="s">
        <v>19</v>
      </c>
      <c r="I351" s="1" t="s">
        <v>20</v>
      </c>
      <c r="J351" s="1" t="s">
        <v>1546</v>
      </c>
      <c r="K351" s="1" t="s">
        <v>22</v>
      </c>
      <c r="L351" s="1" t="str">
        <f>HYPERLINK("https://files.afu.se/Downloads/Transcripts/0%20-%20Government/USA%20-%20NASA%20Johnson/2020 05 22 - NASA Johnson - %23LaunchAmerica Boosts Space Station Science_on4uJ8C9ydg - transcript (automated).pdf","Transcript Link")</f>
        <v>Transcript Link</v>
      </c>
      <c r="M351" s="2" t="str">
        <f>HYPERLINK("https://files.afu.se/Downloads/Transcripts/0%20-%20Government/USA%20-%20NASA%20Johnson/2020 05 22 - NASA Johnson - %23LaunchAmerica Boosts Space Station Science_on4uJ8C9ydg - transcript (automated).pdf","Transcript Link")</f>
        <v>Transcript Link</v>
      </c>
    </row>
    <row r="352" ht="255" spans="1:13">
      <c r="A352" s="1" t="s">
        <v>1534</v>
      </c>
      <c r="B352" s="1" t="s">
        <v>13</v>
      </c>
      <c r="C352" s="4" t="s">
        <v>1547</v>
      </c>
      <c r="D352" s="1" t="s">
        <v>1548</v>
      </c>
      <c r="E352" s="1" t="s">
        <v>1418</v>
      </c>
      <c r="F352" s="4" t="s">
        <v>17</v>
      </c>
      <c r="G352" s="1" t="s">
        <v>18</v>
      </c>
      <c r="H352" s="1" t="s">
        <v>19</v>
      </c>
      <c r="I352" s="1" t="s">
        <v>20</v>
      </c>
      <c r="J352" s="1" t="s">
        <v>1549</v>
      </c>
      <c r="K352" s="1" t="s">
        <v>22</v>
      </c>
      <c r="L352" s="1" t="str">
        <f>HYPERLINK("https://files.afu.se/Downloads/Transcripts/0%20-%20Government/USA%20-%20NASA%20Johnson/2020 05 22 - NASA Johnson - Space to Ground  Preparing for Launch  05 22 2020_wL-11DBVB4g - transcript (automated).pdf","Transcript Link")</f>
        <v>Transcript Link</v>
      </c>
      <c r="M352" s="2" t="str">
        <f>HYPERLINK("https://files.afu.se/Downloads/Transcripts/0%20-%20Government/USA%20-%20NASA%20Johnson/2020 05 22 - NASA Johnson - Space to Ground  Preparing for Launch  05 22 2020_wL-11DBVB4g - transcript (automated).pdf","Transcript Link")</f>
        <v>Transcript Link</v>
      </c>
    </row>
    <row r="353" ht="300" spans="1:13">
      <c r="A353" s="1" t="s">
        <v>1550</v>
      </c>
      <c r="B353" s="1" t="s">
        <v>13</v>
      </c>
      <c r="C353" s="4" t="s">
        <v>1551</v>
      </c>
      <c r="D353" s="1" t="s">
        <v>1552</v>
      </c>
      <c r="E353" s="1" t="s">
        <v>1553</v>
      </c>
      <c r="F353" s="4" t="s">
        <v>17</v>
      </c>
      <c r="G353" s="1" t="s">
        <v>18</v>
      </c>
      <c r="H353" s="1" t="s">
        <v>19</v>
      </c>
      <c r="I353" s="1" t="s">
        <v>20</v>
      </c>
      <c r="J353" s="1" t="s">
        <v>1554</v>
      </c>
      <c r="K353" s="1" t="s">
        <v>22</v>
      </c>
      <c r="L353" s="1" t="str">
        <f>HYPERLINK("https://files.afu.se/Downloads/Transcripts/0%20-%20Government/USA%20-%20NASA%20Johnson/2020 05 21 - NASA Johnson - Know Your Crew! With Bob Behnken and Doug Hurley_gu4o5KgnAQM - transcript (automated).pdf","Transcript Link")</f>
        <v>Transcript Link</v>
      </c>
      <c r="M353" s="2" t="str">
        <f>HYPERLINK("https://files.afu.se/Downloads/Transcripts/0%20-%20Government/USA%20-%20NASA%20Johnson/2020 05 21 - NASA Johnson - Know Your Crew! With Bob Behnken and Doug Hurley_gu4o5KgnAQM - transcript (automated).pdf","Transcript Link")</f>
        <v>Transcript Link</v>
      </c>
    </row>
    <row r="354" ht="285" spans="1:13">
      <c r="A354" s="1" t="s">
        <v>1555</v>
      </c>
      <c r="B354" s="1" t="s">
        <v>13</v>
      </c>
      <c r="C354" s="4" t="s">
        <v>1556</v>
      </c>
      <c r="D354" s="1" t="s">
        <v>1557</v>
      </c>
      <c r="E354" s="1" t="s">
        <v>1558</v>
      </c>
      <c r="F354" s="4" t="s">
        <v>17</v>
      </c>
      <c r="G354" s="1" t="s">
        <v>18</v>
      </c>
      <c r="H354" s="1" t="s">
        <v>19</v>
      </c>
      <c r="I354" s="1" t="s">
        <v>20</v>
      </c>
      <c r="J354" s="1" t="s">
        <v>1559</v>
      </c>
      <c r="K354" s="1" t="s">
        <v>22</v>
      </c>
      <c r="L354" s="1" t="str">
        <f>HYPERLINK("https://files.afu.se/Downloads/Transcripts/0%20-%20Government/USA%20-%20NASA%20Johnson/2020 05 15 - NASA Johnson - Artemis  Inside the Latest Achievements – Episode 24_y475KP7RUro - transcript (automated).pdf","Transcript Link")</f>
        <v>Transcript Link</v>
      </c>
      <c r="M354" s="2" t="str">
        <f>HYPERLINK("https://files.afu.se/Downloads/Transcripts/0%20-%20Government/USA%20-%20NASA%20Johnson/2020 05 15 - NASA Johnson - Artemis  Inside the Latest Achievements – Episode 24_y475KP7RUro - transcript (automated).pdf","Transcript Link")</f>
        <v>Transcript Link</v>
      </c>
    </row>
    <row r="355" ht="255" spans="1:13">
      <c r="A355" s="1" t="s">
        <v>1555</v>
      </c>
      <c r="B355" s="1" t="s">
        <v>13</v>
      </c>
      <c r="C355" s="4" t="s">
        <v>1560</v>
      </c>
      <c r="D355" s="1" t="s">
        <v>1561</v>
      </c>
      <c r="E355" s="1" t="s">
        <v>1418</v>
      </c>
      <c r="F355" s="4" t="s">
        <v>17</v>
      </c>
      <c r="G355" s="1" t="s">
        <v>18</v>
      </c>
      <c r="H355" s="1" t="s">
        <v>19</v>
      </c>
      <c r="I355" s="1" t="s">
        <v>20</v>
      </c>
      <c r="J355" s="1" t="s">
        <v>1562</v>
      </c>
      <c r="K355" s="1" t="s">
        <v>22</v>
      </c>
      <c r="L355" s="1" t="str">
        <f>HYPERLINK("https://files.afu.se/Downloads/Transcripts/0%20-%20Government/USA%20-%20NASA%20Johnson/2020 05 15 - NASA Johnson - Space to Ground  Fanning the Flames  05 15 2020_Ku9av0g7v9U - transcript (automated).pdf","Transcript Link")</f>
        <v>Transcript Link</v>
      </c>
      <c r="M355" s="2" t="str">
        <f>HYPERLINK("https://files.afu.se/Downloads/Transcripts/0%20-%20Government/USA%20-%20NASA%20Johnson/2020 05 15 - NASA Johnson - Space to Ground  Fanning the Flames  05 15 2020_Ku9av0g7v9U - transcript (automated).pdf","Transcript Link")</f>
        <v>Transcript Link</v>
      </c>
    </row>
    <row r="356" ht="409.5" spans="1:13">
      <c r="A356" s="1" t="s">
        <v>1563</v>
      </c>
      <c r="B356" s="1" t="s">
        <v>13</v>
      </c>
      <c r="C356" s="4" t="s">
        <v>1564</v>
      </c>
      <c r="D356" s="1" t="s">
        <v>1565</v>
      </c>
      <c r="E356" s="1" t="s">
        <v>1566</v>
      </c>
      <c r="F356" s="4" t="s">
        <v>17</v>
      </c>
      <c r="G356" s="1" t="s">
        <v>18</v>
      </c>
      <c r="H356" s="1" t="s">
        <v>19</v>
      </c>
      <c r="I356" s="1" t="s">
        <v>20</v>
      </c>
      <c r="J356" s="1" t="s">
        <v>1567</v>
      </c>
      <c r="K356" s="1" t="s">
        <v>22</v>
      </c>
      <c r="L356" s="1" t="str">
        <f>HYPERLINK("https://files.afu.se/Downloads/Transcripts/0%20-%20Government/USA%20-%20NASA%20Johnson/2020 05 13 - NASA Johnson - Astronaut Chris Cassidy Meets Astrobee_i0OEF2cRa3E - transcript (automated).pdf","Transcript Link")</f>
        <v>Transcript Link</v>
      </c>
      <c r="M356" s="2" t="str">
        <f>HYPERLINK("https://files.afu.se/Downloads/Transcripts/0%20-%20Government/USA%20-%20NASA%20Johnson/2020 05 13 - NASA Johnson - Astronaut Chris Cassidy Meets Astrobee_i0OEF2cRa3E - transcript (automated).pdf","Transcript Link")</f>
        <v>Transcript Link</v>
      </c>
    </row>
    <row r="357" ht="255" spans="1:13">
      <c r="A357" s="1" t="s">
        <v>1568</v>
      </c>
      <c r="B357" s="1" t="s">
        <v>13</v>
      </c>
      <c r="C357" s="4" t="s">
        <v>1569</v>
      </c>
      <c r="D357" s="1" t="s">
        <v>1570</v>
      </c>
      <c r="E357" s="1" t="s">
        <v>1418</v>
      </c>
      <c r="F357" s="4" t="s">
        <v>17</v>
      </c>
      <c r="G357" s="1" t="s">
        <v>18</v>
      </c>
      <c r="H357" s="1" t="s">
        <v>19</v>
      </c>
      <c r="I357" s="1" t="s">
        <v>20</v>
      </c>
      <c r="J357" s="1" t="s">
        <v>1571</v>
      </c>
      <c r="K357" s="1" t="s">
        <v>22</v>
      </c>
      <c r="L357" s="1" t="str">
        <f>HYPERLINK("https://files.afu.se/Downloads/Transcripts/0%20-%20Government/USA%20-%20NASA%20Johnson/2020 05 08 - NASA Johnson - Space to Ground  SLIME IN SPACE!!!  05 08 2020_52x2GMguPao - transcript (automated).pdf","Transcript Link")</f>
        <v>Transcript Link</v>
      </c>
      <c r="M357" s="2" t="str">
        <f>HYPERLINK("https://files.afu.se/Downloads/Transcripts/0%20-%20Government/USA%20-%20NASA%20Johnson/2020 05 08 - NASA Johnson - Space to Ground  SLIME IN SPACE!!!  05 08 2020_52x2GMguPao - transcript (automated).pdf","Transcript Link")</f>
        <v>Transcript Link</v>
      </c>
    </row>
    <row r="358" ht="180" spans="1:13">
      <c r="A358" s="1" t="s">
        <v>1572</v>
      </c>
      <c r="B358" s="1" t="s">
        <v>13</v>
      </c>
      <c r="C358" s="4" t="s">
        <v>1573</v>
      </c>
      <c r="D358" s="1" t="s">
        <v>1574</v>
      </c>
      <c r="F358" s="4" t="s">
        <v>17</v>
      </c>
      <c r="G358" s="1" t="s">
        <v>18</v>
      </c>
      <c r="H358" s="1" t="s">
        <v>19</v>
      </c>
      <c r="I358" s="1" t="s">
        <v>20</v>
      </c>
      <c r="J358" s="1" t="s">
        <v>1575</v>
      </c>
      <c r="K358" s="1" t="s">
        <v>22</v>
      </c>
      <c r="L358" s="1" t="str">
        <f>HYPERLINK("https://files.afu.se/Downloads/Transcripts/0%20-%20Government/USA%20-%20NASA%20Johnson/2020 05 05 - NASA Johnson - Cross-Cutting Computational Modeling Project_y_sAQdGprJM - transcript (automated).pdf","Transcript Link")</f>
        <v>Transcript Link</v>
      </c>
      <c r="M358" s="2" t="str">
        <f>HYPERLINK("https://files.afu.se/Downloads/Transcripts/0%20-%20Government/USA%20-%20NASA%20Johnson/2020 05 05 - NASA Johnson - Cross-Cutting Computational Modeling Project_y_sAQdGprJM - transcript (automated).pdf","Transcript Link")</f>
        <v>Transcript Link</v>
      </c>
    </row>
    <row r="359" ht="255" spans="1:13">
      <c r="A359" s="1" t="s">
        <v>1576</v>
      </c>
      <c r="B359" s="1" t="s">
        <v>13</v>
      </c>
      <c r="C359" s="4" t="s">
        <v>1577</v>
      </c>
      <c r="D359" s="1" t="s">
        <v>1578</v>
      </c>
      <c r="E359" s="1" t="s">
        <v>1418</v>
      </c>
      <c r="F359" s="4" t="s">
        <v>17</v>
      </c>
      <c r="G359" s="1" t="s">
        <v>18</v>
      </c>
      <c r="H359" s="1" t="s">
        <v>19</v>
      </c>
      <c r="I359" s="1" t="s">
        <v>20</v>
      </c>
      <c r="J359" s="1" t="s">
        <v>1579</v>
      </c>
      <c r="K359" s="1" t="s">
        <v>22</v>
      </c>
      <c r="L359" s="1" t="str">
        <f>HYPERLINK("https://files.afu.se/Downloads/Transcripts/0%20-%20Government/USA%20-%20NASA%20Johnson/2020 05 01 - NASA Johnson - Space to Ground  Remote Science  05 01 2020_iCyjTPLWbiU - transcript (automated).pdf","Transcript Link")</f>
        <v>Transcript Link</v>
      </c>
      <c r="M359" s="2" t="str">
        <f>HYPERLINK("https://files.afu.se/Downloads/Transcripts/0%20-%20Government/USA%20-%20NASA%20Johnson/2020 05 01 - NASA Johnson - Space to Ground  Remote Science  05 01 2020_iCyjTPLWbiU - transcript (automated).pdf","Transcript Link")</f>
        <v>Transcript Link</v>
      </c>
    </row>
    <row r="360" ht="255" spans="1:13">
      <c r="A360" s="1" t="s">
        <v>1580</v>
      </c>
      <c r="B360" s="1" t="s">
        <v>13</v>
      </c>
      <c r="C360" s="4" t="s">
        <v>1581</v>
      </c>
      <c r="D360" s="1" t="s">
        <v>1582</v>
      </c>
      <c r="E360" s="1" t="s">
        <v>1418</v>
      </c>
      <c r="F360" s="4" t="s">
        <v>17</v>
      </c>
      <c r="G360" s="1" t="s">
        <v>18</v>
      </c>
      <c r="H360" s="1" t="s">
        <v>19</v>
      </c>
      <c r="I360" s="1" t="s">
        <v>20</v>
      </c>
      <c r="J360" s="1" t="s">
        <v>1583</v>
      </c>
      <c r="K360" s="1" t="s">
        <v>22</v>
      </c>
      <c r="L360" s="1" t="str">
        <f>HYPERLINK("https://files.afu.se/Downloads/Transcripts/0%20-%20Government/USA%20-%20NASA%20Johnson/2020 04 24 - NASA Johnson - Space to Ground  For the Earth  04 24 2020_jUvMkgRX9rg - transcript (automated).pdf","Transcript Link")</f>
        <v>Transcript Link</v>
      </c>
      <c r="M360" s="2" t="str">
        <f>HYPERLINK("https://files.afu.se/Downloads/Transcripts/0%20-%20Government/USA%20-%20NASA%20Johnson/2020 04 24 - NASA Johnson - Space to Ground  For the Earth  04 24 2020_jUvMkgRX9rg - transcript (automated).pdf","Transcript Link")</f>
        <v>Transcript Link</v>
      </c>
    </row>
    <row r="361" ht="180" spans="1:13">
      <c r="A361" s="1" t="s">
        <v>1584</v>
      </c>
      <c r="B361" s="1" t="s">
        <v>13</v>
      </c>
      <c r="C361" s="4" t="s">
        <v>1585</v>
      </c>
      <c r="D361" s="1" t="s">
        <v>1586</v>
      </c>
      <c r="E361" s="1" t="s">
        <v>1587</v>
      </c>
      <c r="F361" s="4" t="s">
        <v>17</v>
      </c>
      <c r="G361" s="1" t="s">
        <v>18</v>
      </c>
      <c r="H361" s="1" t="s">
        <v>19</v>
      </c>
      <c r="I361" s="1" t="s">
        <v>20</v>
      </c>
      <c r="J361" s="1" t="s">
        <v>1588</v>
      </c>
      <c r="K361" s="1" t="s">
        <v>22</v>
      </c>
      <c r="L361" s="1" t="str">
        <f>HYPERLINK("https://files.afu.se/Downloads/Transcripts/0%20-%20Government/USA%20-%20NASA%20Johnson/2020 04 22 - NASA Johnson - Celebrating Earth Day from Above   Down To Earth_oOxKJKyTJdU - transcript (automated).pdf","Transcript Link")</f>
        <v>Transcript Link</v>
      </c>
      <c r="M361" s="2" t="str">
        <f>HYPERLINK("https://files.afu.se/Downloads/Transcripts/0%20-%20Government/USA%20-%20NASA%20Johnson/2020 04 22 - NASA Johnson - Celebrating Earth Day from Above   Down To Earth_oOxKJKyTJdU - transcript (automated).pdf","Transcript Link")</f>
        <v>Transcript Link</v>
      </c>
    </row>
    <row r="362" ht="270" spans="1:13">
      <c r="A362" s="1" t="s">
        <v>1589</v>
      </c>
      <c r="B362" s="1" t="s">
        <v>13</v>
      </c>
      <c r="C362" s="4" t="s">
        <v>1590</v>
      </c>
      <c r="D362" s="1" t="s">
        <v>1591</v>
      </c>
      <c r="E362" s="1" t="s">
        <v>1592</v>
      </c>
      <c r="F362" s="4" t="s">
        <v>17</v>
      </c>
      <c r="G362" s="1" t="s">
        <v>18</v>
      </c>
      <c r="H362" s="1" t="s">
        <v>19</v>
      </c>
      <c r="I362" s="1" t="s">
        <v>20</v>
      </c>
      <c r="J362" s="1" t="s">
        <v>1593</v>
      </c>
      <c r="K362" s="1" t="s">
        <v>22</v>
      </c>
      <c r="L362" s="1" t="str">
        <f>HYPERLINK("https://files.afu.se/Downloads/Transcripts/0%20-%20Government/USA%20-%20NASA%20Johnson/2020 04 17 - NASA Johnson - Commercial Crew Program  What's It All About _A6fCa4ReHX4 - transcript (automated).pdf","Transcript Link")</f>
        <v>Transcript Link</v>
      </c>
      <c r="M362" s="2" t="str">
        <f>HYPERLINK("https://files.afu.se/Downloads/Transcripts/0%20-%20Government/USA%20-%20NASA%20Johnson/2020 04 17 - NASA Johnson - Commercial Crew Program  What's It All About _A6fCa4ReHX4 - transcript (automated).pdf","Transcript Link")</f>
        <v>Transcript Link</v>
      </c>
    </row>
    <row r="363" ht="255" spans="1:13">
      <c r="A363" s="1" t="s">
        <v>1589</v>
      </c>
      <c r="B363" s="1" t="s">
        <v>13</v>
      </c>
      <c r="C363" s="4" t="s">
        <v>1594</v>
      </c>
      <c r="D363" s="1" t="s">
        <v>1595</v>
      </c>
      <c r="E363" s="1" t="s">
        <v>1418</v>
      </c>
      <c r="F363" s="4" t="s">
        <v>17</v>
      </c>
      <c r="G363" s="1" t="s">
        <v>18</v>
      </c>
      <c r="H363" s="1" t="s">
        <v>19</v>
      </c>
      <c r="I363" s="1" t="s">
        <v>20</v>
      </c>
      <c r="J363" s="1" t="s">
        <v>1596</v>
      </c>
      <c r="K363" s="1" t="s">
        <v>22</v>
      </c>
      <c r="L363" s="1" t="str">
        <f>HYPERLINK("https://files.afu.se/Downloads/Transcripts/0%20-%20Government/USA%20-%20NASA%20Johnson/2020 04 17 - NASA Johnson - Space to Ground  Adversity and Triumph  04 17 2020_chjWbQXAQPk - transcript (automated).pdf","Transcript Link")</f>
        <v>Transcript Link</v>
      </c>
      <c r="M363" s="2" t="str">
        <f>HYPERLINK("https://files.afu.se/Downloads/Transcripts/0%20-%20Government/USA%20-%20NASA%20Johnson/2020 04 17 - NASA Johnson - Space to Ground  Adversity and Triumph  04 17 2020_chjWbQXAQPk - transcript (automated).pdf","Transcript Link")</f>
        <v>Transcript Link</v>
      </c>
    </row>
    <row r="364" ht="285" spans="1:13">
      <c r="A364" s="1" t="s">
        <v>1597</v>
      </c>
      <c r="B364" s="1" t="s">
        <v>13</v>
      </c>
      <c r="C364" s="4" t="s">
        <v>1598</v>
      </c>
      <c r="D364" s="1" t="s">
        <v>1599</v>
      </c>
      <c r="E364" s="1" t="s">
        <v>1600</v>
      </c>
      <c r="F364" s="4" t="s">
        <v>17</v>
      </c>
      <c r="G364" s="1" t="s">
        <v>18</v>
      </c>
      <c r="H364" s="1" t="s">
        <v>19</v>
      </c>
      <c r="I364" s="1" t="s">
        <v>20</v>
      </c>
      <c r="J364" s="1" t="s">
        <v>1601</v>
      </c>
      <c r="K364" s="1" t="s">
        <v>22</v>
      </c>
      <c r="L364" s="1" t="str">
        <f>HYPERLINK("https://files.afu.se/Downloads/Transcripts/0%20-%20Government/USA%20-%20NASA%20Johnson/2020 04 16 - NASA Johnson - Look Back at Earth with NASA Astronaut Andrew Morgan_lQlYG8hOgAs - transcript (automated).pdf","Transcript Link")</f>
        <v>Transcript Link</v>
      </c>
      <c r="M364" s="2" t="str">
        <f>HYPERLINK("https://files.afu.se/Downloads/Transcripts/0%20-%20Government/USA%20-%20NASA%20Johnson/2020 04 16 - NASA Johnson - Look Back at Earth with NASA Astronaut Andrew Morgan_lQlYG8hOgAs - transcript (automated).pdf","Transcript Link")</f>
        <v>Transcript Link</v>
      </c>
    </row>
    <row r="365" ht="255" spans="1:13">
      <c r="A365" s="1" t="s">
        <v>1602</v>
      </c>
      <c r="B365" s="1" t="s">
        <v>13</v>
      </c>
      <c r="C365" s="4" t="s">
        <v>1603</v>
      </c>
      <c r="D365" s="1" t="s">
        <v>1604</v>
      </c>
      <c r="E365" s="1" t="s">
        <v>1418</v>
      </c>
      <c r="F365" s="4" t="s">
        <v>17</v>
      </c>
      <c r="G365" s="1" t="s">
        <v>18</v>
      </c>
      <c r="H365" s="1" t="s">
        <v>19</v>
      </c>
      <c r="I365" s="1" t="s">
        <v>20</v>
      </c>
      <c r="J365" s="1" t="s">
        <v>1605</v>
      </c>
      <c r="K365" s="1" t="s">
        <v>22</v>
      </c>
      <c r="L365" s="1" t="str">
        <f>HYPERLINK("https://files.afu.se/Downloads/Transcripts/0%20-%20Government/USA%20-%20NASA%20Johnson/2020 04 10 - NASA Johnson - Space to Ground  Departing Baikonur  04 10 2020_O36rX_J9MHQ - transcript (automated).pdf","Transcript Link")</f>
        <v>Transcript Link</v>
      </c>
      <c r="M365" s="2" t="str">
        <f>HYPERLINK("https://files.afu.se/Downloads/Transcripts/0%20-%20Government/USA%20-%20NASA%20Johnson/2020 04 10 - NASA Johnson - Space to Ground  Departing Baikonur  04 10 2020_O36rX_J9MHQ - transcript (automated).pdf","Transcript Link")</f>
        <v>Transcript Link</v>
      </c>
    </row>
    <row r="366" ht="225" spans="1:13">
      <c r="A366" s="1" t="s">
        <v>1606</v>
      </c>
      <c r="B366" s="1" t="s">
        <v>13</v>
      </c>
      <c r="C366" s="4" t="s">
        <v>1607</v>
      </c>
      <c r="D366" s="1" t="s">
        <v>1608</v>
      </c>
      <c r="E366" s="1" t="s">
        <v>1609</v>
      </c>
      <c r="F366" s="4" t="s">
        <v>17</v>
      </c>
      <c r="G366" s="1" t="s">
        <v>18</v>
      </c>
      <c r="H366" s="1" t="s">
        <v>19</v>
      </c>
      <c r="I366" s="1" t="s">
        <v>20</v>
      </c>
      <c r="J366" s="1" t="s">
        <v>1610</v>
      </c>
      <c r="K366" s="1" t="s">
        <v>22</v>
      </c>
      <c r="L366" s="1" t="str">
        <f>HYPERLINK("https://files.afu.se/Downloads/Transcripts/0%20-%20Government/USA%20-%20NASA%20Johnson/2020 04 09 - NASA Johnson - Expedition 63 -Soyuz MS 16 Hatch Opening - April 9, 2020_J5TFAuQI7U0 - transcript (automated).pdf","Transcript Link")</f>
        <v>Transcript Link</v>
      </c>
      <c r="M366" s="2" t="str">
        <f>HYPERLINK("https://files.afu.se/Downloads/Transcripts/0%20-%20Government/USA%20-%20NASA%20Johnson/2020 04 09 - NASA Johnson - Expedition 63 -Soyuz MS 16 Hatch Opening - April 9, 2020_J5TFAuQI7U0 - transcript (automated).pdf","Transcript Link")</f>
        <v>Transcript Link</v>
      </c>
    </row>
    <row r="367" ht="180" spans="1:13">
      <c r="A367" s="1" t="s">
        <v>1606</v>
      </c>
      <c r="B367" s="1" t="s">
        <v>13</v>
      </c>
      <c r="C367" s="4" t="s">
        <v>1611</v>
      </c>
      <c r="D367" s="1" t="s">
        <v>1612</v>
      </c>
      <c r="E367" s="1" t="s">
        <v>1613</v>
      </c>
      <c r="F367" s="4" t="s">
        <v>17</v>
      </c>
      <c r="G367" s="1" t="s">
        <v>18</v>
      </c>
      <c r="H367" s="1" t="s">
        <v>19</v>
      </c>
      <c r="I367" s="1" t="s">
        <v>20</v>
      </c>
      <c r="J367" s="1" t="s">
        <v>1614</v>
      </c>
      <c r="K367" s="1" t="s">
        <v>22</v>
      </c>
      <c r="L367" s="1" t="str">
        <f>HYPERLINK("https://files.afu.se/Downloads/Transcripts/0%20-%20Government/USA%20-%20NASA%20Johnson/2020 04 09 - NASA Johnson - Expedition 63 - Soyuz MS 16 Docking Coverage - April 9, 2020_YUxU_F4xwFs - transcript (automated).pdf","Transcript Link")</f>
        <v>Transcript Link</v>
      </c>
      <c r="M367" s="2" t="str">
        <f>HYPERLINK("https://files.afu.se/Downloads/Transcripts/0%20-%20Government/USA%20-%20NASA%20Johnson/2020 04 09 - NASA Johnson - Expedition 63 - Soyuz MS 16 Docking Coverage - April 9, 2020_YUxU_F4xwFs - transcript (automated).pdf","Transcript Link")</f>
        <v>Transcript Link</v>
      </c>
    </row>
    <row r="368" ht="315" spans="1:13">
      <c r="A368" s="1" t="s">
        <v>1615</v>
      </c>
      <c r="B368" s="1" t="s">
        <v>13</v>
      </c>
      <c r="C368" s="4" t="s">
        <v>1616</v>
      </c>
      <c r="D368" s="1" t="s">
        <v>1617</v>
      </c>
      <c r="E368" s="1" t="s">
        <v>1618</v>
      </c>
      <c r="F368" s="4" t="s">
        <v>17</v>
      </c>
      <c r="G368" s="1" t="s">
        <v>18</v>
      </c>
      <c r="H368" s="1" t="s">
        <v>19</v>
      </c>
      <c r="I368" s="1" t="s">
        <v>20</v>
      </c>
      <c r="J368" s="1" t="s">
        <v>1619</v>
      </c>
      <c r="K368" s="1" t="s">
        <v>22</v>
      </c>
      <c r="L368" s="1" t="str">
        <f>HYPERLINK("https://files.afu.se/Downloads/Transcripts/0%20-%20Government/USA%20-%20NASA%20Johnson/2020 04 08 - NASA Johnson - T - 60 Seconds with Chris Cassidy_Xj9KASvck0E - transcript (automated).pdf","Transcript Link")</f>
        <v>Transcript Link</v>
      </c>
      <c r="M368" s="2" t="str">
        <f>HYPERLINK("https://files.afu.se/Downloads/Transcripts/0%20-%20Government/USA%20-%20NASA%20Johnson/2020 04 08 - NASA Johnson - T - 60 Seconds with Chris Cassidy_Xj9KASvck0E - transcript (automated).pdf","Transcript Link")</f>
        <v>Transcript Link</v>
      </c>
    </row>
    <row r="369" ht="180" spans="1:13">
      <c r="A369" s="1" t="s">
        <v>1620</v>
      </c>
      <c r="B369" s="1" t="s">
        <v>13</v>
      </c>
      <c r="C369" s="4" t="s">
        <v>1621</v>
      </c>
      <c r="D369" s="1" t="s">
        <v>1622</v>
      </c>
      <c r="E369" s="1" t="s">
        <v>1623</v>
      </c>
      <c r="F369" s="4" t="s">
        <v>17</v>
      </c>
      <c r="G369" s="1" t="s">
        <v>18</v>
      </c>
      <c r="H369" s="1" t="s">
        <v>19</v>
      </c>
      <c r="I369" s="1" t="s">
        <v>20</v>
      </c>
      <c r="J369" s="1" t="s">
        <v>1624</v>
      </c>
      <c r="K369" s="1" t="s">
        <v>22</v>
      </c>
      <c r="L369" s="1" t="str">
        <f>HYPERLINK("https://files.afu.se/Downloads/Transcripts/0%20-%20Government/USA%20-%20NASA%20Johnson/2020 04 06 - NASA Johnson - Astronaut Moments   Chris Cassidy_6qCSSTYblHQ - transcript (automated).pdf","Transcript Link")</f>
        <v>Transcript Link</v>
      </c>
      <c r="M369" s="2" t="str">
        <f>HYPERLINK("https://files.afu.se/Downloads/Transcripts/0%20-%20Government/USA%20-%20NASA%20Johnson/2020 04 06 - NASA Johnson - Astronaut Moments   Chris Cassidy_6qCSSTYblHQ - transcript (automated).pdf","Transcript Link")</f>
        <v>Transcript Link</v>
      </c>
    </row>
    <row r="370" ht="255" spans="1:13">
      <c r="A370" s="1" t="s">
        <v>1625</v>
      </c>
      <c r="B370" s="1" t="s">
        <v>13</v>
      </c>
      <c r="C370" s="4" t="s">
        <v>1626</v>
      </c>
      <c r="D370" s="1" t="s">
        <v>1627</v>
      </c>
      <c r="E370" s="1" t="s">
        <v>1418</v>
      </c>
      <c r="F370" s="4" t="s">
        <v>17</v>
      </c>
      <c r="G370" s="1" t="s">
        <v>18</v>
      </c>
      <c r="H370" s="1" t="s">
        <v>19</v>
      </c>
      <c r="I370" s="1" t="s">
        <v>20</v>
      </c>
      <c r="J370" s="1" t="s">
        <v>1628</v>
      </c>
      <c r="K370" s="1" t="s">
        <v>22</v>
      </c>
      <c r="L370" s="1" t="str">
        <f>HYPERLINK("https://files.afu.se/Downloads/Transcripts/0%20-%20Government/USA%20-%20NASA%20Johnson/2020 04 03 - NASA Johnson - Space to Ground  Bartolomeo  04 03 2020_0Sf3Z60QPGk - transcript (automated).pdf","Transcript Link")</f>
        <v>Transcript Link</v>
      </c>
      <c r="M370" s="2" t="str">
        <f>HYPERLINK("https://files.afu.se/Downloads/Transcripts/0%20-%20Government/USA%20-%20NASA%20Johnson/2020 04 03 - NASA Johnson - Space to Ground  Bartolomeo  04 03 2020_0Sf3Z60QPGk - transcript (automated).pdf","Transcript Link")</f>
        <v>Transcript Link</v>
      </c>
    </row>
    <row r="371" ht="180" spans="1:13">
      <c r="A371" s="1" t="s">
        <v>1629</v>
      </c>
      <c r="B371" s="1" t="s">
        <v>13</v>
      </c>
      <c r="C371" s="4" t="s">
        <v>1630</v>
      </c>
      <c r="D371" s="1" t="s">
        <v>1631</v>
      </c>
      <c r="E371" s="1" t="s">
        <v>1632</v>
      </c>
      <c r="F371" s="4" t="s">
        <v>17</v>
      </c>
      <c r="G371" s="1" t="s">
        <v>18</v>
      </c>
      <c r="H371" s="1" t="s">
        <v>19</v>
      </c>
      <c r="I371" s="1" t="s">
        <v>20</v>
      </c>
      <c r="J371" s="1" t="s">
        <v>1633</v>
      </c>
      <c r="K371" s="1" t="s">
        <v>22</v>
      </c>
      <c r="L371" s="1" t="str">
        <f>HYPERLINK("https://files.afu.se/Downloads/Transcripts/0%20-%20Government/USA%20-%20NASA%20Johnson/2020 03 27 - NASA Johnson - Astronaut Anne McClain’s Tips for Living in Close Quarters_FSjM-XzSazU - transcript (automated).pdf","Transcript Link")</f>
        <v>Transcript Link</v>
      </c>
      <c r="M371" s="2" t="str">
        <f>HYPERLINK("https://files.afu.se/Downloads/Transcripts/0%20-%20Government/USA%20-%20NASA%20Johnson/2020 03 27 - NASA Johnson - Astronaut Anne McClain’s Tips for Living in Close Quarters_FSjM-XzSazU - transcript (automated).pdf","Transcript Link")</f>
        <v>Transcript Link</v>
      </c>
    </row>
    <row r="372" ht="255" spans="1:13">
      <c r="A372" s="1" t="s">
        <v>1629</v>
      </c>
      <c r="B372" s="1" t="s">
        <v>13</v>
      </c>
      <c r="C372" s="4" t="s">
        <v>1634</v>
      </c>
      <c r="D372" s="1" t="s">
        <v>1635</v>
      </c>
      <c r="E372" s="1" t="s">
        <v>1418</v>
      </c>
      <c r="F372" s="4" t="s">
        <v>17</v>
      </c>
      <c r="G372" s="1" t="s">
        <v>18</v>
      </c>
      <c r="H372" s="1" t="s">
        <v>19</v>
      </c>
      <c r="I372" s="1" t="s">
        <v>20</v>
      </c>
      <c r="J372" s="1" t="s">
        <v>1636</v>
      </c>
      <c r="K372" s="1" t="s">
        <v>22</v>
      </c>
      <c r="L372" s="1" t="str">
        <f>HYPERLINK("https://files.afu.se/Downloads/Transcripts/0%20-%20Government/USA%20-%20NASA%20Johnson/2020 03 27 - NASA Johnson - Space to Ground  Embracing Self Isolation  03 27 2020_LWhAkLPlSnU - transcript (automated).pdf","Transcript Link")</f>
        <v>Transcript Link</v>
      </c>
      <c r="M372" s="2" t="str">
        <f>HYPERLINK("https://files.afu.se/Downloads/Transcripts/0%20-%20Government/USA%20-%20NASA%20Johnson/2020 03 27 - NASA Johnson - Space to Ground  Embracing Self Isolation  03 27 2020_LWhAkLPlSnU - transcript (automated).pdf","Transcript Link")</f>
        <v>Transcript Link</v>
      </c>
    </row>
    <row r="373" ht="375" spans="1:13">
      <c r="A373" s="1" t="s">
        <v>1637</v>
      </c>
      <c r="B373" s="1" t="s">
        <v>13</v>
      </c>
      <c r="C373" s="4" t="s">
        <v>1638</v>
      </c>
      <c r="D373" s="1" t="s">
        <v>1639</v>
      </c>
      <c r="E373" s="1" t="s">
        <v>1640</v>
      </c>
      <c r="F373" s="4" t="s">
        <v>17</v>
      </c>
      <c r="G373" s="1" t="s">
        <v>18</v>
      </c>
      <c r="H373" s="1" t="s">
        <v>19</v>
      </c>
      <c r="I373" s="1" t="s">
        <v>20</v>
      </c>
      <c r="J373" s="1" t="s">
        <v>1641</v>
      </c>
      <c r="K373" s="1" t="s">
        <v>22</v>
      </c>
      <c r="L373" s="1" t="str">
        <f>HYPERLINK("https://files.afu.se/Downloads/Transcripts/0%20-%20Government/USA%20-%20NASA%20Johnson/2020 03 26 - NASA Johnson - Artemis I  System Testing and Moving-Episode 23_qWCPGFe6DDk - transcript (automated).pdf","Transcript Link")</f>
        <v>Transcript Link</v>
      </c>
      <c r="M373" s="2" t="str">
        <f>HYPERLINK("https://files.afu.se/Downloads/Transcripts/0%20-%20Government/USA%20-%20NASA%20Johnson/2020 03 26 - NASA Johnson - Artemis I  System Testing and Moving-Episode 23_qWCPGFe6DDk - transcript (automated).pdf","Transcript Link")</f>
        <v>Transcript Link</v>
      </c>
    </row>
    <row r="374" ht="180" spans="1:13">
      <c r="A374" s="1" t="s">
        <v>1642</v>
      </c>
      <c r="B374" s="1" t="s">
        <v>13</v>
      </c>
      <c r="C374" s="4" t="s">
        <v>1643</v>
      </c>
      <c r="D374" s="1" t="s">
        <v>1644</v>
      </c>
      <c r="E374" s="1" t="s">
        <v>1645</v>
      </c>
      <c r="F374" s="4" t="s">
        <v>17</v>
      </c>
      <c r="G374" s="1" t="s">
        <v>18</v>
      </c>
      <c r="H374" s="1" t="s">
        <v>19</v>
      </c>
      <c r="I374" s="1" t="s">
        <v>20</v>
      </c>
      <c r="J374" s="1" t="s">
        <v>1646</v>
      </c>
      <c r="K374" s="1" t="s">
        <v>22</v>
      </c>
      <c r="L374" s="1" t="str">
        <f>HYPERLINK("https://files.afu.se/Downloads/Transcripts/0%20-%20Government/USA%20-%20NASA%20Johnson/2020 03 24 - NASA Johnson - Shining Oasis   Down To Earth - S1 E11_L-TpUyfxHiY - transcript (automated).pdf","Transcript Link")</f>
        <v>Transcript Link</v>
      </c>
      <c r="M374" s="2" t="str">
        <f>HYPERLINK("https://files.afu.se/Downloads/Transcripts/0%20-%20Government/USA%20-%20NASA%20Johnson/2020 03 24 - NASA Johnson - Shining Oasis   Down To Earth - S1 E11_L-TpUyfxHiY - transcript (automated).pdf","Transcript Link")</f>
        <v>Transcript Link</v>
      </c>
    </row>
    <row r="375" ht="255" spans="1:13">
      <c r="A375" s="1" t="s">
        <v>1647</v>
      </c>
      <c r="B375" s="1" t="s">
        <v>13</v>
      </c>
      <c r="C375" s="4" t="s">
        <v>1648</v>
      </c>
      <c r="D375" s="1" t="s">
        <v>1649</v>
      </c>
      <c r="E375" s="1" t="s">
        <v>1418</v>
      </c>
      <c r="F375" s="4" t="s">
        <v>17</v>
      </c>
      <c r="G375" s="1" t="s">
        <v>18</v>
      </c>
      <c r="H375" s="1" t="s">
        <v>19</v>
      </c>
      <c r="I375" s="1" t="s">
        <v>20</v>
      </c>
      <c r="J375" s="1" t="s">
        <v>1650</v>
      </c>
      <c r="K375" s="1" t="s">
        <v>22</v>
      </c>
      <c r="L375" s="1" t="str">
        <f>HYPERLINK("https://files.afu.se/Downloads/Transcripts/0%20-%20Government/USA%20-%20NASA%20Johnson/2020 03 20 - NASA Johnson - Space to Ground  In Times of Adversity  03 20 2020_a0S4Th3FrhI - transcript (automated).pdf","Transcript Link")</f>
        <v>Transcript Link</v>
      </c>
      <c r="M375" s="2" t="str">
        <f>HYPERLINK("https://files.afu.se/Downloads/Transcripts/0%20-%20Government/USA%20-%20NASA%20Johnson/2020 03 20 - NASA Johnson - Space to Ground  In Times of Adversity  03 20 2020_a0S4Th3FrhI - transcript (automated).pdf","Transcript Link")</f>
        <v>Transcript Link</v>
      </c>
    </row>
    <row r="376" ht="255" spans="1:13">
      <c r="A376" s="1" t="s">
        <v>1651</v>
      </c>
      <c r="B376" s="1" t="s">
        <v>13</v>
      </c>
      <c r="C376" s="4" t="s">
        <v>1652</v>
      </c>
      <c r="D376" s="1" t="s">
        <v>1653</v>
      </c>
      <c r="E376" s="1" t="s">
        <v>1418</v>
      </c>
      <c r="F376" s="4" t="s">
        <v>17</v>
      </c>
      <c r="G376" s="1" t="s">
        <v>18</v>
      </c>
      <c r="H376" s="1" t="s">
        <v>19</v>
      </c>
      <c r="I376" s="1" t="s">
        <v>20</v>
      </c>
      <c r="J376" s="1" t="s">
        <v>1654</v>
      </c>
      <c r="K376" s="1" t="s">
        <v>22</v>
      </c>
      <c r="L376" s="1" t="str">
        <f>HYPERLINK("https://files.afu.se/Downloads/Transcripts/0%20-%20Government/USA%20-%20NASA%20Johnson/2020 03 13 - NASA Johnson - Space to Ground  20x  03 13 2020_m5tbJ7GvaVQ - transcript (automated).pdf","Transcript Link")</f>
        <v>Transcript Link</v>
      </c>
      <c r="M376" s="2" t="str">
        <f>HYPERLINK("https://files.afu.se/Downloads/Transcripts/0%20-%20Government/USA%20-%20NASA%20Johnson/2020 03 13 - NASA Johnson - Space to Ground  20x  03 13 2020_m5tbJ7GvaVQ - transcript (automated).pdf","Transcript Link")</f>
        <v>Transcript Link</v>
      </c>
    </row>
    <row r="377" ht="180" spans="1:13">
      <c r="A377" s="1" t="s">
        <v>1655</v>
      </c>
      <c r="B377" s="1" t="s">
        <v>13</v>
      </c>
      <c r="C377" s="4" t="s">
        <v>1656</v>
      </c>
      <c r="D377" s="1" t="s">
        <v>1657</v>
      </c>
      <c r="E377" s="1" t="s">
        <v>1658</v>
      </c>
      <c r="F377" s="4" t="s">
        <v>17</v>
      </c>
      <c r="G377" s="1" t="s">
        <v>18</v>
      </c>
      <c r="H377" s="1" t="s">
        <v>19</v>
      </c>
      <c r="I377" s="1" t="s">
        <v>20</v>
      </c>
      <c r="J377" s="1" t="s">
        <v>1659</v>
      </c>
      <c r="K377" s="1" t="s">
        <v>22</v>
      </c>
      <c r="L377" s="1" t="str">
        <f>HYPERLINK("https://files.afu.se/Downloads/Transcripts/0%20-%20Government/USA%20-%20NASA%20Johnson/2020 03 10 - NASA Johnson - Tip Of The Iceberg   Down To Earth - S1 E10_6DR2_VnyinM - transcript (automated).pdf","Transcript Link")</f>
        <v>Transcript Link</v>
      </c>
      <c r="M377" s="2" t="str">
        <f>HYPERLINK("https://files.afu.se/Downloads/Transcripts/0%20-%20Government/USA%20-%20NASA%20Johnson/2020 03 10 - NASA Johnson - Tip Of The Iceberg   Down To Earth - S1 E10_6DR2_VnyinM - transcript (automated).pdf","Transcript Link")</f>
        <v>Transcript Link</v>
      </c>
    </row>
    <row r="378" ht="255" spans="1:13">
      <c r="A378" s="1" t="s">
        <v>1660</v>
      </c>
      <c r="B378" s="1" t="s">
        <v>13</v>
      </c>
      <c r="C378" s="4" t="s">
        <v>1661</v>
      </c>
      <c r="D378" s="1" t="s">
        <v>1662</v>
      </c>
      <c r="E378" s="1" t="s">
        <v>1418</v>
      </c>
      <c r="F378" s="4" t="s">
        <v>17</v>
      </c>
      <c r="G378" s="1" t="s">
        <v>18</v>
      </c>
      <c r="H378" s="1" t="s">
        <v>19</v>
      </c>
      <c r="I378" s="1" t="s">
        <v>20</v>
      </c>
      <c r="J378" s="1" t="s">
        <v>1663</v>
      </c>
      <c r="K378" s="1" t="s">
        <v>22</v>
      </c>
      <c r="L378" s="1" t="str">
        <f>HYPERLINK("https://files.afu.se/Downloads/Transcripts/0%20-%20Government/USA%20-%20NASA%20Johnson/2020 03 06 - NASA Johnson - Space to Ground  Making Space  03 06 2020_TlGBVqbZbBY - transcript (automated).pdf","Transcript Link")</f>
        <v>Transcript Link</v>
      </c>
      <c r="M378" s="2" t="str">
        <f>HYPERLINK("https://files.afu.se/Downloads/Transcripts/0%20-%20Government/USA%20-%20NASA%20Johnson/2020 03 06 - NASA Johnson - Space to Ground  Making Space  03 06 2020_TlGBVqbZbBY - transcript (automated).pdf","Transcript Link")</f>
        <v>Transcript Link</v>
      </c>
    </row>
    <row r="379" ht="255" spans="1:13">
      <c r="A379" s="1" t="s">
        <v>1664</v>
      </c>
      <c r="B379" s="1" t="s">
        <v>13</v>
      </c>
      <c r="C379" s="4" t="s">
        <v>1665</v>
      </c>
      <c r="D379" s="1" t="s">
        <v>1666</v>
      </c>
      <c r="E379" s="1" t="s">
        <v>1418</v>
      </c>
      <c r="F379" s="4" t="s">
        <v>17</v>
      </c>
      <c r="G379" s="1" t="s">
        <v>18</v>
      </c>
      <c r="H379" s="1" t="s">
        <v>19</v>
      </c>
      <c r="I379" s="1" t="s">
        <v>20</v>
      </c>
      <c r="J379" s="1" t="s">
        <v>1667</v>
      </c>
      <c r="K379" s="1" t="s">
        <v>22</v>
      </c>
      <c r="L379" s="1" t="str">
        <f>HYPERLINK("https://files.afu.se/Downloads/Transcripts/0%20-%20Government/USA%20-%20NASA%20Johnson/2020 02 28 - NASA Johnson - Space to Ground  Investigating Bone Loss  02 28 2020_I9f39S9wgB0 - transcript (automated).pdf","Transcript Link")</f>
        <v>Transcript Link</v>
      </c>
      <c r="M379" s="2" t="str">
        <f>HYPERLINK("https://files.afu.se/Downloads/Transcripts/0%20-%20Government/USA%20-%20NASA%20Johnson/2020 02 28 - NASA Johnson - Space to Ground  Investigating Bone Loss  02 28 2020_I9f39S9wgB0 - transcript (automated).pdf","Transcript Link")</f>
        <v>Transcript Link</v>
      </c>
    </row>
    <row r="380" ht="180" spans="1:13">
      <c r="A380" s="1" t="s">
        <v>1664</v>
      </c>
      <c r="B380" s="1" t="s">
        <v>13</v>
      </c>
      <c r="C380" s="4" t="s">
        <v>1668</v>
      </c>
      <c r="D380" s="1" t="s">
        <v>1669</v>
      </c>
      <c r="E380" s="1" t="s">
        <v>1670</v>
      </c>
      <c r="F380" s="4" t="s">
        <v>17</v>
      </c>
      <c r="G380" s="1" t="s">
        <v>18</v>
      </c>
      <c r="H380" s="1" t="s">
        <v>19</v>
      </c>
      <c r="I380" s="1" t="s">
        <v>20</v>
      </c>
      <c r="J380" s="1" t="s">
        <v>1671</v>
      </c>
      <c r="K380" s="1" t="s">
        <v>22</v>
      </c>
      <c r="L380" s="1" t="str">
        <f>HYPERLINK("https://files.afu.se/Downloads/Transcripts/0%20-%20Government/USA%20-%20NASA%20Johnson/2020 02 28 - NASA Johnson - Jessica Meir  The Nature Of Exploration_bYJMJGaf2f8 - transcript (automated).pdf","Transcript Link")</f>
        <v>Transcript Link</v>
      </c>
      <c r="M380" s="2" t="str">
        <f>HYPERLINK("https://files.afu.se/Downloads/Transcripts/0%20-%20Government/USA%20-%20NASA%20Johnson/2020 02 28 - NASA Johnson - Jessica Meir  The Nature Of Exploration_bYJMJGaf2f8 - transcript (automated).pdf","Transcript Link")</f>
        <v>Transcript Link</v>
      </c>
    </row>
    <row r="381" ht="225" spans="1:13">
      <c r="A381" s="1" t="s">
        <v>1672</v>
      </c>
      <c r="B381" s="1" t="s">
        <v>13</v>
      </c>
      <c r="C381" s="4" t="s">
        <v>1673</v>
      </c>
      <c r="D381" s="1" t="s">
        <v>1674</v>
      </c>
      <c r="E381" s="1" t="s">
        <v>1675</v>
      </c>
      <c r="F381" s="4" t="s">
        <v>17</v>
      </c>
      <c r="G381" s="1" t="s">
        <v>18</v>
      </c>
      <c r="H381" s="1" t="s">
        <v>19</v>
      </c>
      <c r="I381" s="1" t="s">
        <v>20</v>
      </c>
      <c r="J381" s="1" t="s">
        <v>1676</v>
      </c>
      <c r="K381" s="1" t="s">
        <v>22</v>
      </c>
      <c r="L381" s="1" t="str">
        <f>HYPERLINK("https://files.afu.se/Downloads/Transcripts/0%20-%20Government/USA%20-%20NASA%20Johnson/2020 02 26 - NASA Johnson - Fired Up! Final Test of Orion Motor Critical to Astronaut Safety a Spectacular Success_vhwbxAmOZzg - transcript (automated).pdf","Transcript Link")</f>
        <v>Transcript Link</v>
      </c>
      <c r="M381" s="2" t="str">
        <f>HYPERLINK("https://files.afu.se/Downloads/Transcripts/0%20-%20Government/USA%20-%20NASA%20Johnson/2020 02 26 - NASA Johnson - Fired Up! Final Test of Orion Motor Critical to Astronaut Safety a Spectacular Success_vhwbxAmOZzg - transcript (automated).pdf","Transcript Link")</f>
        <v>Transcript Link</v>
      </c>
    </row>
    <row r="382" ht="180" spans="1:13">
      <c r="A382" s="1" t="s">
        <v>1677</v>
      </c>
      <c r="B382" s="1" t="s">
        <v>13</v>
      </c>
      <c r="C382" s="4" t="s">
        <v>1678</v>
      </c>
      <c r="D382" s="1" t="s">
        <v>1679</v>
      </c>
      <c r="E382" s="1" t="s">
        <v>1680</v>
      </c>
      <c r="F382" s="4" t="s">
        <v>17</v>
      </c>
      <c r="G382" s="1" t="s">
        <v>18</v>
      </c>
      <c r="H382" s="1" t="s">
        <v>19</v>
      </c>
      <c r="I382" s="1" t="s">
        <v>20</v>
      </c>
      <c r="J382" s="1" t="s">
        <v>1681</v>
      </c>
      <c r="K382" s="1" t="s">
        <v>22</v>
      </c>
      <c r="L382" s="1" t="str">
        <f>HYPERLINK("https://files.afu.se/Downloads/Transcripts/0%20-%20Government/USA%20-%20NASA%20Johnson/2020 02 25 - NASA Johnson - A Work of Art   Down To Earth - S1 E9_BdpTS6l_AAs - transcript (automated).pdf","Transcript Link")</f>
        <v>Transcript Link</v>
      </c>
      <c r="M382" s="2" t="str">
        <f>HYPERLINK("https://files.afu.se/Downloads/Transcripts/0%20-%20Government/USA%20-%20NASA%20Johnson/2020 02 25 - NASA Johnson - A Work of Art   Down To Earth - S1 E9_BdpTS6l_AAs - transcript (automated).pdf","Transcript Link")</f>
        <v>Transcript Link</v>
      </c>
    </row>
    <row r="383" ht="255" spans="1:13">
      <c r="A383" s="1" t="s">
        <v>1682</v>
      </c>
      <c r="B383" s="1" t="s">
        <v>13</v>
      </c>
      <c r="C383" s="4" t="s">
        <v>1683</v>
      </c>
      <c r="D383" s="1" t="s">
        <v>1684</v>
      </c>
      <c r="E383" s="1" t="s">
        <v>1418</v>
      </c>
      <c r="F383" s="4" t="s">
        <v>17</v>
      </c>
      <c r="G383" s="1" t="s">
        <v>18</v>
      </c>
      <c r="H383" s="1" t="s">
        <v>19</v>
      </c>
      <c r="I383" s="1" t="s">
        <v>20</v>
      </c>
      <c r="J383" s="1" t="s">
        <v>1685</v>
      </c>
      <c r="K383" s="1" t="s">
        <v>22</v>
      </c>
      <c r="L383" s="1" t="str">
        <f>HYPERLINK("https://files.afu.se/Downloads/Transcripts/0%20-%20Government/USA%20-%20NASA%20Johnson/2020 02 21 - NASA Johnson - Space to Ground  Liftoff from Virginia  02 21 2020_E5sEcxiRPEQ - transcript (automated).pdf","Transcript Link")</f>
        <v>Transcript Link</v>
      </c>
      <c r="M383" s="2" t="str">
        <f>HYPERLINK("https://files.afu.se/Downloads/Transcripts/0%20-%20Government/USA%20-%20NASA%20Johnson/2020 02 21 - NASA Johnson - Space to Ground  Liftoff from Virginia  02 21 2020_E5sEcxiRPEQ - transcript (automated).pdf","Transcript Link")</f>
        <v>Transcript Link</v>
      </c>
    </row>
    <row r="384" ht="255" spans="1:13">
      <c r="A384" s="1" t="s">
        <v>1686</v>
      </c>
      <c r="B384" s="1" t="s">
        <v>13</v>
      </c>
      <c r="C384" s="4" t="s">
        <v>1687</v>
      </c>
      <c r="D384" s="1" t="s">
        <v>1688</v>
      </c>
      <c r="E384" s="1" t="s">
        <v>1418</v>
      </c>
      <c r="F384" s="4" t="s">
        <v>17</v>
      </c>
      <c r="G384" s="1" t="s">
        <v>18</v>
      </c>
      <c r="H384" s="1" t="s">
        <v>19</v>
      </c>
      <c r="I384" s="1" t="s">
        <v>20</v>
      </c>
      <c r="J384" s="1" t="s">
        <v>1689</v>
      </c>
      <c r="K384" s="1" t="s">
        <v>22</v>
      </c>
      <c r="L384" s="1" t="str">
        <f>HYPERLINK("https://files.afu.se/Downloads/Transcripts/0%20-%20Government/USA%20-%20NASA%20Johnson/2020 02 14 - NASA Johnson - Space to Ground  Trailblazer  02 14 2020_o-iHIGLsDY4 - transcript (automated).pdf","Transcript Link")</f>
        <v>Transcript Link</v>
      </c>
      <c r="M384" s="2" t="str">
        <f>HYPERLINK("https://files.afu.se/Downloads/Transcripts/0%20-%20Government/USA%20-%20NASA%20Johnson/2020 02 14 - NASA Johnson - Space to Ground  Trailblazer  02 14 2020_o-iHIGLsDY4 - transcript (automated).pdf","Transcript Link")</f>
        <v>Transcript Link</v>
      </c>
    </row>
    <row r="385" ht="180" spans="1:13">
      <c r="A385" s="1" t="s">
        <v>1690</v>
      </c>
      <c r="B385" s="1" t="s">
        <v>13</v>
      </c>
      <c r="C385" s="4" t="s">
        <v>1691</v>
      </c>
      <c r="D385" s="1" t="s">
        <v>1692</v>
      </c>
      <c r="E385" s="1" t="s">
        <v>1693</v>
      </c>
      <c r="F385" s="4" t="s">
        <v>17</v>
      </c>
      <c r="G385" s="1" t="s">
        <v>18</v>
      </c>
      <c r="H385" s="1" t="s">
        <v>19</v>
      </c>
      <c r="I385" s="1" t="s">
        <v>20</v>
      </c>
      <c r="J385" s="1" t="s">
        <v>1694</v>
      </c>
      <c r="K385" s="1" t="s">
        <v>22</v>
      </c>
      <c r="L385" s="1" t="str">
        <f>HYPERLINK("https://files.afu.se/Downloads/Transcripts/0%20-%20Government/USA%20-%20NASA%20Johnson/2020 02 11 - NASA Johnson - Enjoy the View   Down To Earth - S1 E8_OR8rzsZCrNg - transcript (automated).pdf","Transcript Link")</f>
        <v>Transcript Link</v>
      </c>
      <c r="M385" s="2" t="str">
        <f>HYPERLINK("https://files.afu.se/Downloads/Transcripts/0%20-%20Government/USA%20-%20NASA%20Johnson/2020 02 11 - NASA Johnson - Enjoy the View   Down To Earth - S1 E8_OR8rzsZCrNg - transcript (automated).pdf","Transcript Link")</f>
        <v>Transcript Link</v>
      </c>
    </row>
    <row r="386" ht="255" spans="1:13">
      <c r="A386" s="1" t="s">
        <v>1695</v>
      </c>
      <c r="B386" s="1" t="s">
        <v>13</v>
      </c>
      <c r="C386" s="4" t="s">
        <v>1696</v>
      </c>
      <c r="D386" s="1" t="s">
        <v>1697</v>
      </c>
      <c r="E386" s="1" t="s">
        <v>1418</v>
      </c>
      <c r="F386" s="4" t="s">
        <v>17</v>
      </c>
      <c r="G386" s="1" t="s">
        <v>18</v>
      </c>
      <c r="H386" s="1" t="s">
        <v>19</v>
      </c>
      <c r="I386" s="1" t="s">
        <v>20</v>
      </c>
      <c r="J386" s="1" t="s">
        <v>1698</v>
      </c>
      <c r="K386" s="1" t="s">
        <v>22</v>
      </c>
      <c r="L386" s="1" t="str">
        <f>HYPERLINK("https://files.afu.se/Downloads/Transcripts/0%20-%20Government/USA%20-%20NASA%20Johnson/2020 02 07 - NASA Johnson - Space to Ground  Record Breaking  02 07 2020__a23CmZgIp8 - transcript (automated).pdf","Transcript Link")</f>
        <v>Transcript Link</v>
      </c>
      <c r="M386" s="2" t="str">
        <f>HYPERLINK("https://files.afu.se/Downloads/Transcripts/0%20-%20Government/USA%20-%20NASA%20Johnson/2020 02 07 - NASA Johnson - Space to Ground  Record Breaking  02 07 2020__a23CmZgIp8 - transcript (automated).pdf","Transcript Link")</f>
        <v>Transcript Link</v>
      </c>
    </row>
    <row r="387" ht="240" spans="1:13">
      <c r="A387" s="1" t="s">
        <v>1699</v>
      </c>
      <c r="B387" s="1" t="s">
        <v>13</v>
      </c>
      <c r="C387" s="4" t="s">
        <v>1700</v>
      </c>
      <c r="D387" s="1" t="s">
        <v>1701</v>
      </c>
      <c r="E387" s="1" t="s">
        <v>1702</v>
      </c>
      <c r="F387" s="4" t="s">
        <v>17</v>
      </c>
      <c r="G387" s="1" t="s">
        <v>18</v>
      </c>
      <c r="H387" s="1" t="s">
        <v>19</v>
      </c>
      <c r="I387" s="1" t="s">
        <v>20</v>
      </c>
      <c r="J387" s="1" t="s">
        <v>1703</v>
      </c>
      <c r="K387" s="1" t="s">
        <v>22</v>
      </c>
      <c r="L387" s="1" t="str">
        <f>HYPERLINK("https://files.afu.se/Downloads/Transcripts/0%20-%20Government/USA%20-%20NASA%20Johnson/2020 02 06 - NASA Johnson - Advice on Returning to Earth for Astronaut Christina Koch from Scott Kelly_TebdIPAZ2WM - transcript (automated).pdf","Transcript Link")</f>
        <v>Transcript Link</v>
      </c>
      <c r="M387" s="2" t="str">
        <f>HYPERLINK("https://files.afu.se/Downloads/Transcripts/0%20-%20Government/USA%20-%20NASA%20Johnson/2020 02 06 - NASA Johnson - Advice on Returning to Earth for Astronaut Christina Koch from Scott Kelly_TebdIPAZ2WM - transcript (automated).pdf","Transcript Link")</f>
        <v>Transcript Link</v>
      </c>
    </row>
    <row r="388" ht="255" spans="1:13">
      <c r="A388" s="1" t="s">
        <v>1699</v>
      </c>
      <c r="B388" s="1" t="s">
        <v>13</v>
      </c>
      <c r="C388" s="4" t="s">
        <v>1704</v>
      </c>
      <c r="D388" s="1" t="s">
        <v>1705</v>
      </c>
      <c r="E388" s="1" t="s">
        <v>1706</v>
      </c>
      <c r="F388" s="4" t="s">
        <v>17</v>
      </c>
      <c r="G388" s="1" t="s">
        <v>18</v>
      </c>
      <c r="H388" s="1" t="s">
        <v>19</v>
      </c>
      <c r="I388" s="1" t="s">
        <v>20</v>
      </c>
      <c r="J388" s="1" t="s">
        <v>1707</v>
      </c>
      <c r="K388" s="1" t="s">
        <v>22</v>
      </c>
      <c r="L388" s="1" t="str">
        <f>HYPERLINK("https://files.afu.se/Downloads/Transcripts/0%20-%20Government/USA%20-%20NASA%20Johnson/2020 02 06 - NASA Johnson - Christina Koch’s Memorable Moments  Part 5_NTEImgloGZg - transcript (automated).pdf","Transcript Link")</f>
        <v>Transcript Link</v>
      </c>
      <c r="M388" s="2" t="str">
        <f>HYPERLINK("https://files.afu.se/Downloads/Transcripts/0%20-%20Government/USA%20-%20NASA%20Johnson/2020 02 06 - NASA Johnson - Christina Koch’s Memorable Moments  Part 5_NTEImgloGZg - transcript (automated).pdf","Transcript Link")</f>
        <v>Transcript Link</v>
      </c>
    </row>
    <row r="389" ht="210" spans="1:13">
      <c r="A389" s="1" t="s">
        <v>1708</v>
      </c>
      <c r="B389" s="1" t="s">
        <v>13</v>
      </c>
      <c r="C389" s="4" t="s">
        <v>1709</v>
      </c>
      <c r="D389" s="1" t="s">
        <v>1710</v>
      </c>
      <c r="E389" s="1" t="s">
        <v>1711</v>
      </c>
      <c r="F389" s="4" t="s">
        <v>17</v>
      </c>
      <c r="G389" s="1" t="s">
        <v>18</v>
      </c>
      <c r="H389" s="1" t="s">
        <v>19</v>
      </c>
      <c r="I389" s="1" t="s">
        <v>20</v>
      </c>
      <c r="J389" s="1" t="s">
        <v>1712</v>
      </c>
      <c r="K389" s="1" t="s">
        <v>22</v>
      </c>
      <c r="L389" s="1" t="str">
        <f>HYPERLINK("https://files.afu.se/Downloads/Transcripts/0%20-%20Government/USA%20-%20NASA%20Johnson/2020 02 03 - NASA Johnson - Christina Koch - Space Station Scientist_mYEHGISJRYE - transcript (automated).pdf","Transcript Link")</f>
        <v>Transcript Link</v>
      </c>
      <c r="M389" s="2" t="str">
        <f>HYPERLINK("https://files.afu.se/Downloads/Transcripts/0%20-%20Government/USA%20-%20NASA%20Johnson/2020 02 03 - NASA Johnson - Christina Koch - Space Station Scientist_mYEHGISJRYE - transcript (automated).pdf","Transcript Link")</f>
        <v>Transcript Link</v>
      </c>
    </row>
    <row r="390" ht="255" spans="1:13">
      <c r="A390" s="1" t="s">
        <v>1713</v>
      </c>
      <c r="B390" s="1" t="s">
        <v>13</v>
      </c>
      <c r="C390" s="4" t="s">
        <v>1714</v>
      </c>
      <c r="D390" s="1" t="s">
        <v>1715</v>
      </c>
      <c r="E390" s="1" t="s">
        <v>1716</v>
      </c>
      <c r="F390" s="4" t="s">
        <v>17</v>
      </c>
      <c r="G390" s="1" t="s">
        <v>18</v>
      </c>
      <c r="H390" s="1" t="s">
        <v>19</v>
      </c>
      <c r="I390" s="1" t="s">
        <v>20</v>
      </c>
      <c r="J390" s="1" t="s">
        <v>1717</v>
      </c>
      <c r="K390" s="1" t="s">
        <v>22</v>
      </c>
      <c r="L390" s="1" t="str">
        <f>HYPERLINK("https://files.afu.se/Downloads/Transcripts/0%20-%20Government/USA%20-%20NASA%20Johnson/2020 01 31 - NASA Johnson - Christina Koch’s Memorable Moments  Part 4_GKprm3whh6U - transcript (automated).pdf","Transcript Link")</f>
        <v>Transcript Link</v>
      </c>
      <c r="M390" s="2" t="str">
        <f>HYPERLINK("https://files.afu.se/Downloads/Transcripts/0%20-%20Government/USA%20-%20NASA%20Johnson/2020 01 31 - NASA Johnson - Christina Koch’s Memorable Moments  Part 4_GKprm3whh6U - transcript (automated).pdf","Transcript Link")</f>
        <v>Transcript Link</v>
      </c>
    </row>
    <row r="391" ht="255" spans="1:13">
      <c r="A391" s="1" t="s">
        <v>1713</v>
      </c>
      <c r="B391" s="1" t="s">
        <v>13</v>
      </c>
      <c r="C391" s="4" t="s">
        <v>1718</v>
      </c>
      <c r="D391" s="1" t="s">
        <v>1719</v>
      </c>
      <c r="E391" s="1" t="s">
        <v>1418</v>
      </c>
      <c r="F391" s="4" t="s">
        <v>17</v>
      </c>
      <c r="G391" s="1" t="s">
        <v>18</v>
      </c>
      <c r="H391" s="1" t="s">
        <v>19</v>
      </c>
      <c r="I391" s="1" t="s">
        <v>20</v>
      </c>
      <c r="J391" s="1" t="s">
        <v>1720</v>
      </c>
      <c r="K391" s="1" t="s">
        <v>22</v>
      </c>
      <c r="L391" s="1" t="str">
        <f>HYPERLINK("https://files.afu.se/Downloads/Transcripts/0%20-%20Government/USA%20-%20NASA%20Johnson/2020 01 31 - NASA Johnson - Space to Ground  Luca's Record  01 31 2020_jdfC5S7P4OY - transcript (automated).pdf","Transcript Link")</f>
        <v>Transcript Link</v>
      </c>
      <c r="M391" s="2" t="str">
        <f>HYPERLINK("https://files.afu.se/Downloads/Transcripts/0%20-%20Government/USA%20-%20NASA%20Johnson/2020 01 31 - NASA Johnson - Space to Ground  Luca's Record  01 31 2020_jdfC5S7P4OY - transcript (automated).pdf","Transcript Link")</f>
        <v>Transcript Link</v>
      </c>
    </row>
    <row r="392" ht="180" spans="1:13">
      <c r="A392" s="1" t="s">
        <v>1721</v>
      </c>
      <c r="B392" s="1" t="s">
        <v>13</v>
      </c>
      <c r="C392" s="4" t="s">
        <v>1722</v>
      </c>
      <c r="D392" s="1" t="s">
        <v>1723</v>
      </c>
      <c r="E392" s="1" t="s">
        <v>1724</v>
      </c>
      <c r="F392" s="4" t="s">
        <v>17</v>
      </c>
      <c r="G392" s="1" t="s">
        <v>18</v>
      </c>
      <c r="H392" s="1" t="s">
        <v>19</v>
      </c>
      <c r="I392" s="1" t="s">
        <v>20</v>
      </c>
      <c r="J392" s="1" t="s">
        <v>1725</v>
      </c>
      <c r="K392" s="1" t="s">
        <v>22</v>
      </c>
      <c r="L392" s="1" t="str">
        <f>HYPERLINK("https://files.afu.se/Downloads/Transcripts/0%20-%20Government/USA%20-%20NASA%20Johnson/2020 01 28 - NASA Johnson - Black Velvet of Space   Down To Earth - S1 E7_QKXC6BuxbqA - transcript (automated).pdf","Transcript Link")</f>
        <v>Transcript Link</v>
      </c>
      <c r="M392" s="2" t="str">
        <f>HYPERLINK("https://files.afu.se/Downloads/Transcripts/0%20-%20Government/USA%20-%20NASA%20Johnson/2020 01 28 - NASA Johnson - Black Velvet of Space   Down To Earth - S1 E7_QKXC6BuxbqA - transcript (automated).pdf","Transcript Link")</f>
        <v>Transcript Link</v>
      </c>
    </row>
    <row r="393" ht="255" spans="1:13">
      <c r="A393" s="1" t="s">
        <v>1726</v>
      </c>
      <c r="B393" s="1" t="s">
        <v>13</v>
      </c>
      <c r="C393" s="4" t="s">
        <v>1727</v>
      </c>
      <c r="D393" s="1" t="s">
        <v>1728</v>
      </c>
      <c r="E393" s="1" t="s">
        <v>1418</v>
      </c>
      <c r="F393" s="4" t="s">
        <v>17</v>
      </c>
      <c r="G393" s="1" t="s">
        <v>18</v>
      </c>
      <c r="H393" s="1" t="s">
        <v>19</v>
      </c>
      <c r="I393" s="1" t="s">
        <v>20</v>
      </c>
      <c r="J393" s="1" t="s">
        <v>1729</v>
      </c>
      <c r="K393" s="1" t="s">
        <v>22</v>
      </c>
      <c r="L393" s="1" t="str">
        <f>HYPERLINK("https://files.afu.se/Downloads/Transcripts/0%20-%20Government/USA%20-%20NASA%20Johnson/2020 01 24 - NASA Johnson - Space to Ground  Upgrading the Station  01 24 2020_M6Olv_6d6UI - transcript (automated).pdf","Transcript Link")</f>
        <v>Transcript Link</v>
      </c>
      <c r="M393" s="2" t="str">
        <f>HYPERLINK("https://files.afu.se/Downloads/Transcripts/0%20-%20Government/USA%20-%20NASA%20Johnson/2020 01 24 - NASA Johnson - Space to Ground  Upgrading the Station  01 24 2020_M6Olv_6d6UI - transcript (automated).pdf","Transcript Link")</f>
        <v>Transcript Link</v>
      </c>
    </row>
    <row r="394" ht="240" spans="1:13">
      <c r="A394" s="1" t="s">
        <v>1730</v>
      </c>
      <c r="B394" s="1" t="s">
        <v>13</v>
      </c>
      <c r="C394" s="4" t="s">
        <v>1731</v>
      </c>
      <c r="D394" s="1" t="s">
        <v>1732</v>
      </c>
      <c r="E394" s="1" t="s">
        <v>1733</v>
      </c>
      <c r="F394" s="4" t="s">
        <v>17</v>
      </c>
      <c r="G394" s="1" t="s">
        <v>18</v>
      </c>
      <c r="H394" s="1" t="s">
        <v>19</v>
      </c>
      <c r="I394" s="1" t="s">
        <v>20</v>
      </c>
      <c r="J394" s="1" t="s">
        <v>1734</v>
      </c>
      <c r="K394" s="1" t="s">
        <v>22</v>
      </c>
      <c r="L394" s="1" t="str">
        <f>HYPERLINK("https://files.afu.se/Downloads/Transcripts/0%20-%20Government/USA%20-%20NASA%20Johnson/2020 01 23 - NASA Johnson - Christina Koch’s Memorable Moments  Part 3_B_g7kkta0L4 - transcript (automated).pdf","Transcript Link")</f>
        <v>Transcript Link</v>
      </c>
      <c r="M394" s="2" t="str">
        <f>HYPERLINK("https://files.afu.se/Downloads/Transcripts/0%20-%20Government/USA%20-%20NASA%20Johnson/2020 01 23 - NASA Johnson - Christina Koch’s Memorable Moments  Part 3_B_g7kkta0L4 - transcript (automated).pdf","Transcript Link")</f>
        <v>Transcript Link</v>
      </c>
    </row>
    <row r="395" ht="210" spans="1:13">
      <c r="A395" s="1" t="s">
        <v>1735</v>
      </c>
      <c r="B395" s="1" t="s">
        <v>13</v>
      </c>
      <c r="C395" s="4" t="s">
        <v>1736</v>
      </c>
      <c r="D395" s="1" t="s">
        <v>1737</v>
      </c>
      <c r="E395" s="1" t="s">
        <v>1738</v>
      </c>
      <c r="F395" s="4" t="s">
        <v>17</v>
      </c>
      <c r="G395" s="1" t="s">
        <v>18</v>
      </c>
      <c r="H395" s="1" t="s">
        <v>19</v>
      </c>
      <c r="I395" s="1" t="s">
        <v>20</v>
      </c>
      <c r="J395" s="1" t="s">
        <v>1739</v>
      </c>
      <c r="K395" s="1" t="s">
        <v>22</v>
      </c>
      <c r="L395" s="1" t="str">
        <f>HYPERLINK("https://files.afu.se/Downloads/Transcripts/0%20-%20Government/USA%20-%20NASA%20Johnson/2020 01 21 - NASA Johnson - Train Like An Astronaut  Kelly Marie Tran and Naomi Ackie_O62LPeJwhRg - transcript (automated).pdf","Transcript Link")</f>
        <v>Transcript Link</v>
      </c>
      <c r="M395" s="2" t="str">
        <f>HYPERLINK("https://files.afu.se/Downloads/Transcripts/0%20-%20Government/USA%20-%20NASA%20Johnson/2020 01 21 - NASA Johnson - Train Like An Astronaut  Kelly Marie Tran and Naomi Ackie_O62LPeJwhRg - transcript (automated).pdf","Transcript Link")</f>
        <v>Transcript Link</v>
      </c>
    </row>
    <row r="396" ht="255" spans="1:13">
      <c r="A396" s="1" t="s">
        <v>1740</v>
      </c>
      <c r="B396" s="1" t="s">
        <v>13</v>
      </c>
      <c r="C396" s="4" t="s">
        <v>1741</v>
      </c>
      <c r="D396" s="1" t="s">
        <v>1742</v>
      </c>
      <c r="E396" s="1" t="s">
        <v>1418</v>
      </c>
      <c r="F396" s="4" t="s">
        <v>17</v>
      </c>
      <c r="G396" s="1" t="s">
        <v>18</v>
      </c>
      <c r="H396" s="1" t="s">
        <v>19</v>
      </c>
      <c r="I396" s="1" t="s">
        <v>20</v>
      </c>
      <c r="J396" s="1" t="s">
        <v>1743</v>
      </c>
      <c r="K396" s="1" t="s">
        <v>22</v>
      </c>
      <c r="L396" s="1" t="str">
        <f>HYPERLINK("https://files.afu.se/Downloads/Transcripts/0%20-%20Government/USA%20-%20NASA%20Johnson/2020 01 17 - NASA Johnson - Space to Ground  Final Test  01 17 2020_isH8Sk_lNr4 - transcript (automated).pdf","Transcript Link")</f>
        <v>Transcript Link</v>
      </c>
      <c r="M396" s="2" t="str">
        <f>HYPERLINK("https://files.afu.se/Downloads/Transcripts/0%20-%20Government/USA%20-%20NASA%20Johnson/2020 01 17 - NASA Johnson - Space to Ground  Final Test  01 17 2020_isH8Sk_lNr4 - transcript (automated).pdf","Transcript Link")</f>
        <v>Transcript Link</v>
      </c>
    </row>
    <row r="397" ht="240" spans="1:13">
      <c r="A397" s="1" t="s">
        <v>1744</v>
      </c>
      <c r="B397" s="1" t="s">
        <v>13</v>
      </c>
      <c r="C397" s="4" t="s">
        <v>1745</v>
      </c>
      <c r="D397" s="1" t="s">
        <v>1746</v>
      </c>
      <c r="E397" s="1" t="s">
        <v>1747</v>
      </c>
      <c r="F397" s="4" t="s">
        <v>17</v>
      </c>
      <c r="G397" s="1" t="s">
        <v>18</v>
      </c>
      <c r="H397" s="1" t="s">
        <v>19</v>
      </c>
      <c r="I397" s="1" t="s">
        <v>20</v>
      </c>
      <c r="J397" s="1" t="s">
        <v>1748</v>
      </c>
      <c r="K397" s="1" t="s">
        <v>22</v>
      </c>
      <c r="L397" s="1" t="str">
        <f>HYPERLINK("https://files.afu.se/Downloads/Transcripts/0%20-%20Government/USA%20-%20NASA%20Johnson/2020 01 15 - NASA Johnson - Christina Koch’s Memorable Moments  Part 2_54zBlM0pwKo - transcript (automated).pdf","Transcript Link")</f>
        <v>Transcript Link</v>
      </c>
      <c r="M397" s="2" t="str">
        <f>HYPERLINK("https://files.afu.se/Downloads/Transcripts/0%20-%20Government/USA%20-%20NASA%20Johnson/2020 01 15 - NASA Johnson - Christina Koch’s Memorable Moments  Part 2_54zBlM0pwKo - transcript (automated).pdf","Transcript Link")</f>
        <v>Transcript Link</v>
      </c>
    </row>
    <row r="398" ht="180" spans="1:13">
      <c r="A398" s="1" t="s">
        <v>1749</v>
      </c>
      <c r="B398" s="1" t="s">
        <v>13</v>
      </c>
      <c r="C398" s="4" t="s">
        <v>1750</v>
      </c>
      <c r="D398" s="1" t="s">
        <v>1751</v>
      </c>
      <c r="E398" s="1" t="s">
        <v>1752</v>
      </c>
      <c r="F398" s="4" t="s">
        <v>17</v>
      </c>
      <c r="G398" s="1" t="s">
        <v>18</v>
      </c>
      <c r="H398" s="1" t="s">
        <v>19</v>
      </c>
      <c r="I398" s="1" t="s">
        <v>20</v>
      </c>
      <c r="J398" s="1" t="s">
        <v>1753</v>
      </c>
      <c r="K398" s="1" t="s">
        <v>22</v>
      </c>
      <c r="L398" s="1" t="str">
        <f>HYPERLINK("https://files.afu.se/Downloads/Transcripts/0%20-%20Government/USA%20-%20NASA%20Johnson/2020 01 14 - NASA Johnson - Ever Changing Picture   Down To Earth - S1 E6_MU9vyZ6j-Us - transcript (automated).pdf","Transcript Link")</f>
        <v>Transcript Link</v>
      </c>
      <c r="M398" s="2" t="str">
        <f>HYPERLINK("https://files.afu.se/Downloads/Transcripts/0%20-%20Government/USA%20-%20NASA%20Johnson/2020 01 14 - NASA Johnson - Ever Changing Picture   Down To Earth - S1 E6_MU9vyZ6j-Us - transcript (automated).pdf","Transcript Link")</f>
        <v>Transcript Link</v>
      </c>
    </row>
    <row r="399" ht="255" spans="1:13">
      <c r="A399" s="1" t="s">
        <v>1754</v>
      </c>
      <c r="B399" s="1" t="s">
        <v>13</v>
      </c>
      <c r="C399" s="4" t="s">
        <v>1755</v>
      </c>
      <c r="D399" s="1" t="s">
        <v>1756</v>
      </c>
      <c r="E399" s="1" t="s">
        <v>1418</v>
      </c>
      <c r="F399" s="4" t="s">
        <v>17</v>
      </c>
      <c r="G399" s="1" t="s">
        <v>18</v>
      </c>
      <c r="H399" s="1" t="s">
        <v>19</v>
      </c>
      <c r="I399" s="1" t="s">
        <v>20</v>
      </c>
      <c r="J399" s="1" t="s">
        <v>1757</v>
      </c>
      <c r="K399" s="1" t="s">
        <v>22</v>
      </c>
      <c r="L399" s="1" t="str">
        <f>HYPERLINK("https://files.afu.se/Downloads/Transcripts/0%20-%20Government/USA%20-%20NASA%20Johnson/2020 01 10 - NASA Johnson - Space to Ground  Descending Dragon  01 10 2020_lo30ykoaogI - transcript (automated).pdf","Transcript Link")</f>
        <v>Transcript Link</v>
      </c>
      <c r="M399" s="2" t="str">
        <f>HYPERLINK("https://files.afu.se/Downloads/Transcripts/0%20-%20Government/USA%20-%20NASA%20Johnson/2020 01 10 - NASA Johnson - Space to Ground  Descending Dragon  01 10 2020_lo30ykoaogI - transcript (automated).pdf","Transcript Link")</f>
        <v>Transcript Link</v>
      </c>
    </row>
    <row r="400" ht="255" spans="1:13">
      <c r="A400" s="1" t="s">
        <v>1758</v>
      </c>
      <c r="B400" s="1" t="s">
        <v>13</v>
      </c>
      <c r="C400" s="4" t="s">
        <v>1759</v>
      </c>
      <c r="D400" s="1" t="s">
        <v>1760</v>
      </c>
      <c r="E400" s="1" t="s">
        <v>1761</v>
      </c>
      <c r="F400" s="4" t="s">
        <v>17</v>
      </c>
      <c r="G400" s="1" t="s">
        <v>18</v>
      </c>
      <c r="H400" s="1" t="s">
        <v>19</v>
      </c>
      <c r="I400" s="1" t="s">
        <v>20</v>
      </c>
      <c r="J400" s="1" t="s">
        <v>1762</v>
      </c>
      <c r="K400" s="1" t="s">
        <v>22</v>
      </c>
      <c r="L400" s="1" t="str">
        <f>HYPERLINK("https://files.afu.se/Downloads/Transcripts/0%20-%20Government/USA%20-%20NASA%20Johnson/2020 01 09 - NASA Johnson - Christina Koch’s Memorable Moments  Part 1_AoAsHqAQNOQ - transcript (automated).pdf","Transcript Link")</f>
        <v>Transcript Link</v>
      </c>
      <c r="M400" s="2" t="str">
        <f>HYPERLINK("https://files.afu.se/Downloads/Transcripts/0%20-%20Government/USA%20-%20NASA%20Johnson/2020 01 09 - NASA Johnson - Christina Koch’s Memorable Moments  Part 1_AoAsHqAQNOQ - transcript (automated).pdf","Transcript Link")</f>
        <v>Transcript Link</v>
      </c>
    </row>
    <row r="401" ht="180" spans="1:13">
      <c r="A401" s="1" t="s">
        <v>1758</v>
      </c>
      <c r="B401" s="1" t="s">
        <v>13</v>
      </c>
      <c r="C401" s="4" t="s">
        <v>1763</v>
      </c>
      <c r="D401" s="1" t="s">
        <v>1764</v>
      </c>
      <c r="E401" s="1" t="s">
        <v>1765</v>
      </c>
      <c r="F401" s="4" t="s">
        <v>17</v>
      </c>
      <c r="G401" s="1" t="s">
        <v>18</v>
      </c>
      <c r="H401" s="1" t="s">
        <v>19</v>
      </c>
      <c r="I401" s="1" t="s">
        <v>20</v>
      </c>
      <c r="J401" s="1" t="s">
        <v>1766</v>
      </c>
      <c r="K401" s="1" t="s">
        <v>22</v>
      </c>
      <c r="L401" s="1" t="str">
        <f>HYPERLINK("https://files.afu.se/Downloads/Transcripts/0%20-%20Government/USA%20-%20NASA%20Johnson/2020 01 09 - NASA Johnson - Christina Koch Congratulatory – NC State University and NC School of Science and Mathematics_8c0EW105TRw - transcript (automated).pdf","Transcript Link")</f>
        <v>Transcript Link</v>
      </c>
      <c r="M401" s="2" t="str">
        <f>HYPERLINK("https://files.afu.se/Downloads/Transcripts/0%20-%20Government/USA%20-%20NASA%20Johnson/2020 01 09 - NASA Johnson - Christina Koch Congratulatory – NC State University and NC School of Science and Mathematics_8c0EW105TRw - transcript (automated).pdf","Transcript Link")</f>
        <v>Transcript Link</v>
      </c>
    </row>
    <row r="402" ht="180" spans="1:13">
      <c r="A402" s="1" t="s">
        <v>1767</v>
      </c>
      <c r="B402" s="1" t="s">
        <v>13</v>
      </c>
      <c r="C402" s="4" t="s">
        <v>1768</v>
      </c>
      <c r="D402" s="1" t="s">
        <v>1769</v>
      </c>
      <c r="E402" s="1" t="s">
        <v>1770</v>
      </c>
      <c r="F402" s="4" t="s">
        <v>17</v>
      </c>
      <c r="G402" s="1" t="s">
        <v>18</v>
      </c>
      <c r="H402" s="1" t="s">
        <v>19</v>
      </c>
      <c r="I402" s="1" t="s">
        <v>20</v>
      </c>
      <c r="J402" s="1" t="s">
        <v>1771</v>
      </c>
      <c r="K402" s="1" t="s">
        <v>22</v>
      </c>
      <c r="L402" s="1" t="str">
        <f>HYPERLINK("https://files.afu.se/Downloads/Transcripts/0%20-%20Government/USA%20-%20NASA%20Johnson/2019 12 31 - NASA Johnson - Out of the Bubble   Down To Earth - S1 E5_Z28gK3zy6dg - transcript (automated).pdf","Transcript Link")</f>
        <v>Transcript Link</v>
      </c>
      <c r="M402" s="2" t="str">
        <f>HYPERLINK("https://files.afu.se/Downloads/Transcripts/0%20-%20Government/USA%20-%20NASA%20Johnson/2019 12 31 - NASA Johnson - Out of the Bubble   Down To Earth - S1 E5_Z28gK3zy6dg - transcript (automated).pdf","Transcript Link")</f>
        <v>Transcript Link</v>
      </c>
    </row>
    <row r="403" ht="240" spans="1:13">
      <c r="A403" s="1" t="s">
        <v>1767</v>
      </c>
      <c r="B403" s="1" t="s">
        <v>13</v>
      </c>
      <c r="C403" s="4" t="s">
        <v>1772</v>
      </c>
      <c r="D403" s="1" t="s">
        <v>1773</v>
      </c>
      <c r="E403" s="1" t="s">
        <v>1774</v>
      </c>
      <c r="F403" s="4" t="s">
        <v>17</v>
      </c>
      <c r="G403" s="1" t="s">
        <v>18</v>
      </c>
      <c r="H403" s="1" t="s">
        <v>19</v>
      </c>
      <c r="I403" s="1" t="s">
        <v>20</v>
      </c>
      <c r="J403" s="1" t="s">
        <v>1775</v>
      </c>
      <c r="K403" s="1" t="s">
        <v>22</v>
      </c>
      <c r="L403" s="1" t="str">
        <f>HYPERLINK("https://files.afu.se/Downloads/Transcripts/0%20-%20Government/USA%20-%20NASA%20Johnson/2019 12 31 - NASA Johnson - 2019 Space Station Science in Pictures_Xoz9we1KtMQ - transcript (automated).pdf","Transcript Link")</f>
        <v>Transcript Link</v>
      </c>
      <c r="M403" s="2" t="str">
        <f>HYPERLINK("https://files.afu.se/Downloads/Transcripts/0%20-%20Government/USA%20-%20NASA%20Johnson/2019 12 31 - NASA Johnson - 2019 Space Station Science in Pictures_Xoz9we1KtMQ - transcript (automated).pdf","Transcript Link")</f>
        <v>Transcript Link</v>
      </c>
    </row>
    <row r="404" ht="180" spans="1:13">
      <c r="A404" s="1" t="s">
        <v>1776</v>
      </c>
      <c r="B404" s="1" t="s">
        <v>13</v>
      </c>
      <c r="C404" s="4" t="s">
        <v>1777</v>
      </c>
      <c r="D404" s="1" t="s">
        <v>1778</v>
      </c>
      <c r="E404" s="1" t="s">
        <v>1779</v>
      </c>
      <c r="F404" s="4" t="s">
        <v>17</v>
      </c>
      <c r="G404" s="1" t="s">
        <v>18</v>
      </c>
      <c r="H404" s="1" t="s">
        <v>19</v>
      </c>
      <c r="I404" s="1" t="s">
        <v>20</v>
      </c>
      <c r="J404" s="1" t="s">
        <v>1780</v>
      </c>
      <c r="K404" s="1" t="s">
        <v>22</v>
      </c>
      <c r="L404" s="1" t="str">
        <f>HYPERLINK("https://files.afu.se/Downloads/Transcripts/0%20-%20Government/USA%20-%20NASA%20Johnson/2019 12 28 - NASA Johnson - Christina Koch Congratulations from Students - December 28, 2019_pQg2_5248bU - transcript (automated).pdf","Transcript Link")</f>
        <v>Transcript Link</v>
      </c>
      <c r="M404" s="2" t="str">
        <f>HYPERLINK("https://files.afu.se/Downloads/Transcripts/0%20-%20Government/USA%20-%20NASA%20Johnson/2019 12 28 - NASA Johnson - Christina Koch Congratulations from Students - December 28, 2019_pQg2_5248bU - transcript (automated).pdf","Transcript Link")</f>
        <v>Transcript Link</v>
      </c>
    </row>
    <row r="405" ht="240" spans="1:13">
      <c r="A405" s="1" t="s">
        <v>1776</v>
      </c>
      <c r="B405" s="1" t="s">
        <v>13</v>
      </c>
      <c r="C405" s="4" t="s">
        <v>1781</v>
      </c>
      <c r="D405" s="1" t="s">
        <v>1782</v>
      </c>
      <c r="E405" s="1" t="s">
        <v>1783</v>
      </c>
      <c r="F405" s="4" t="s">
        <v>17</v>
      </c>
      <c r="G405" s="1" t="s">
        <v>18</v>
      </c>
      <c r="H405" s="1" t="s">
        <v>19</v>
      </c>
      <c r="I405" s="1" t="s">
        <v>20</v>
      </c>
      <c r="J405" s="1" t="s">
        <v>1784</v>
      </c>
      <c r="K405" s="1" t="s">
        <v>22</v>
      </c>
      <c r="L405" s="1" t="str">
        <f>HYPERLINK("https://files.afu.se/Downloads/Transcripts/0%20-%20Government/USA%20-%20NASA%20Johnson/2019 12 28 - NASA Johnson - Christina Koch Congratulatory Message – Naomi Ackie and Kelly Marie Tran_o4csKVXsPn4 - transcript (automated).pdf","Transcript Link")</f>
        <v>Transcript Link</v>
      </c>
      <c r="M405" s="2" t="str">
        <f>HYPERLINK("https://files.afu.se/Downloads/Transcripts/0%20-%20Government/USA%20-%20NASA%20Johnson/2019 12 28 - NASA Johnson - Christina Koch Congratulatory Message – Naomi Ackie and Kelly Marie Tran_o4csKVXsPn4 - transcript (automated).pdf","Transcript Link")</f>
        <v>Transcript Link</v>
      </c>
    </row>
    <row r="406" ht="240" spans="1:13">
      <c r="A406" s="1" t="s">
        <v>1776</v>
      </c>
      <c r="B406" s="1" t="s">
        <v>13</v>
      </c>
      <c r="C406" s="4" t="s">
        <v>1785</v>
      </c>
      <c r="D406" s="1" t="s">
        <v>1786</v>
      </c>
      <c r="E406" s="1" t="s">
        <v>1787</v>
      </c>
      <c r="F406" s="4" t="s">
        <v>17</v>
      </c>
      <c r="G406" s="1" t="s">
        <v>18</v>
      </c>
      <c r="H406" s="1" t="s">
        <v>19</v>
      </c>
      <c r="I406" s="1" t="s">
        <v>20</v>
      </c>
      <c r="J406" s="1" t="s">
        <v>1788</v>
      </c>
      <c r="K406" s="1" t="s">
        <v>22</v>
      </c>
      <c r="L406" s="1" t="str">
        <f>HYPERLINK("https://files.afu.se/Downloads/Transcripts/0%20-%20Government/USA%20-%20NASA%20Johnson/2019 12 28 - NASA Johnson - Christina Koch Congratulatory Message – Patricia Cornwell_bEl8xWsDcqM - transcript (automated).pdf","Transcript Link")</f>
        <v>Transcript Link</v>
      </c>
      <c r="M406" s="2" t="str">
        <f>HYPERLINK("https://files.afu.se/Downloads/Transcripts/0%20-%20Government/USA%20-%20NASA%20Johnson/2019 12 28 - NASA Johnson - Christina Koch Congratulatory Message – Patricia Cornwell_bEl8xWsDcqM - transcript (automated).pdf","Transcript Link")</f>
        <v>Transcript Link</v>
      </c>
    </row>
    <row r="407" ht="240" spans="1:13">
      <c r="A407" s="1" t="s">
        <v>1776</v>
      </c>
      <c r="B407" s="1" t="s">
        <v>13</v>
      </c>
      <c r="C407" s="4" t="s">
        <v>1789</v>
      </c>
      <c r="D407" s="1" t="s">
        <v>1790</v>
      </c>
      <c r="E407" s="1" t="s">
        <v>1791</v>
      </c>
      <c r="F407" s="4" t="s">
        <v>17</v>
      </c>
      <c r="G407" s="1" t="s">
        <v>18</v>
      </c>
      <c r="H407" s="1" t="s">
        <v>19</v>
      </c>
      <c r="I407" s="1" t="s">
        <v>20</v>
      </c>
      <c r="J407" s="1" t="s">
        <v>1792</v>
      </c>
      <c r="K407" s="1" t="s">
        <v>22</v>
      </c>
      <c r="L407" s="1" t="str">
        <f>HYPERLINK("https://files.afu.se/Downloads/Transcripts/0%20-%20Government/USA%20-%20NASA%20Johnson/2019 12 28 - NASA Johnson - Christina Koch Congratulatory Message – Peggy Whitson_L2WQR8zMWdI - transcript (automated).pdf","Transcript Link")</f>
        <v>Transcript Link</v>
      </c>
      <c r="M407" s="2" t="str">
        <f>HYPERLINK("https://files.afu.se/Downloads/Transcripts/0%20-%20Government/USA%20-%20NASA%20Johnson/2019 12 28 - NASA Johnson - Christina Koch Congratulatory Message – Peggy Whitson_L2WQR8zMWdI - transcript (automated).pdf","Transcript Link")</f>
        <v>Transcript Link</v>
      </c>
    </row>
    <row r="408" ht="255" spans="1:13">
      <c r="A408" s="1" t="s">
        <v>1793</v>
      </c>
      <c r="B408" s="1" t="s">
        <v>13</v>
      </c>
      <c r="C408" s="4" t="s">
        <v>1794</v>
      </c>
      <c r="D408" s="1" t="s">
        <v>1795</v>
      </c>
      <c r="E408" s="1" t="s">
        <v>1418</v>
      </c>
      <c r="F408" s="4" t="s">
        <v>17</v>
      </c>
      <c r="G408" s="1" t="s">
        <v>18</v>
      </c>
      <c r="H408" s="1" t="s">
        <v>19</v>
      </c>
      <c r="I408" s="1" t="s">
        <v>20</v>
      </c>
      <c r="J408" s="1" t="s">
        <v>1796</v>
      </c>
      <c r="K408" s="1" t="s">
        <v>22</v>
      </c>
      <c r="L408" s="1" t="str">
        <f>HYPERLINK("https://files.afu.se/Downloads/Transcripts/0%20-%20Government/USA%20-%20NASA%20Johnson/2019 12 27 - NASA Johnson - Space to Ground  Seeing 2020  12 27 2019_4mNM492UlR8 - transcript (automated).pdf","Transcript Link")</f>
        <v>Transcript Link</v>
      </c>
      <c r="M408" s="2" t="str">
        <f>HYPERLINK("https://files.afu.se/Downloads/Transcripts/0%20-%20Government/USA%20-%20NASA%20Johnson/2019 12 27 - NASA Johnson - Space to Ground  Seeing 2020  12 27 2019_4mNM492UlR8 - transcript (automated).pdf","Transcript Link")</f>
        <v>Transcript Link</v>
      </c>
    </row>
    <row r="409" ht="180" spans="1:13">
      <c r="A409" s="1" t="s">
        <v>1797</v>
      </c>
      <c r="B409" s="1" t="s">
        <v>13</v>
      </c>
      <c r="C409" s="4" t="s">
        <v>1798</v>
      </c>
      <c r="D409" s="1" t="s">
        <v>1799</v>
      </c>
      <c r="E409" s="1" t="s">
        <v>1800</v>
      </c>
      <c r="F409" s="4" t="s">
        <v>17</v>
      </c>
      <c r="G409" s="1" t="s">
        <v>18</v>
      </c>
      <c r="H409" s="1" t="s">
        <v>19</v>
      </c>
      <c r="I409" s="1" t="s">
        <v>20</v>
      </c>
      <c r="J409" s="1" t="s">
        <v>1801</v>
      </c>
      <c r="K409" s="1" t="s">
        <v>22</v>
      </c>
      <c r="L409" s="1" t="str">
        <f>HYPERLINK("https://files.afu.se/Downloads/Transcripts/0%20-%20Government/USA%20-%20NASA%20Johnson/2019 12 23 - NASA Johnson - Expedition 61 Christmas Message_3rn3-Mw9_TI - transcript (automated).pdf","Transcript Link")</f>
        <v>Transcript Link</v>
      </c>
      <c r="M409" s="2" t="str">
        <f>HYPERLINK("https://files.afu.se/Downloads/Transcripts/0%20-%20Government/USA%20-%20NASA%20Johnson/2019 12 23 - NASA Johnson - Expedition 61 Christmas Message_3rn3-Mw9_TI - transcript (automated).pdf","Transcript Link")</f>
        <v>Transcript Link</v>
      </c>
    </row>
    <row r="410" ht="180" spans="1:13">
      <c r="A410" s="1" t="s">
        <v>1802</v>
      </c>
      <c r="B410" s="1" t="s">
        <v>13</v>
      </c>
      <c r="C410" s="4" t="s">
        <v>1803</v>
      </c>
      <c r="D410" s="1" t="s">
        <v>1804</v>
      </c>
      <c r="E410" s="1" t="s">
        <v>1805</v>
      </c>
      <c r="F410" s="4" t="s">
        <v>17</v>
      </c>
      <c r="G410" s="1" t="s">
        <v>18</v>
      </c>
      <c r="H410" s="1" t="s">
        <v>19</v>
      </c>
      <c r="I410" s="1" t="s">
        <v>20</v>
      </c>
      <c r="J410" s="1" t="s">
        <v>1806</v>
      </c>
      <c r="K410" s="1" t="s">
        <v>22</v>
      </c>
      <c r="L410" s="1" t="str">
        <f>HYPERLINK("https://files.afu.se/Downloads/Transcripts/0%20-%20Government/USA%20-%20NASA%20Johnson/2019 12 17 - NASA Johnson - Swimming in the Universe   Down To Earth - S1 E4_FI9w95ezn4k - transcript (automated).pdf","Transcript Link")</f>
        <v>Transcript Link</v>
      </c>
      <c r="M410" s="2" t="str">
        <f>HYPERLINK("https://files.afu.se/Downloads/Transcripts/0%20-%20Government/USA%20-%20NASA%20Johnson/2019 12 17 - NASA Johnson - Swimming in the Universe   Down To Earth - S1 E4_FI9w95ezn4k - transcript (automated).pdf","Transcript Link")</f>
        <v>Transcript Link</v>
      </c>
    </row>
    <row r="411" ht="180" spans="1:13">
      <c r="A411" s="1" t="s">
        <v>1807</v>
      </c>
      <c r="B411" s="1" t="s">
        <v>13</v>
      </c>
      <c r="C411" s="4" t="s">
        <v>1808</v>
      </c>
      <c r="D411" s="1" t="s">
        <v>1809</v>
      </c>
      <c r="F411" s="4" t="s">
        <v>17</v>
      </c>
      <c r="G411" s="1" t="s">
        <v>18</v>
      </c>
      <c r="H411" s="1" t="s">
        <v>19</v>
      </c>
      <c r="I411" s="1" t="s">
        <v>20</v>
      </c>
      <c r="J411" s="1" t="s">
        <v>1810</v>
      </c>
      <c r="K411" s="1" t="s">
        <v>22</v>
      </c>
      <c r="L411" s="1" t="str">
        <f>HYPERLINK("https://files.afu.se/Downloads/Transcripts/0%20-%20Government/USA%20-%20NASA%20Johnson/2019 12 16 - NASA Johnson - 2019 Johnson Space Center Year in Review_Z-hJM3tFP30 - transcript (automated).pdf","Transcript Link")</f>
        <v>Transcript Link</v>
      </c>
      <c r="M411" s="2" t="str">
        <f>HYPERLINK("https://files.afu.se/Downloads/Transcripts/0%20-%20Government/USA%20-%20NASA%20Johnson/2019 12 16 - NASA Johnson - 2019 Johnson Space Center Year in Review_Z-hJM3tFP30 - transcript (automated).pdf","Transcript Link")</f>
        <v>Transcript Link</v>
      </c>
    </row>
    <row r="412" ht="255" spans="1:13">
      <c r="A412" s="1" t="s">
        <v>1811</v>
      </c>
      <c r="B412" s="1" t="s">
        <v>13</v>
      </c>
      <c r="C412" s="4" t="s">
        <v>1812</v>
      </c>
      <c r="D412" s="1" t="s">
        <v>1813</v>
      </c>
      <c r="E412" s="1" t="s">
        <v>1418</v>
      </c>
      <c r="F412" s="4" t="s">
        <v>17</v>
      </c>
      <c r="G412" s="1" t="s">
        <v>18</v>
      </c>
      <c r="H412" s="1" t="s">
        <v>19</v>
      </c>
      <c r="I412" s="1" t="s">
        <v>20</v>
      </c>
      <c r="J412" s="1" t="s">
        <v>1814</v>
      </c>
      <c r="K412" s="1" t="s">
        <v>22</v>
      </c>
      <c r="L412" s="1" t="str">
        <f>HYPERLINK("https://files.afu.se/Downloads/Transcripts/0%20-%20Government/USA%20-%20NASA%20Johnson/2019 12 13 - NASA Johnson - Space to Ground  Holiday Traffic  12 13 2019_cE4XMWkPwjw - transcript (automated).pdf","Transcript Link")</f>
        <v>Transcript Link</v>
      </c>
      <c r="M412" s="2" t="str">
        <f>HYPERLINK("https://files.afu.se/Downloads/Transcripts/0%20-%20Government/USA%20-%20NASA%20Johnson/2019 12 13 - NASA Johnson - Space to Ground  Holiday Traffic  12 13 2019_cE4XMWkPwjw - transcript (automated).pdf","Transcript Link")</f>
        <v>Transcript Link</v>
      </c>
    </row>
    <row r="413" ht="255" spans="1:13">
      <c r="A413" s="1" t="s">
        <v>1815</v>
      </c>
      <c r="B413" s="1" t="s">
        <v>13</v>
      </c>
      <c r="C413" s="4" t="s">
        <v>1816</v>
      </c>
      <c r="D413" s="1" t="s">
        <v>1817</v>
      </c>
      <c r="E413" s="1" t="s">
        <v>1418</v>
      </c>
      <c r="F413" s="4" t="s">
        <v>17</v>
      </c>
      <c r="G413" s="1" t="s">
        <v>18</v>
      </c>
      <c r="H413" s="1" t="s">
        <v>19</v>
      </c>
      <c r="I413" s="1" t="s">
        <v>20</v>
      </c>
      <c r="J413" s="1" t="s">
        <v>1818</v>
      </c>
      <c r="K413" s="1" t="s">
        <v>22</v>
      </c>
      <c r="L413" s="1" t="str">
        <f>HYPERLINK("https://files.afu.se/Downloads/Transcripts/0%20-%20Government/USA%20-%20NASA%20Johnson/2019 12 06 - NASA Johnson - Space to Ground  Round Three  12 6 2019_eO7BfiPvN38 - transcript (automated).pdf","Transcript Link")</f>
        <v>Transcript Link</v>
      </c>
      <c r="M413" s="2" t="str">
        <f>HYPERLINK("https://files.afu.se/Downloads/Transcripts/0%20-%20Government/USA%20-%20NASA%20Johnson/2019 12 06 - NASA Johnson - Space to Ground  Round Three  12 6 2019_eO7BfiPvN38 - transcript (automated).pdf","Transcript Link")</f>
        <v>Transcript Link</v>
      </c>
    </row>
    <row r="414" ht="180" spans="1:13">
      <c r="A414" s="1" t="s">
        <v>1819</v>
      </c>
      <c r="B414" s="1" t="s">
        <v>13</v>
      </c>
      <c r="C414" s="4" t="s">
        <v>1820</v>
      </c>
      <c r="D414" s="1" t="s">
        <v>1821</v>
      </c>
      <c r="E414" s="1" t="s">
        <v>1822</v>
      </c>
      <c r="F414" s="4" t="s">
        <v>17</v>
      </c>
      <c r="G414" s="1" t="s">
        <v>18</v>
      </c>
      <c r="H414" s="1" t="s">
        <v>19</v>
      </c>
      <c r="I414" s="1" t="s">
        <v>20</v>
      </c>
      <c r="J414" s="1" t="s">
        <v>1823</v>
      </c>
      <c r="K414" s="1" t="s">
        <v>22</v>
      </c>
      <c r="L414" s="1" t="str">
        <f>HYPERLINK("https://files.afu.se/Downloads/Transcripts/0%20-%20Government/USA%20-%20NASA%20Johnson/2019 12 03 - NASA Johnson - What Else is Out There      Down To Earth - S1 E3_J_LNuLnjjpo - transcript (automated).pdf","Transcript Link")</f>
        <v>Transcript Link</v>
      </c>
      <c r="M414" s="2" t="str">
        <f>HYPERLINK("https://files.afu.se/Downloads/Transcripts/0%20-%20Government/USA%20-%20NASA%20Johnson/2019 12 03 - NASA Johnson - What Else is Out There      Down To Earth - S1 E3_J_LNuLnjjpo - transcript (automated).pdf","Transcript Link")</f>
        <v>Transcript Link</v>
      </c>
    </row>
    <row r="415" ht="255" spans="1:13">
      <c r="A415" s="1" t="s">
        <v>1824</v>
      </c>
      <c r="B415" s="1" t="s">
        <v>13</v>
      </c>
      <c r="C415" s="4" t="s">
        <v>1825</v>
      </c>
      <c r="D415" s="1" t="s">
        <v>1826</v>
      </c>
      <c r="E415" s="1" t="s">
        <v>1418</v>
      </c>
      <c r="F415" s="4" t="s">
        <v>17</v>
      </c>
      <c r="G415" s="1" t="s">
        <v>18</v>
      </c>
      <c r="H415" s="1" t="s">
        <v>19</v>
      </c>
      <c r="I415" s="1" t="s">
        <v>20</v>
      </c>
      <c r="J415" s="1" t="s">
        <v>1827</v>
      </c>
      <c r="K415" s="1" t="s">
        <v>22</v>
      </c>
      <c r="L415" s="1" t="str">
        <f>HYPERLINK("https://files.afu.se/Downloads/Transcripts/0%20-%20Government/USA%20-%20NASA%20Johnson/2019 11 29 - NASA Johnson - Space to Ground  Keeping it Cool  11 29 2019_eJOIFi_icTI - transcript (automated).pdf","Transcript Link")</f>
        <v>Transcript Link</v>
      </c>
      <c r="M415" s="2" t="str">
        <f>HYPERLINK("https://files.afu.se/Downloads/Transcripts/0%20-%20Government/USA%20-%20NASA%20Johnson/2019 11 29 - NASA Johnson - Space to Ground  Keeping it Cool  11 29 2019_eJOIFi_icTI - transcript (automated).pdf","Transcript Link")</f>
        <v>Transcript Link</v>
      </c>
    </row>
    <row r="416" ht="240" spans="1:13">
      <c r="A416" s="1" t="s">
        <v>1828</v>
      </c>
      <c r="B416" s="1" t="s">
        <v>13</v>
      </c>
      <c r="C416" s="4" t="s">
        <v>1829</v>
      </c>
      <c r="D416" s="1" t="s">
        <v>1830</v>
      </c>
      <c r="E416" s="1" t="s">
        <v>1831</v>
      </c>
      <c r="F416" s="4" t="s">
        <v>17</v>
      </c>
      <c r="G416" s="1" t="s">
        <v>18</v>
      </c>
      <c r="H416" s="1" t="s">
        <v>19</v>
      </c>
      <c r="I416" s="1" t="s">
        <v>20</v>
      </c>
      <c r="J416" s="1" t="s">
        <v>1832</v>
      </c>
      <c r="K416" s="1" t="s">
        <v>22</v>
      </c>
      <c r="L416" s="1" t="str">
        <f>HYPERLINK("https://files.afu.se/Downloads/Transcripts/0%20-%20Government/USA%20-%20NASA%20Johnson/2019 11 28 - NASA Johnson - NASA Astronauts Read Fan Mail_6OJCv8A7F7o - transcript (automated).pdf","Transcript Link")</f>
        <v>Transcript Link</v>
      </c>
      <c r="M416" s="2" t="str">
        <f>HYPERLINK("https://files.afu.se/Downloads/Transcripts/0%20-%20Government/USA%20-%20NASA%20Johnson/2019 11 28 - NASA Johnson - NASA Astronauts Read Fan Mail_6OJCv8A7F7o - transcript (automated).pdf","Transcript Link")</f>
        <v>Transcript Link</v>
      </c>
    </row>
    <row r="417" ht="255" spans="1:13">
      <c r="A417" s="1" t="s">
        <v>1833</v>
      </c>
      <c r="B417" s="1" t="s">
        <v>13</v>
      </c>
      <c r="C417" s="4" t="s">
        <v>1834</v>
      </c>
      <c r="D417" s="1" t="s">
        <v>1835</v>
      </c>
      <c r="E417" s="1" t="s">
        <v>1836</v>
      </c>
      <c r="F417" s="4" t="s">
        <v>17</v>
      </c>
      <c r="G417" s="1" t="s">
        <v>18</v>
      </c>
      <c r="H417" s="1" t="s">
        <v>19</v>
      </c>
      <c r="I417" s="1" t="s">
        <v>20</v>
      </c>
      <c r="J417" s="1" t="s">
        <v>1837</v>
      </c>
      <c r="K417" s="1" t="s">
        <v>22</v>
      </c>
      <c r="L417" s="1" t="str">
        <f>HYPERLINK("https://files.afu.se/Downloads/Transcripts/0%20-%20Government/USA%20-%20NASA%20Johnson/2019 11 25 - NASA Johnson - Expedition 61 Thanksgiving Message_Us0rYH_i_LQ - transcript (automated).pdf","Transcript Link")</f>
        <v>Transcript Link</v>
      </c>
      <c r="M417" s="2" t="str">
        <f>HYPERLINK("https://files.afu.se/Downloads/Transcripts/0%20-%20Government/USA%20-%20NASA%20Johnson/2019 11 25 - NASA Johnson - Expedition 61 Thanksgiving Message_Us0rYH_i_LQ - transcript (automated).pdf","Transcript Link")</f>
        <v>Transcript Link</v>
      </c>
    </row>
    <row r="418" ht="255" spans="1:13">
      <c r="A418" s="1" t="s">
        <v>1838</v>
      </c>
      <c r="B418" s="1" t="s">
        <v>13</v>
      </c>
      <c r="C418" s="4" t="s">
        <v>1839</v>
      </c>
      <c r="D418" s="1" t="s">
        <v>1840</v>
      </c>
      <c r="E418" s="1" t="s">
        <v>1418</v>
      </c>
      <c r="F418" s="4" t="s">
        <v>17</v>
      </c>
      <c r="G418" s="1" t="s">
        <v>18</v>
      </c>
      <c r="H418" s="1" t="s">
        <v>19</v>
      </c>
      <c r="I418" s="1" t="s">
        <v>20</v>
      </c>
      <c r="J418" s="1" t="s">
        <v>1841</v>
      </c>
      <c r="K418" s="1" t="s">
        <v>22</v>
      </c>
      <c r="L418" s="1" t="str">
        <f>HYPERLINK("https://files.afu.se/Downloads/Transcripts/0%20-%20Government/USA%20-%20NASA%20Johnson/2019 11 22 - NASA Johnson - Space to Ground  On A Roll  11 22 2019_WAnlxR50Uu4 - transcript (automated).pdf","Transcript Link")</f>
        <v>Transcript Link</v>
      </c>
      <c r="M418" s="2" t="str">
        <f>HYPERLINK("https://files.afu.se/Downloads/Transcripts/0%20-%20Government/USA%20-%20NASA%20Johnson/2019 11 22 - NASA Johnson - Space to Ground  On A Roll  11 22 2019_WAnlxR50Uu4 - transcript (automated).pdf","Transcript Link")</f>
        <v>Transcript Link</v>
      </c>
    </row>
    <row r="419" ht="195" spans="1:13">
      <c r="A419" s="1" t="s">
        <v>1842</v>
      </c>
      <c r="B419" s="1" t="s">
        <v>13</v>
      </c>
      <c r="C419" s="4" t="s">
        <v>1843</v>
      </c>
      <c r="D419" s="1" t="s">
        <v>1844</v>
      </c>
      <c r="E419" s="1" t="s">
        <v>1845</v>
      </c>
      <c r="F419" s="4" t="s">
        <v>17</v>
      </c>
      <c r="G419" s="1" t="s">
        <v>18</v>
      </c>
      <c r="H419" s="1" t="s">
        <v>19</v>
      </c>
      <c r="I419" s="1" t="s">
        <v>20</v>
      </c>
      <c r="J419" s="1" t="s">
        <v>1846</v>
      </c>
      <c r="K419" s="1" t="s">
        <v>22</v>
      </c>
      <c r="L419" s="1" t="str">
        <f>HYPERLINK("https://files.afu.se/Downloads/Transcripts/0%20-%20Government/USA%20-%20NASA%20Johnson/2019 11 20 - NASA Johnson - Science Launching On SpaceX CRS 19_mGwANxGbM64 - transcript (automated).pdf","Transcript Link")</f>
        <v>Transcript Link</v>
      </c>
      <c r="M419" s="2" t="str">
        <f>HYPERLINK("https://files.afu.se/Downloads/Transcripts/0%20-%20Government/USA%20-%20NASA%20Johnson/2019 11 20 - NASA Johnson - Science Launching On SpaceX CRS 19_mGwANxGbM64 - transcript (automated).pdf","Transcript Link")</f>
        <v>Transcript Link</v>
      </c>
    </row>
    <row r="420" ht="180" spans="1:13">
      <c r="A420" s="1" t="s">
        <v>1847</v>
      </c>
      <c r="B420" s="1" t="s">
        <v>13</v>
      </c>
      <c r="C420" s="4" t="s">
        <v>1848</v>
      </c>
      <c r="D420" s="1" t="s">
        <v>1849</v>
      </c>
      <c r="E420" s="1" t="s">
        <v>1850</v>
      </c>
      <c r="F420" s="4" t="s">
        <v>17</v>
      </c>
      <c r="G420" s="1" t="s">
        <v>18</v>
      </c>
      <c r="H420" s="1" t="s">
        <v>19</v>
      </c>
      <c r="I420" s="1" t="s">
        <v>20</v>
      </c>
      <c r="J420" s="1" t="s">
        <v>1851</v>
      </c>
      <c r="K420" s="1" t="s">
        <v>22</v>
      </c>
      <c r="L420" s="1" t="str">
        <f>HYPERLINK("https://files.afu.se/Downloads/Transcripts/0%20-%20Government/USA%20-%20NASA%20Johnson/2019 11 19 - NASA Johnson - A Giant Astronomical Machine   Down To Earth - S1 E2_w8za0FFO8O0 - transcript (automated).pdf","Transcript Link")</f>
        <v>Transcript Link</v>
      </c>
      <c r="M420" s="2" t="str">
        <f>HYPERLINK("https://files.afu.se/Downloads/Transcripts/0%20-%20Government/USA%20-%20NASA%20Johnson/2019 11 19 - NASA Johnson - A Giant Astronomical Machine   Down To Earth - S1 E2_w8za0FFO8O0 - transcript (automated).pdf","Transcript Link")</f>
        <v>Transcript Link</v>
      </c>
    </row>
    <row r="421" ht="255" spans="1:13">
      <c r="A421" s="1" t="s">
        <v>1852</v>
      </c>
      <c r="B421" s="1" t="s">
        <v>13</v>
      </c>
      <c r="C421" s="4" t="s">
        <v>1853</v>
      </c>
      <c r="D421" s="1" t="s">
        <v>1854</v>
      </c>
      <c r="E421" s="1" t="s">
        <v>1418</v>
      </c>
      <c r="F421" s="4" t="s">
        <v>17</v>
      </c>
      <c r="G421" s="1" t="s">
        <v>18</v>
      </c>
      <c r="H421" s="1" t="s">
        <v>19</v>
      </c>
      <c r="I421" s="1" t="s">
        <v>20</v>
      </c>
      <c r="J421" s="1" t="s">
        <v>1855</v>
      </c>
      <c r="K421" s="1" t="s">
        <v>22</v>
      </c>
      <c r="L421" s="1" t="str">
        <f>HYPERLINK("https://files.afu.se/Downloads/Transcripts/0%20-%20Government/USA%20-%20NASA%20Johnson/2019 11 15 - NASA Johnson - Space to Ground  Cosmic Repairs  11 15 2019_bln6Q08PC_Q - transcript (automated).pdf","Transcript Link")</f>
        <v>Transcript Link</v>
      </c>
      <c r="M421" s="2" t="str">
        <f>HYPERLINK("https://files.afu.se/Downloads/Transcripts/0%20-%20Government/USA%20-%20NASA%20Johnson/2019 11 15 - NASA Johnson - Space to Ground  Cosmic Repairs  11 15 2019_bln6Q08PC_Q - transcript (automated).pdf","Transcript Link")</f>
        <v>Transcript Link</v>
      </c>
    </row>
    <row r="422" ht="315" spans="1:13">
      <c r="A422" s="1" t="s">
        <v>1856</v>
      </c>
      <c r="B422" s="1" t="s">
        <v>13</v>
      </c>
      <c r="C422" s="4" t="s">
        <v>1857</v>
      </c>
      <c r="D422" s="1" t="s">
        <v>1858</v>
      </c>
      <c r="E422" s="1" t="s">
        <v>1859</v>
      </c>
      <c r="F422" s="4" t="s">
        <v>17</v>
      </c>
      <c r="G422" s="1" t="s">
        <v>18</v>
      </c>
      <c r="H422" s="1" t="s">
        <v>19</v>
      </c>
      <c r="I422" s="1" t="s">
        <v>20</v>
      </c>
      <c r="J422" s="1" t="s">
        <v>1860</v>
      </c>
      <c r="K422" s="1" t="s">
        <v>22</v>
      </c>
      <c r="L422" s="1" t="str">
        <f>HYPERLINK("https://files.afu.se/Downloads/Transcripts/0%20-%20Government/USA%20-%20NASA%20Johnson/2019 11 14 - NASA Johnson - Suiting Up for a Spacewalk_O-JSEVMEYGE - transcript (automated).pdf","Transcript Link")</f>
        <v>Transcript Link</v>
      </c>
      <c r="M422" s="2" t="str">
        <f>HYPERLINK("https://files.afu.se/Downloads/Transcripts/0%20-%20Government/USA%20-%20NASA%20Johnson/2019 11 14 - NASA Johnson - Suiting Up for a Spacewalk_O-JSEVMEYGE - transcript (automated).pdf","Transcript Link")</f>
        <v>Transcript Link</v>
      </c>
    </row>
    <row r="423" ht="180" spans="1:13">
      <c r="A423" s="1" t="s">
        <v>1861</v>
      </c>
      <c r="B423" s="1" t="s">
        <v>13</v>
      </c>
      <c r="C423" s="4" t="s">
        <v>1862</v>
      </c>
      <c r="D423" s="1" t="s">
        <v>1863</v>
      </c>
      <c r="E423" s="1" t="s">
        <v>1864</v>
      </c>
      <c r="F423" s="4" t="s">
        <v>17</v>
      </c>
      <c r="G423" s="1" t="s">
        <v>18</v>
      </c>
      <c r="H423" s="1" t="s">
        <v>19</v>
      </c>
      <c r="I423" s="1" t="s">
        <v>20</v>
      </c>
      <c r="J423" s="1" t="s">
        <v>1865</v>
      </c>
      <c r="K423" s="1" t="s">
        <v>22</v>
      </c>
      <c r="L423" s="1" t="str">
        <f>HYPERLINK("https://files.afu.se/Downloads/Transcripts/0%20-%20Government/USA%20-%20NASA%20Johnson/2019 11 08 - NASA Johnson - Students Supporting Spacewalks_EI1_rLqL3sM - transcript (automated).pdf","Transcript Link")</f>
        <v>Transcript Link</v>
      </c>
      <c r="M423" s="2" t="str">
        <f>HYPERLINK("https://files.afu.se/Downloads/Transcripts/0%20-%20Government/USA%20-%20NASA%20Johnson/2019 11 08 - NASA Johnson - Students Supporting Spacewalks_EI1_rLqL3sM - transcript (automated).pdf","Transcript Link")</f>
        <v>Transcript Link</v>
      </c>
    </row>
    <row r="424" ht="255" spans="1:13">
      <c r="A424" s="1" t="s">
        <v>1861</v>
      </c>
      <c r="B424" s="1" t="s">
        <v>13</v>
      </c>
      <c r="C424" s="4" t="s">
        <v>1866</v>
      </c>
      <c r="D424" s="1" t="s">
        <v>1867</v>
      </c>
      <c r="E424" s="1" t="s">
        <v>1418</v>
      </c>
      <c r="F424" s="4" t="s">
        <v>17</v>
      </c>
      <c r="G424" s="1" t="s">
        <v>18</v>
      </c>
      <c r="H424" s="1" t="s">
        <v>19</v>
      </c>
      <c r="I424" s="1" t="s">
        <v>20</v>
      </c>
      <c r="J424" s="1" t="s">
        <v>1868</v>
      </c>
      <c r="K424" s="1" t="s">
        <v>22</v>
      </c>
      <c r="L424" s="1" t="str">
        <f>HYPERLINK("https://files.afu.se/Downloads/Transcripts/0%20-%20Government/USA%20-%20NASA%20Johnson/2019 11 08 - NASA Johnson - Space to Ground  Record-Breaking Delivery  11 08 2019_8CI9GcMUWog - transcript (automated).pdf","Transcript Link")</f>
        <v>Transcript Link</v>
      </c>
      <c r="M424" s="2" t="str">
        <f>HYPERLINK("https://files.afu.se/Downloads/Transcripts/0%20-%20Government/USA%20-%20NASA%20Johnson/2019 11 08 - NASA Johnson - Space to Ground  Record-Breaking Delivery  11 08 2019_8CI9GcMUWog - transcript (automated).pdf","Transcript Link")</f>
        <v>Transcript Link</v>
      </c>
    </row>
    <row r="425" ht="180" spans="1:13">
      <c r="A425" s="1" t="s">
        <v>1869</v>
      </c>
      <c r="B425" s="1" t="s">
        <v>13</v>
      </c>
      <c r="C425" s="4" t="s">
        <v>1870</v>
      </c>
      <c r="D425" s="1" t="s">
        <v>1871</v>
      </c>
      <c r="E425" s="1" t="s">
        <v>1872</v>
      </c>
      <c r="F425" s="4" t="s">
        <v>17</v>
      </c>
      <c r="G425" s="1" t="s">
        <v>18</v>
      </c>
      <c r="H425" s="1" t="s">
        <v>19</v>
      </c>
      <c r="I425" s="1" t="s">
        <v>20</v>
      </c>
      <c r="J425" s="1" t="s">
        <v>1873</v>
      </c>
      <c r="K425" s="1" t="s">
        <v>22</v>
      </c>
      <c r="L425" s="1" t="str">
        <f>HYPERLINK("https://files.afu.se/Downloads/Transcripts/0%20-%20Government/USA%20-%20NASA%20Johnson/2019 11 04 - NASA Johnson - It's Alive   Down To Earth - S1 E1_zJytmFaypIk - transcript (automated).pdf","Transcript Link")</f>
        <v>Transcript Link</v>
      </c>
      <c r="M425" s="2" t="str">
        <f>HYPERLINK("https://files.afu.se/Downloads/Transcripts/0%20-%20Government/USA%20-%20NASA%20Johnson/2019 11 04 - NASA Johnson - It's Alive   Down To Earth - S1 E1_zJytmFaypIk - transcript (automated).pdf","Transcript Link")</f>
        <v>Transcript Link</v>
      </c>
    </row>
    <row r="426" ht="180" spans="1:13">
      <c r="A426" s="1" t="s">
        <v>1874</v>
      </c>
      <c r="B426" s="1" t="s">
        <v>13</v>
      </c>
      <c r="C426" s="4" t="s">
        <v>1875</v>
      </c>
      <c r="D426" s="1" t="s">
        <v>1876</v>
      </c>
      <c r="E426" s="1" t="s">
        <v>1877</v>
      </c>
      <c r="F426" s="4" t="s">
        <v>17</v>
      </c>
      <c r="G426" s="1" t="s">
        <v>18</v>
      </c>
      <c r="H426" s="1" t="s">
        <v>19</v>
      </c>
      <c r="I426" s="1" t="s">
        <v>20</v>
      </c>
      <c r="J426" s="1" t="s">
        <v>1878</v>
      </c>
      <c r="K426" s="1" t="s">
        <v>22</v>
      </c>
      <c r="L426" s="1" t="str">
        <f>HYPERLINK("https://files.afu.se/Downloads/Transcripts/0%20-%20Government/USA%20-%20NASA%20Johnson/2019 11 01 - NASA Johnson - Down To Earth - The Overview Effect_5L6eqgnmlPo - transcript (automated).pdf","Transcript Link")</f>
        <v>Transcript Link</v>
      </c>
      <c r="M426" s="2" t="str">
        <f>HYPERLINK("https://files.afu.se/Downloads/Transcripts/0%20-%20Government/USA%20-%20NASA%20Johnson/2019 11 01 - NASA Johnson - Down To Earth - The Overview Effect_5L6eqgnmlPo - transcript (automated).pdf","Transcript Link")</f>
        <v>Transcript Link</v>
      </c>
    </row>
    <row r="427" ht="255" spans="1:13">
      <c r="A427" s="1" t="s">
        <v>1874</v>
      </c>
      <c r="B427" s="1" t="s">
        <v>13</v>
      </c>
      <c r="C427" s="4" t="s">
        <v>1879</v>
      </c>
      <c r="D427" s="1" t="s">
        <v>1880</v>
      </c>
      <c r="E427" s="1" t="s">
        <v>1418</v>
      </c>
      <c r="F427" s="4" t="s">
        <v>17</v>
      </c>
      <c r="G427" s="1" t="s">
        <v>18</v>
      </c>
      <c r="H427" s="1" t="s">
        <v>19</v>
      </c>
      <c r="I427" s="1" t="s">
        <v>20</v>
      </c>
      <c r="J427" s="1" t="s">
        <v>1881</v>
      </c>
      <c r="K427" s="1" t="s">
        <v>22</v>
      </c>
      <c r="L427" s="1" t="str">
        <f>HYPERLINK("https://files.afu.se/Downloads/Transcripts/0%20-%20Government/USA%20-%20NASA%20Johnson/2019 11 01 - NASA Johnson - Space to Ground  Continuous Presence  11 01 2019_xGYdsx5x49g - transcript (automated).pdf","Transcript Link")</f>
        <v>Transcript Link</v>
      </c>
      <c r="M427" s="2" t="str">
        <f>HYPERLINK("https://files.afu.se/Downloads/Transcripts/0%20-%20Government/USA%20-%20NASA%20Johnson/2019 11 01 - NASA Johnson - Space to Ground  Continuous Presence  11 01 2019_xGYdsx5x49g - transcript (automated).pdf","Transcript Link")</f>
        <v>Transcript Link</v>
      </c>
    </row>
    <row r="428" ht="255" spans="1:13">
      <c r="A428" s="1" t="s">
        <v>1882</v>
      </c>
      <c r="B428" s="1" t="s">
        <v>13</v>
      </c>
      <c r="C428" s="4" t="s">
        <v>1883</v>
      </c>
      <c r="D428" s="1" t="s">
        <v>1884</v>
      </c>
      <c r="E428" s="1" t="s">
        <v>1418</v>
      </c>
      <c r="F428" s="4" t="s">
        <v>17</v>
      </c>
      <c r="G428" s="1" t="s">
        <v>18</v>
      </c>
      <c r="H428" s="1" t="s">
        <v>19</v>
      </c>
      <c r="I428" s="1" t="s">
        <v>20</v>
      </c>
      <c r="J428" s="1" t="s">
        <v>1885</v>
      </c>
      <c r="K428" s="1" t="s">
        <v>22</v>
      </c>
      <c r="L428" s="1" t="str">
        <f>HYPERLINK("https://files.afu.se/Downloads/Transcripts/0%20-%20Government/USA%20-%20NASA%20Johnson/2019 10 25 - NASA Johnson - Space to Ground  Space Jam  10 25 2019_EVft-Lu5fV0 - transcript (automated).pdf","Transcript Link")</f>
        <v>Transcript Link</v>
      </c>
      <c r="M428" s="2" t="str">
        <f>HYPERLINK("https://files.afu.se/Downloads/Transcripts/0%20-%20Government/USA%20-%20NASA%20Johnson/2019 10 25 - NASA Johnson - Space to Ground  Space Jam  10 25 2019_EVft-Lu5fV0 - transcript (automated).pdf","Transcript Link")</f>
        <v>Transcript Link</v>
      </c>
    </row>
    <row r="429" ht="180" spans="1:13">
      <c r="A429" s="1" t="s">
        <v>1886</v>
      </c>
      <c r="B429" s="1" t="s">
        <v>13</v>
      </c>
      <c r="C429" s="4" t="s">
        <v>1887</v>
      </c>
      <c r="D429" s="1" t="s">
        <v>1888</v>
      </c>
      <c r="E429" s="1" t="s">
        <v>1889</v>
      </c>
      <c r="F429" s="4" t="s">
        <v>17</v>
      </c>
      <c r="G429" s="1" t="s">
        <v>18</v>
      </c>
      <c r="H429" s="1" t="s">
        <v>19</v>
      </c>
      <c r="I429" s="1" t="s">
        <v>20</v>
      </c>
      <c r="J429" s="1" t="s">
        <v>1890</v>
      </c>
      <c r="K429" s="1" t="s">
        <v>22</v>
      </c>
      <c r="L429" s="1" t="str">
        <f>HYPERLINK("https://files.afu.se/Downloads/Transcripts/0%20-%20Government/USA%20-%20NASA%20Johnson/2019 10 23 - NASA Johnson - Astronauts Christina Koch and Jessica Meir reflect on the first All Woman Spacewalk MP4__Ecc-wKfPc0 - transcript (automated).pdf","Transcript Link")</f>
        <v>Transcript Link</v>
      </c>
      <c r="M429" s="2" t="str">
        <f>HYPERLINK("https://files.afu.se/Downloads/Transcripts/0%20-%20Government/USA%20-%20NASA%20Johnson/2019 10 23 - NASA Johnson - Astronauts Christina Koch and Jessica Meir reflect on the first All Woman Spacewalk MP4__Ecc-wKfPc0 - transcript (automated).pdf","Transcript Link")</f>
        <v>Transcript Link</v>
      </c>
    </row>
    <row r="430" ht="255" spans="1:13">
      <c r="A430" s="1" t="s">
        <v>1886</v>
      </c>
      <c r="B430" s="1" t="s">
        <v>13</v>
      </c>
      <c r="C430" s="4" t="s">
        <v>1891</v>
      </c>
      <c r="D430" s="1" t="s">
        <v>1892</v>
      </c>
      <c r="E430" s="1" t="s">
        <v>1893</v>
      </c>
      <c r="F430" s="4" t="s">
        <v>17</v>
      </c>
      <c r="G430" s="1" t="s">
        <v>18</v>
      </c>
      <c r="H430" s="1" t="s">
        <v>19</v>
      </c>
      <c r="I430" s="1" t="s">
        <v>20</v>
      </c>
      <c r="J430" s="1" t="s">
        <v>1894</v>
      </c>
      <c r="K430" s="1" t="s">
        <v>22</v>
      </c>
      <c r="L430" s="1" t="str">
        <f>HYPERLINK("https://files.afu.se/Downloads/Transcripts/0%20-%20Government/USA%20-%20NASA%20Johnson/2019 10 23 - NASA Johnson - Lunar Geology from Apollo to Artemis_sR92iRovqTw - transcript (automated).pdf","Transcript Link")</f>
        <v>Transcript Link</v>
      </c>
      <c r="M430" s="2" t="str">
        <f>HYPERLINK("https://files.afu.se/Downloads/Transcripts/0%20-%20Government/USA%20-%20NASA%20Johnson/2019 10 23 - NASA Johnson - Lunar Geology from Apollo to Artemis_sR92iRovqTw - transcript (automated).pdf","Transcript Link")</f>
        <v>Transcript Link</v>
      </c>
    </row>
    <row r="431" ht="225" spans="1:13">
      <c r="A431" s="1" t="s">
        <v>1895</v>
      </c>
      <c r="B431" s="1" t="s">
        <v>13</v>
      </c>
      <c r="C431" s="4" t="s">
        <v>1896</v>
      </c>
      <c r="D431" s="1" t="s">
        <v>1897</v>
      </c>
      <c r="E431" s="1" t="s">
        <v>1898</v>
      </c>
      <c r="F431" s="4" t="s">
        <v>17</v>
      </c>
      <c r="G431" s="1" t="s">
        <v>18</v>
      </c>
      <c r="H431" s="1" t="s">
        <v>19</v>
      </c>
      <c r="I431" s="1" t="s">
        <v>20</v>
      </c>
      <c r="J431" s="1" t="s">
        <v>1899</v>
      </c>
      <c r="K431" s="1" t="s">
        <v>22</v>
      </c>
      <c r="L431" s="1" t="str">
        <f>HYPERLINK("https://files.afu.se/Downloads/Transcripts/0%20-%20Government/USA%20-%20NASA%20Johnson/2019 10 22 - NASA Johnson - Orion Fuels Artemis_VdTXCOkC8xQ - transcript (automated).pdf","Transcript Link")</f>
        <v>Transcript Link</v>
      </c>
      <c r="M431" s="2" t="str">
        <f>HYPERLINK("https://files.afu.se/Downloads/Transcripts/0%20-%20Government/USA%20-%20NASA%20Johnson/2019 10 22 - NASA Johnson - Orion Fuels Artemis_VdTXCOkC8xQ - transcript (automated).pdf","Transcript Link")</f>
        <v>Transcript Link</v>
      </c>
    </row>
    <row r="432" ht="255" spans="1:13">
      <c r="A432" s="1" t="s">
        <v>1900</v>
      </c>
      <c r="B432" s="1" t="s">
        <v>13</v>
      </c>
      <c r="C432" s="4" t="s">
        <v>1901</v>
      </c>
      <c r="D432" s="1" t="s">
        <v>1902</v>
      </c>
      <c r="E432" s="1" t="s">
        <v>1418</v>
      </c>
      <c r="F432" s="4" t="s">
        <v>17</v>
      </c>
      <c r="G432" s="1" t="s">
        <v>18</v>
      </c>
      <c r="H432" s="1" t="s">
        <v>19</v>
      </c>
      <c r="I432" s="1" t="s">
        <v>20</v>
      </c>
      <c r="J432" s="1" t="s">
        <v>1903</v>
      </c>
      <c r="K432" s="1" t="s">
        <v>22</v>
      </c>
      <c r="L432" s="1" t="str">
        <f>HYPERLINK("https://files.afu.se/Downloads/Transcripts/0%20-%20Government/USA%20-%20NASA%20Johnson/2019 10 18 - NASA Johnson - Space to Ground  History Made  10 18 2019_t8rI5i2HA48 - transcript (automated).pdf","Transcript Link")</f>
        <v>Transcript Link</v>
      </c>
      <c r="M432" s="2" t="str">
        <f>HYPERLINK("https://files.afu.se/Downloads/Transcripts/0%20-%20Government/USA%20-%20NASA%20Johnson/2019 10 18 - NASA Johnson - Space to Ground  History Made  10 18 2019_t8rI5i2HA48 - transcript (automated).pdf","Transcript Link")</f>
        <v>Transcript Link</v>
      </c>
    </row>
    <row r="433" ht="270" spans="1:13">
      <c r="A433" s="1" t="s">
        <v>1904</v>
      </c>
      <c r="B433" s="1" t="s">
        <v>13</v>
      </c>
      <c r="C433" s="4" t="s">
        <v>1905</v>
      </c>
      <c r="D433" s="1" t="s">
        <v>1906</v>
      </c>
      <c r="E433" s="1" t="s">
        <v>1907</v>
      </c>
      <c r="F433" s="4" t="s">
        <v>17</v>
      </c>
      <c r="G433" s="1" t="s">
        <v>18</v>
      </c>
      <c r="H433" s="1" t="s">
        <v>19</v>
      </c>
      <c r="I433" s="1" t="s">
        <v>20</v>
      </c>
      <c r="J433" s="1" t="s">
        <v>1908</v>
      </c>
      <c r="K433" s="1" t="s">
        <v>22</v>
      </c>
      <c r="L433" s="1" t="str">
        <f>HYPERLINK("https://files.afu.se/Downloads/Transcripts/0%20-%20Government/USA%20-%20NASA%20Johnson/2019 10 16 - NASA Johnson - Launch Abort System (LAS) Jettison Motor Hot Fire Test_1lUhFvL49fo - transcript (automated).pdf","Transcript Link")</f>
        <v>Transcript Link</v>
      </c>
      <c r="M433" s="2" t="str">
        <f>HYPERLINK("https://files.afu.se/Downloads/Transcripts/0%20-%20Government/USA%20-%20NASA%20Johnson/2019 10 16 - NASA Johnson - Launch Abort System (LAS) Jettison Motor Hot Fire Test_1lUhFvL49fo - transcript (automated).pdf","Transcript Link")</f>
        <v>Transcript Link</v>
      </c>
    </row>
    <row r="434" ht="210" spans="1:13">
      <c r="A434" s="1" t="s">
        <v>1904</v>
      </c>
      <c r="B434" s="1" t="s">
        <v>13</v>
      </c>
      <c r="C434" s="4" t="s">
        <v>1909</v>
      </c>
      <c r="D434" s="1" t="s">
        <v>1910</v>
      </c>
      <c r="E434" s="1" t="s">
        <v>1911</v>
      </c>
      <c r="F434" s="4" t="s">
        <v>17</v>
      </c>
      <c r="G434" s="1" t="s">
        <v>18</v>
      </c>
      <c r="H434" s="1" t="s">
        <v>19</v>
      </c>
      <c r="I434" s="1" t="s">
        <v>20</v>
      </c>
      <c r="J434" s="1" t="s">
        <v>1912</v>
      </c>
      <c r="K434" s="1" t="s">
        <v>22</v>
      </c>
      <c r="L434" s="1" t="str">
        <f>HYPERLINK("https://files.afu.se/Downloads/Transcripts/0%20-%20Government/USA%20-%20NASA%20Johnson/2019 10 16 - NASA Johnson - Scientific Investigations Set for Space on Northrop Grumman CRS-12_OmIdSFMKZmA - transcript (automated).pdf","Transcript Link")</f>
        <v>Transcript Link</v>
      </c>
      <c r="M434" s="2" t="str">
        <f>HYPERLINK("https://files.afu.se/Downloads/Transcripts/0%20-%20Government/USA%20-%20NASA%20Johnson/2019 10 16 - NASA Johnson - Scientific Investigations Set for Space on Northrop Grumman CRS-12_OmIdSFMKZmA - transcript (automated).pdf","Transcript Link")</f>
        <v>Transcript Link</v>
      </c>
    </row>
    <row r="435" ht="270" spans="1:13">
      <c r="A435" s="1" t="s">
        <v>1913</v>
      </c>
      <c r="B435" s="1" t="s">
        <v>13</v>
      </c>
      <c r="C435" s="4" t="s">
        <v>1914</v>
      </c>
      <c r="D435" s="1" t="s">
        <v>1915</v>
      </c>
      <c r="E435" s="1" t="s">
        <v>1916</v>
      </c>
      <c r="F435" s="4" t="s">
        <v>17</v>
      </c>
      <c r="G435" s="1" t="s">
        <v>18</v>
      </c>
      <c r="H435" s="1" t="s">
        <v>19</v>
      </c>
      <c r="I435" s="1" t="s">
        <v>20</v>
      </c>
      <c r="J435" s="1" t="s">
        <v>1917</v>
      </c>
      <c r="K435" s="1" t="s">
        <v>22</v>
      </c>
      <c r="L435" s="1" t="str">
        <f>HYPERLINK("https://files.afu.se/Downloads/Transcripts/0%20-%20Government/USA%20-%20NASA%20Johnson/2019 10 11 - NASA Johnson - Space to Ground  Extravehicular Marathon  10 11 2019_-rvXYvFBUWk - transcript (automated).pdf","Transcript Link")</f>
        <v>Transcript Link</v>
      </c>
      <c r="M435" s="2" t="str">
        <f>HYPERLINK("https://files.afu.se/Downloads/Transcripts/0%20-%20Government/USA%20-%20NASA%20Johnson/2019 10 11 - NASA Johnson - Space to Ground  Extravehicular Marathon  10 11 2019_-rvXYvFBUWk - transcript (automated).pdf","Transcript Link")</f>
        <v>Transcript Link</v>
      </c>
    </row>
    <row r="436" ht="270" spans="1:13">
      <c r="A436" s="1" t="s">
        <v>1918</v>
      </c>
      <c r="B436" s="1" t="s">
        <v>13</v>
      </c>
      <c r="C436" s="4" t="s">
        <v>1919</v>
      </c>
      <c r="D436" s="1" t="s">
        <v>1920</v>
      </c>
      <c r="E436" s="1" t="s">
        <v>1916</v>
      </c>
      <c r="F436" s="4" t="s">
        <v>17</v>
      </c>
      <c r="G436" s="1" t="s">
        <v>18</v>
      </c>
      <c r="H436" s="1" t="s">
        <v>19</v>
      </c>
      <c r="I436" s="1" t="s">
        <v>20</v>
      </c>
      <c r="J436" s="1" t="s">
        <v>1921</v>
      </c>
      <c r="K436" s="1" t="s">
        <v>22</v>
      </c>
      <c r="L436" s="1" t="str">
        <f>HYPERLINK("https://files.afu.se/Downloads/Transcripts/0%20-%20Government/USA%20-%20NASA%20Johnson/2019 10 04 - NASA Johnson - Space to Ground  A Slew of Spacewalks  10 04 2019_bEzE14HKr5o - transcript (automated).pdf","Transcript Link")</f>
        <v>Transcript Link</v>
      </c>
      <c r="M436" s="2" t="str">
        <f>HYPERLINK("https://files.afu.se/Downloads/Transcripts/0%20-%20Government/USA%20-%20NASA%20Johnson/2019 10 04 - NASA Johnson - Space to Ground  A Slew of Spacewalks  10 04 2019_bEzE14HKr5o - transcript (automated).pdf","Transcript Link")</f>
        <v>Transcript Link</v>
      </c>
    </row>
    <row r="437" ht="270" spans="1:13">
      <c r="A437" s="1" t="s">
        <v>1922</v>
      </c>
      <c r="B437" s="1" t="s">
        <v>13</v>
      </c>
      <c r="C437" s="4" t="s">
        <v>1923</v>
      </c>
      <c r="D437" s="1" t="s">
        <v>1924</v>
      </c>
      <c r="E437" s="1" t="s">
        <v>1916</v>
      </c>
      <c r="F437" s="4" t="s">
        <v>17</v>
      </c>
      <c r="G437" s="1" t="s">
        <v>18</v>
      </c>
      <c r="H437" s="1" t="s">
        <v>19</v>
      </c>
      <c r="I437" s="1" t="s">
        <v>20</v>
      </c>
      <c r="J437" s="1" t="s">
        <v>1925</v>
      </c>
      <c r="K437" s="1" t="s">
        <v>22</v>
      </c>
      <c r="L437" s="1" t="str">
        <f>HYPERLINK("https://files.afu.se/Downloads/Transcripts/0%20-%20Government/USA%20-%20NASA%20Johnson/2019 09 27 - NASA Johnson - Space to Ground  New Arrivals  09 27 2019_TR7-YG3B1UE - transcript (automated).pdf","Transcript Link")</f>
        <v>Transcript Link</v>
      </c>
      <c r="M437" s="2" t="str">
        <f>HYPERLINK("https://files.afu.se/Downloads/Transcripts/0%20-%20Government/USA%20-%20NASA%20Johnson/2019 09 27 - NASA Johnson - Space to Ground  New Arrivals  09 27 2019_TR7-YG3B1UE - transcript (automated).pdf","Transcript Link")</f>
        <v>Transcript Link</v>
      </c>
    </row>
    <row r="438" ht="180" spans="1:13">
      <c r="A438" s="1" t="s">
        <v>1926</v>
      </c>
      <c r="B438" s="1" t="s">
        <v>13</v>
      </c>
      <c r="C438" s="4" t="s">
        <v>1927</v>
      </c>
      <c r="D438" s="1" t="s">
        <v>1928</v>
      </c>
      <c r="E438" s="1" t="s">
        <v>1929</v>
      </c>
      <c r="F438" s="4" t="s">
        <v>17</v>
      </c>
      <c r="G438" s="1" t="s">
        <v>18</v>
      </c>
      <c r="H438" s="1" t="s">
        <v>19</v>
      </c>
      <c r="I438" s="1" t="s">
        <v>20</v>
      </c>
      <c r="J438" s="1" t="s">
        <v>1930</v>
      </c>
      <c r="K438" s="1" t="s">
        <v>22</v>
      </c>
      <c r="L438" s="1" t="str">
        <f>HYPERLINK("https://files.afu.se/Downloads/Transcripts/0%20-%20Government/USA%20-%20NASA%20Johnson/2019 09 24 - NASA Johnson - Astronaut Moments  Jessica Meir- Exploring Extreme Environments__G0JYeBEuIw - transcript (automated).pdf","Transcript Link")</f>
        <v>Transcript Link</v>
      </c>
      <c r="M438" s="2" t="str">
        <f>HYPERLINK("https://files.afu.se/Downloads/Transcripts/0%20-%20Government/USA%20-%20NASA%20Johnson/2019 09 24 - NASA Johnson - Astronaut Moments  Jessica Meir- Exploring Extreme Environments__G0JYeBEuIw - transcript (automated).pdf","Transcript Link")</f>
        <v>Transcript Link</v>
      </c>
    </row>
    <row r="439" ht="255" spans="1:13">
      <c r="A439" s="1" t="s">
        <v>1931</v>
      </c>
      <c r="B439" s="1" t="s">
        <v>13</v>
      </c>
      <c r="C439" s="4" t="s">
        <v>1932</v>
      </c>
      <c r="D439" s="1" t="s">
        <v>1933</v>
      </c>
      <c r="E439" s="1" t="s">
        <v>1934</v>
      </c>
      <c r="F439" s="4" t="s">
        <v>17</v>
      </c>
      <c r="G439" s="1" t="s">
        <v>18</v>
      </c>
      <c r="H439" s="1" t="s">
        <v>19</v>
      </c>
      <c r="I439" s="1" t="s">
        <v>20</v>
      </c>
      <c r="J439" s="1" t="s">
        <v>1935</v>
      </c>
      <c r="K439" s="1" t="s">
        <v>22</v>
      </c>
      <c r="L439" s="1" t="str">
        <f>HYPERLINK("https://files.afu.se/Downloads/Transcripts/0%20-%20Government/USA%20-%20NASA%20Johnson/2019 09 20 - NASA Johnson - T-60 Seconds with Jessica Meir_Ohc6WoPROxc - transcript (automated).pdf","Transcript Link")</f>
        <v>Transcript Link</v>
      </c>
      <c r="M439" s="2" t="str">
        <f>HYPERLINK("https://files.afu.se/Downloads/Transcripts/0%20-%20Government/USA%20-%20NASA%20Johnson/2019 09 20 - NASA Johnson - T-60 Seconds with Jessica Meir_Ohc6WoPROxc - transcript (automated).pdf","Transcript Link")</f>
        <v>Transcript Link</v>
      </c>
    </row>
    <row r="440" ht="270" spans="1:13">
      <c r="A440" s="1" t="s">
        <v>1931</v>
      </c>
      <c r="B440" s="1" t="s">
        <v>13</v>
      </c>
      <c r="C440" s="4" t="s">
        <v>1936</v>
      </c>
      <c r="D440" s="1" t="s">
        <v>1937</v>
      </c>
      <c r="E440" s="1" t="s">
        <v>1916</v>
      </c>
      <c r="F440" s="4" t="s">
        <v>17</v>
      </c>
      <c r="G440" s="1" t="s">
        <v>18</v>
      </c>
      <c r="H440" s="1" t="s">
        <v>19</v>
      </c>
      <c r="I440" s="1" t="s">
        <v>20</v>
      </c>
      <c r="J440" s="1" t="s">
        <v>1938</v>
      </c>
      <c r="K440" s="1" t="s">
        <v>22</v>
      </c>
      <c r="L440" s="1" t="str">
        <f>HYPERLINK("https://files.afu.se/Downloads/Transcripts/0%20-%20Government/USA%20-%20NASA%20Johnson/2019 09 20 - NASA Johnson - Space to Ground  Dress Rehearsals  09 20 2019_F1P8dDYEvwA - transcript (automated).pdf","Transcript Link")</f>
        <v>Transcript Link</v>
      </c>
      <c r="M440" s="2" t="str">
        <f>HYPERLINK("https://files.afu.se/Downloads/Transcripts/0%20-%20Government/USA%20-%20NASA%20Johnson/2019 09 20 - NASA Johnson - Space to Ground  Dress Rehearsals  09 20 2019_F1P8dDYEvwA - transcript (automated).pdf","Transcript Link")</f>
        <v>Transcript Link</v>
      </c>
    </row>
    <row r="441" ht="285" spans="1:13">
      <c r="A441" s="1" t="s">
        <v>1939</v>
      </c>
      <c r="B441" s="1" t="s">
        <v>13</v>
      </c>
      <c r="C441" s="4" t="s">
        <v>1940</v>
      </c>
      <c r="D441" s="1" t="s">
        <v>1941</v>
      </c>
      <c r="E441" s="1" t="s">
        <v>1942</v>
      </c>
      <c r="F441" s="4" t="s">
        <v>17</v>
      </c>
      <c r="G441" s="1" t="s">
        <v>18</v>
      </c>
      <c r="H441" s="1" t="s">
        <v>19</v>
      </c>
      <c r="I441" s="1" t="s">
        <v>20</v>
      </c>
      <c r="J441" s="1" t="s">
        <v>1943</v>
      </c>
      <c r="K441" s="1" t="s">
        <v>22</v>
      </c>
      <c r="L441" s="1" t="str">
        <f>HYPERLINK("https://files.afu.se/Downloads/Transcripts/0%20-%20Government/USA%20-%20NASA%20Johnson/2019 09 18 - NASA Johnson - Space Station Microbiology  Where People Go, Microbes Follow_8rv2Fv6iyc0 - transcript (automated).pdf","Transcript Link")</f>
        <v>Transcript Link</v>
      </c>
      <c r="M441" s="2" t="str">
        <f>HYPERLINK("https://files.afu.se/Downloads/Transcripts/0%20-%20Government/USA%20-%20NASA%20Johnson/2019 09 18 - NASA Johnson - Space Station Microbiology  Where People Go, Microbes Follow_8rv2Fv6iyc0 - transcript (automated).pdf","Transcript Link")</f>
        <v>Transcript Link</v>
      </c>
    </row>
    <row r="442" ht="270" spans="1:13">
      <c r="A442" s="1" t="s">
        <v>1944</v>
      </c>
      <c r="B442" s="1" t="s">
        <v>13</v>
      </c>
      <c r="C442" s="4" t="s">
        <v>1945</v>
      </c>
      <c r="D442" s="1" t="s">
        <v>1946</v>
      </c>
      <c r="E442" s="1" t="s">
        <v>1916</v>
      </c>
      <c r="F442" s="4" t="s">
        <v>17</v>
      </c>
      <c r="G442" s="1" t="s">
        <v>18</v>
      </c>
      <c r="H442" s="1" t="s">
        <v>19</v>
      </c>
      <c r="I442" s="1" t="s">
        <v>20</v>
      </c>
      <c r="J442" s="1" t="s">
        <v>1947</v>
      </c>
      <c r="K442" s="1" t="s">
        <v>22</v>
      </c>
      <c r="L442" s="1" t="str">
        <f>HYPERLINK("https://files.afu.se/Downloads/Transcripts/0%20-%20Government/USA%20-%20NASA%20Johnson/2019 09 13 - NASA Johnson - Space to Ground  Counting Down  09 13 2019_o1QW8zm3bJY - transcript (automated).pdf","Transcript Link")</f>
        <v>Transcript Link</v>
      </c>
      <c r="M442" s="2" t="str">
        <f>HYPERLINK("https://files.afu.se/Downloads/Transcripts/0%20-%20Government/USA%20-%20NASA%20Johnson/2019 09 13 - NASA Johnson - Space to Ground  Counting Down  09 13 2019_o1QW8zm3bJY - transcript (automated).pdf","Transcript Link")</f>
        <v>Transcript Link</v>
      </c>
    </row>
    <row r="443" ht="285" spans="1:13">
      <c r="A443" s="1" t="s">
        <v>1948</v>
      </c>
      <c r="B443" s="1" t="s">
        <v>13</v>
      </c>
      <c r="C443" s="4" t="s">
        <v>1949</v>
      </c>
      <c r="D443" s="1" t="s">
        <v>1950</v>
      </c>
      <c r="E443" s="1" t="s">
        <v>1951</v>
      </c>
      <c r="F443" s="4" t="s">
        <v>17</v>
      </c>
      <c r="G443" s="1" t="s">
        <v>18</v>
      </c>
      <c r="H443" s="1" t="s">
        <v>19</v>
      </c>
      <c r="I443" s="1" t="s">
        <v>20</v>
      </c>
      <c r="J443" s="1" t="s">
        <v>1952</v>
      </c>
      <c r="K443" s="1" t="s">
        <v>22</v>
      </c>
      <c r="L443" s="1" t="str">
        <f>HYPERLINK("https://files.afu.se/Downloads/Transcripts/0%20-%20Government/USA%20-%20NASA%20Johnson/2019 09 10 - NASA Johnson - Designing Flames Aboard the International Space Station_eiJAZSc-IQM - transcript (automated).pdf","Transcript Link")</f>
        <v>Transcript Link</v>
      </c>
      <c r="M443" s="2" t="str">
        <f>HYPERLINK("https://files.afu.se/Downloads/Transcripts/0%20-%20Government/USA%20-%20NASA%20Johnson/2019 09 10 - NASA Johnson - Designing Flames Aboard the International Space Station_eiJAZSc-IQM - transcript (automated).pdf","Transcript Link")</f>
        <v>Transcript Link</v>
      </c>
    </row>
    <row r="444" ht="180" spans="1:13">
      <c r="A444" s="1" t="s">
        <v>1953</v>
      </c>
      <c r="B444" s="1" t="s">
        <v>13</v>
      </c>
      <c r="C444" s="4" t="s">
        <v>1954</v>
      </c>
      <c r="D444" s="1" t="s">
        <v>1955</v>
      </c>
      <c r="E444" s="1" t="s">
        <v>1956</v>
      </c>
      <c r="F444" s="4" t="s">
        <v>17</v>
      </c>
      <c r="G444" s="1" t="s">
        <v>18</v>
      </c>
      <c r="H444" s="1" t="s">
        <v>19</v>
      </c>
      <c r="I444" s="1" t="s">
        <v>20</v>
      </c>
      <c r="J444" s="1" t="s">
        <v>1957</v>
      </c>
      <c r="K444" s="1" t="s">
        <v>22</v>
      </c>
      <c r="L444" s="1" t="str">
        <f>HYPERLINK("https://files.afu.se/Downloads/Transcripts/0%20-%20Government/USA%20-%20NASA%20Johnson/2019 09 06 - NASA Johnson - STEMonstrations  Engineering Design - Trusses_sLJU_3UtkaQ - transcript (automated).pdf","Transcript Link")</f>
        <v>Transcript Link</v>
      </c>
      <c r="M444" s="2" t="str">
        <f>HYPERLINK("https://files.afu.se/Downloads/Transcripts/0%20-%20Government/USA%20-%20NASA%20Johnson/2019 09 06 - NASA Johnson - STEMonstrations  Engineering Design - Trusses_sLJU_3UtkaQ - transcript (automated).pdf","Transcript Link")</f>
        <v>Transcript Link</v>
      </c>
    </row>
    <row r="445" ht="270" spans="1:13">
      <c r="A445" s="1" t="s">
        <v>1953</v>
      </c>
      <c r="B445" s="1" t="s">
        <v>13</v>
      </c>
      <c r="C445" s="4" t="s">
        <v>1958</v>
      </c>
      <c r="D445" s="1" t="s">
        <v>1959</v>
      </c>
      <c r="E445" s="1" t="s">
        <v>1916</v>
      </c>
      <c r="F445" s="4" t="s">
        <v>17</v>
      </c>
      <c r="G445" s="1" t="s">
        <v>18</v>
      </c>
      <c r="H445" s="1" t="s">
        <v>19</v>
      </c>
      <c r="I445" s="1" t="s">
        <v>20</v>
      </c>
      <c r="J445" s="1" t="s">
        <v>1960</v>
      </c>
      <c r="K445" s="1" t="s">
        <v>22</v>
      </c>
      <c r="L445" s="1" t="str">
        <f>HYPERLINK("https://files.afu.se/Downloads/Transcripts/0%20-%20Government/USA%20-%20NASA%20Johnson/2019 09 06 - NASA Johnson - Space to Ground  Category 5  09 06 2019_K13uQoV3sb0 - transcript (automated).pdf","Transcript Link")</f>
        <v>Transcript Link</v>
      </c>
      <c r="M445" s="2" t="str">
        <f>HYPERLINK("https://files.afu.se/Downloads/Transcripts/0%20-%20Government/USA%20-%20NASA%20Johnson/2019 09 06 - NASA Johnson - Space to Ground  Category 5  09 06 2019_K13uQoV3sb0 - transcript (automated).pdf","Transcript Link")</f>
        <v>Transcript Link</v>
      </c>
    </row>
    <row r="446" ht="180" spans="1:13">
      <c r="A446" s="1" t="s">
        <v>1961</v>
      </c>
      <c r="B446" s="1" t="s">
        <v>13</v>
      </c>
      <c r="C446" s="4" t="s">
        <v>1962</v>
      </c>
      <c r="D446" s="1" t="s">
        <v>1963</v>
      </c>
      <c r="E446" s="1" t="s">
        <v>1964</v>
      </c>
      <c r="F446" s="4" t="s">
        <v>17</v>
      </c>
      <c r="G446" s="1" t="s">
        <v>18</v>
      </c>
      <c r="H446" s="1" t="s">
        <v>19</v>
      </c>
      <c r="I446" s="1" t="s">
        <v>20</v>
      </c>
      <c r="J446" s="1" t="s">
        <v>1965</v>
      </c>
      <c r="K446" s="1" t="s">
        <v>22</v>
      </c>
      <c r="L446" s="1" t="str">
        <f>HYPERLINK("https://files.afu.se/Downloads/Transcripts/0%20-%20Government/USA%20-%20NASA%20Johnson/2019 08 30 - NASA Johnson - Beautiful World_s654YJ7PZg8 - transcript (automated).pdf","Transcript Link")</f>
        <v>Transcript Link</v>
      </c>
      <c r="M446" s="2" t="str">
        <f>HYPERLINK("https://files.afu.se/Downloads/Transcripts/0%20-%20Government/USA%20-%20NASA%20Johnson/2019 08 30 - NASA Johnson - Beautiful World_s654YJ7PZg8 - transcript (automated).pdf","Transcript Link")</f>
        <v>Transcript Link</v>
      </c>
    </row>
    <row r="447" ht="270" spans="1:13">
      <c r="A447" s="1" t="s">
        <v>1961</v>
      </c>
      <c r="B447" s="1" t="s">
        <v>13</v>
      </c>
      <c r="C447" s="4" t="s">
        <v>1966</v>
      </c>
      <c r="D447" s="1" t="s">
        <v>1967</v>
      </c>
      <c r="E447" s="1" t="s">
        <v>1916</v>
      </c>
      <c r="F447" s="4" t="s">
        <v>17</v>
      </c>
      <c r="G447" s="1" t="s">
        <v>18</v>
      </c>
      <c r="H447" s="1" t="s">
        <v>19</v>
      </c>
      <c r="I447" s="1" t="s">
        <v>20</v>
      </c>
      <c r="J447" s="1" t="s">
        <v>1968</v>
      </c>
      <c r="K447" s="1" t="s">
        <v>22</v>
      </c>
      <c r="L447" s="1" t="str">
        <f>HYPERLINK("https://files.afu.se/Downloads/Transcripts/0%20-%20Government/USA%20-%20NASA%20Johnson/2019 08 30 - NASA Johnson - Space to Ground  At the Midpoint  08 30 2019_280cKaJx30g - transcript (automated).pdf","Transcript Link")</f>
        <v>Transcript Link</v>
      </c>
      <c r="M447" s="2" t="str">
        <f>HYPERLINK("https://files.afu.se/Downloads/Transcripts/0%20-%20Government/USA%20-%20NASA%20Johnson/2019 08 30 - NASA Johnson - Space to Ground  At the Midpoint  08 30 2019_280cKaJx30g - transcript (automated).pdf","Transcript Link")</f>
        <v>Transcript Link</v>
      </c>
    </row>
    <row r="448" ht="345" spans="1:13">
      <c r="A448" s="1" t="s">
        <v>1969</v>
      </c>
      <c r="B448" s="1" t="s">
        <v>13</v>
      </c>
      <c r="C448" s="4" t="s">
        <v>1970</v>
      </c>
      <c r="D448" s="1" t="s">
        <v>1971</v>
      </c>
      <c r="E448" s="1" t="s">
        <v>1972</v>
      </c>
      <c r="F448" s="4" t="s">
        <v>17</v>
      </c>
      <c r="G448" s="1" t="s">
        <v>18</v>
      </c>
      <c r="H448" s="1" t="s">
        <v>19</v>
      </c>
      <c r="I448" s="1" t="s">
        <v>20</v>
      </c>
      <c r="J448" s="1" t="s">
        <v>1973</v>
      </c>
      <c r="K448" s="1" t="s">
        <v>22</v>
      </c>
      <c r="L448" s="1" t="str">
        <f>HYPERLINK("https://files.afu.se/Downloads/Transcripts/0%20-%20Government/USA%20-%20NASA%20Johnson/2019 08 29 - NASA Johnson - Researching Regolith on the International Space Station_C0tr0FmOYW4 - transcript (automated).pdf","Transcript Link")</f>
        <v>Transcript Link</v>
      </c>
      <c r="M448" s="2" t="str">
        <f>HYPERLINK("https://files.afu.se/Downloads/Transcripts/0%20-%20Government/USA%20-%20NASA%20Johnson/2019 08 29 - NASA Johnson - Researching Regolith on the International Space Station_C0tr0FmOYW4 - transcript (automated).pdf","Transcript Link")</f>
        <v>Transcript Link</v>
      </c>
    </row>
    <row r="449" ht="240" spans="1:13">
      <c r="A449" s="1" t="s">
        <v>1974</v>
      </c>
      <c r="B449" s="1" t="s">
        <v>13</v>
      </c>
      <c r="C449" s="4" t="s">
        <v>1975</v>
      </c>
      <c r="D449" s="1" t="s">
        <v>1976</v>
      </c>
      <c r="E449" s="1" t="s">
        <v>1977</v>
      </c>
      <c r="F449" s="4" t="s">
        <v>17</v>
      </c>
      <c r="G449" s="1" t="s">
        <v>18</v>
      </c>
      <c r="H449" s="1" t="s">
        <v>19</v>
      </c>
      <c r="I449" s="1" t="s">
        <v>20</v>
      </c>
      <c r="J449" s="1" t="s">
        <v>1978</v>
      </c>
      <c r="K449" s="1" t="s">
        <v>22</v>
      </c>
      <c r="L449" s="1" t="str">
        <f>HYPERLINK("https://files.afu.se/Downloads/Transcripts/0%20-%20Government/USA%20-%20NASA%20Johnson/2019 08 23 - NASA Johnson - Preparing America for Deep Space  Episode 22   Building &amp; Testing for Artemis_eP1_T8vKgwE - transcript (automated).pdf","Transcript Link")</f>
        <v>Transcript Link</v>
      </c>
      <c r="M449" s="2" t="str">
        <f>HYPERLINK("https://files.afu.se/Downloads/Transcripts/0%20-%20Government/USA%20-%20NASA%20Johnson/2019 08 23 - NASA Johnson - Preparing America for Deep Space  Episode 22   Building &amp; Testing for Artemis_eP1_T8vKgwE - transcript (automated).pdf","Transcript Link")</f>
        <v>Transcript Link</v>
      </c>
    </row>
    <row r="450" ht="180" spans="1:13">
      <c r="A450" s="1" t="s">
        <v>1974</v>
      </c>
      <c r="B450" s="1" t="s">
        <v>13</v>
      </c>
      <c r="C450" s="4" t="s">
        <v>1979</v>
      </c>
      <c r="D450" s="1" t="s">
        <v>1980</v>
      </c>
      <c r="E450" s="1" t="s">
        <v>1981</v>
      </c>
      <c r="F450" s="4" t="s">
        <v>17</v>
      </c>
      <c r="G450" s="1" t="s">
        <v>18</v>
      </c>
      <c r="H450" s="1" t="s">
        <v>19</v>
      </c>
      <c r="I450" s="1" t="s">
        <v>20</v>
      </c>
      <c r="J450" s="1" t="s">
        <v>1982</v>
      </c>
      <c r="K450" s="1" t="s">
        <v>22</v>
      </c>
      <c r="L450" s="1" t="str">
        <f>HYPERLINK("https://files.afu.se/Downloads/Transcripts/0%20-%20Government/USA%20-%20NASA%20Johnson/2019 08 23 - NASA Johnson - Orion's Launch Abort System Attitude Control Motor Test_-V2WZ5tApoc - transcript (automated).pdf","Transcript Link")</f>
        <v>Transcript Link</v>
      </c>
      <c r="M450" s="2" t="str">
        <f>HYPERLINK("https://files.afu.se/Downloads/Transcripts/0%20-%20Government/USA%20-%20NASA%20Johnson/2019 08 23 - NASA Johnson - Orion's Launch Abort System Attitude Control Motor Test_-V2WZ5tApoc - transcript (automated).pdf","Transcript Link")</f>
        <v>Transcript Link</v>
      </c>
    </row>
    <row r="451" ht="270" spans="1:13">
      <c r="A451" s="1" t="s">
        <v>1974</v>
      </c>
      <c r="B451" s="1" t="s">
        <v>13</v>
      </c>
      <c r="C451" s="4" t="s">
        <v>1983</v>
      </c>
      <c r="D451" s="1" t="s">
        <v>1984</v>
      </c>
      <c r="E451" s="1" t="s">
        <v>1916</v>
      </c>
      <c r="F451" s="4" t="s">
        <v>17</v>
      </c>
      <c r="G451" s="1" t="s">
        <v>18</v>
      </c>
      <c r="H451" s="1" t="s">
        <v>19</v>
      </c>
      <c r="I451" s="1" t="s">
        <v>20</v>
      </c>
      <c r="J451" s="1" t="s">
        <v>1985</v>
      </c>
      <c r="K451" s="1" t="s">
        <v>22</v>
      </c>
      <c r="L451" s="1" t="str">
        <f>HYPERLINK("https://files.afu.se/Downloads/Transcripts/0%20-%20Government/USA%20-%20NASA%20Johnson/2019 08 23 - NASA Johnson - Space to Ground  Additional Parking  08 23 2019_6cCxaYVyuv4 - transcript (automated).pdf","Transcript Link")</f>
        <v>Transcript Link</v>
      </c>
      <c r="M451" s="2" t="str">
        <f>HYPERLINK("https://files.afu.se/Downloads/Transcripts/0%20-%20Government/USA%20-%20NASA%20Johnson/2019 08 23 - NASA Johnson - Space to Ground  Additional Parking  08 23 2019_6cCxaYVyuv4 - transcript (automated).pdf","Transcript Link")</f>
        <v>Transcript Link</v>
      </c>
    </row>
    <row r="452" ht="345" spans="1:13">
      <c r="A452" s="1" t="s">
        <v>1986</v>
      </c>
      <c r="B452" s="1" t="s">
        <v>13</v>
      </c>
      <c r="C452" s="4" t="s">
        <v>1987</v>
      </c>
      <c r="D452" s="1" t="s">
        <v>1988</v>
      </c>
      <c r="E452" s="1" t="s">
        <v>1989</v>
      </c>
      <c r="F452" s="4" t="s">
        <v>17</v>
      </c>
      <c r="G452" s="1" t="s">
        <v>18</v>
      </c>
      <c r="H452" s="1" t="s">
        <v>19</v>
      </c>
      <c r="I452" s="1" t="s">
        <v>20</v>
      </c>
      <c r="J452" s="1" t="s">
        <v>1990</v>
      </c>
      <c r="K452" s="1" t="s">
        <v>22</v>
      </c>
      <c r="L452" s="1" t="str">
        <f>HYPERLINK("https://files.afu.se/Downloads/Transcripts/0%20-%20Government/USA%20-%20NASA%20Johnson/2019 08 19 - NASA Johnson - IDA 3 Spacewalk Animation_Nmil9vid4NY - transcript (automated).pdf","Transcript Link")</f>
        <v>Transcript Link</v>
      </c>
      <c r="M452" s="2" t="str">
        <f>HYPERLINK("https://files.afu.se/Downloads/Transcripts/0%20-%20Government/USA%20-%20NASA%20Johnson/2019 08 19 - NASA Johnson - IDA 3 Spacewalk Animation_Nmil9vid4NY - transcript (automated).pdf","Transcript Link")</f>
        <v>Transcript Link</v>
      </c>
    </row>
    <row r="453" ht="270" spans="1:13">
      <c r="A453" s="1" t="s">
        <v>1991</v>
      </c>
      <c r="B453" s="1" t="s">
        <v>13</v>
      </c>
      <c r="C453" s="4" t="s">
        <v>1992</v>
      </c>
      <c r="D453" s="1" t="s">
        <v>1993</v>
      </c>
      <c r="E453" s="1" t="s">
        <v>1916</v>
      </c>
      <c r="F453" s="4" t="s">
        <v>17</v>
      </c>
      <c r="G453" s="1" t="s">
        <v>18</v>
      </c>
      <c r="H453" s="1" t="s">
        <v>19</v>
      </c>
      <c r="I453" s="1" t="s">
        <v>20</v>
      </c>
      <c r="J453" s="1" t="s">
        <v>1994</v>
      </c>
      <c r="K453" s="1" t="s">
        <v>22</v>
      </c>
      <c r="L453" s="1" t="str">
        <f>HYPERLINK("https://files.afu.se/Downloads/Transcripts/0%20-%20Government/USA%20-%20NASA%20Johnson/2019 08 16 - NASA Johnson - Space to Ground  Robotic Refueling  08 16 2019__LPDZ6gDzRw - transcript (automated).pdf","Transcript Link")</f>
        <v>Transcript Link</v>
      </c>
      <c r="M453" s="2" t="str">
        <f>HYPERLINK("https://files.afu.se/Downloads/Transcripts/0%20-%20Government/USA%20-%20NASA%20Johnson/2019 08 16 - NASA Johnson - Space to Ground  Robotic Refueling  08 16 2019__LPDZ6gDzRw - transcript (automated).pdf","Transcript Link")</f>
        <v>Transcript Link</v>
      </c>
    </row>
    <row r="454" ht="330" spans="1:13">
      <c r="A454" s="1" t="s">
        <v>1995</v>
      </c>
      <c r="B454" s="1" t="s">
        <v>13</v>
      </c>
      <c r="C454" s="4" t="s">
        <v>1996</v>
      </c>
      <c r="D454" s="1" t="s">
        <v>1997</v>
      </c>
      <c r="E454" s="1" t="s">
        <v>1998</v>
      </c>
      <c r="F454" s="4" t="s">
        <v>17</v>
      </c>
      <c r="G454" s="1" t="s">
        <v>18</v>
      </c>
      <c r="H454" s="1" t="s">
        <v>19</v>
      </c>
      <c r="I454" s="1" t="s">
        <v>20</v>
      </c>
      <c r="J454" s="1" t="s">
        <v>1999</v>
      </c>
      <c r="K454" s="1" t="s">
        <v>22</v>
      </c>
      <c r="L454" s="1" t="str">
        <f>HYPERLINK("https://files.afu.se/Downloads/Transcripts/0%20-%20Government/USA%20-%20NASA%20Johnson/2019 08 13 - NASA Johnson - Biomining in Space_8obopaD8bXA - transcript (automated).pdf","Transcript Link")</f>
        <v>Transcript Link</v>
      </c>
      <c r="M454" s="2" t="str">
        <f>HYPERLINK("https://files.afu.se/Downloads/Transcripts/0%20-%20Government/USA%20-%20NASA%20Johnson/2019 08 13 - NASA Johnson - Biomining in Space_8obopaD8bXA - transcript (automated).pdf","Transcript Link")</f>
        <v>Transcript Link</v>
      </c>
    </row>
    <row r="455" ht="270" spans="1:13">
      <c r="A455" s="1" t="s">
        <v>2000</v>
      </c>
      <c r="B455" s="1" t="s">
        <v>13</v>
      </c>
      <c r="C455" s="4" t="s">
        <v>2001</v>
      </c>
      <c r="D455" s="1" t="s">
        <v>2002</v>
      </c>
      <c r="E455" s="1" t="s">
        <v>1916</v>
      </c>
      <c r="F455" s="4" t="s">
        <v>17</v>
      </c>
      <c r="G455" s="1" t="s">
        <v>18</v>
      </c>
      <c r="H455" s="1" t="s">
        <v>19</v>
      </c>
      <c r="I455" s="1" t="s">
        <v>20</v>
      </c>
      <c r="J455" s="1" t="s">
        <v>2003</v>
      </c>
      <c r="K455" s="1" t="s">
        <v>22</v>
      </c>
      <c r="L455" s="1" t="str">
        <f>HYPERLINK("https://files.afu.se/Downloads/Transcripts/0%20-%20Government/USA%20-%20NASA%20Johnson/2019 08 09 - NASA Johnson - Space to Ground  A New Mission  08 09 2019_HDV1IZ-RPyU - transcript (automated).pdf","Transcript Link")</f>
        <v>Transcript Link</v>
      </c>
      <c r="M455" s="2" t="str">
        <f>HYPERLINK("https://files.afu.se/Downloads/Transcripts/0%20-%20Government/USA%20-%20NASA%20Johnson/2019 08 09 - NASA Johnson - Space to Ground  A New Mission  08 09 2019_HDV1IZ-RPyU - transcript (automated).pdf","Transcript Link")</f>
        <v>Transcript Link</v>
      </c>
    </row>
    <row r="456" ht="330" spans="1:13">
      <c r="A456" s="1" t="s">
        <v>2004</v>
      </c>
      <c r="B456" s="1" t="s">
        <v>13</v>
      </c>
      <c r="C456" s="4" t="s">
        <v>2005</v>
      </c>
      <c r="D456" s="1" t="s">
        <v>2006</v>
      </c>
      <c r="E456" s="1" t="s">
        <v>2007</v>
      </c>
      <c r="F456" s="4" t="s">
        <v>17</v>
      </c>
      <c r="G456" s="1" t="s">
        <v>18</v>
      </c>
      <c r="H456" s="1" t="s">
        <v>19</v>
      </c>
      <c r="I456" s="1" t="s">
        <v>20</v>
      </c>
      <c r="J456" s="1" t="s">
        <v>2008</v>
      </c>
      <c r="K456" s="1" t="s">
        <v>22</v>
      </c>
      <c r="L456" s="1" t="str">
        <f>HYPERLINK("https://files.afu.se/Downloads/Transcripts/0%20-%20Government/USA%20-%20NASA%20Johnson/2019 08 07 - NASA Johnson - Major Props! Orion Propulsion Test in New Mexico a Success_XEhgp2EhPao - transcript (automated).pdf","Transcript Link")</f>
        <v>Transcript Link</v>
      </c>
      <c r="M456" s="2" t="str">
        <f>HYPERLINK("https://files.afu.se/Downloads/Transcripts/0%20-%20Government/USA%20-%20NASA%20Johnson/2019 08 07 - NASA Johnson - Major Props! Orion Propulsion Test in New Mexico a Success_XEhgp2EhPao - transcript (automated).pdf","Transcript Link")</f>
        <v>Transcript Link</v>
      </c>
    </row>
    <row r="457" ht="270" spans="1:13">
      <c r="A457" s="1" t="s">
        <v>2009</v>
      </c>
      <c r="B457" s="1" t="s">
        <v>13</v>
      </c>
      <c r="C457" s="4" t="s">
        <v>2010</v>
      </c>
      <c r="D457" s="1" t="s">
        <v>2011</v>
      </c>
      <c r="E457" s="1" t="s">
        <v>1916</v>
      </c>
      <c r="F457" s="4" t="s">
        <v>17</v>
      </c>
      <c r="G457" s="1" t="s">
        <v>18</v>
      </c>
      <c r="H457" s="1" t="s">
        <v>19</v>
      </c>
      <c r="I457" s="1" t="s">
        <v>20</v>
      </c>
      <c r="J457" s="1" t="s">
        <v>2012</v>
      </c>
      <c r="K457" s="1" t="s">
        <v>22</v>
      </c>
      <c r="L457" s="1" t="str">
        <f>HYPERLINK("https://files.afu.se/Downloads/Transcripts/0%20-%20Government/USA%20-%20NASA%20Johnson/2019 08 02 - NASA Johnson - Space to Ground  Fast Track  08 02 2019_DXs5NmRyFrU - transcript (automated).pdf","Transcript Link")</f>
        <v>Transcript Link</v>
      </c>
      <c r="M457" s="2" t="str">
        <f>HYPERLINK("https://files.afu.se/Downloads/Transcripts/0%20-%20Government/USA%20-%20NASA%20Johnson/2019 08 02 - NASA Johnson - Space to Ground  Fast Track  08 02 2019_DXs5NmRyFrU - transcript (automated).pdf","Transcript Link")</f>
        <v>Transcript Link</v>
      </c>
    </row>
    <row r="458" ht="270" spans="1:13">
      <c r="A458" s="1" t="s">
        <v>2013</v>
      </c>
      <c r="B458" s="1" t="s">
        <v>13</v>
      </c>
      <c r="C458" s="4" t="s">
        <v>2014</v>
      </c>
      <c r="D458" s="1" t="s">
        <v>2015</v>
      </c>
      <c r="E458" s="1" t="s">
        <v>1916</v>
      </c>
      <c r="F458" s="4" t="s">
        <v>17</v>
      </c>
      <c r="G458" s="1" t="s">
        <v>18</v>
      </c>
      <c r="H458" s="1" t="s">
        <v>19</v>
      </c>
      <c r="I458" s="1" t="s">
        <v>20</v>
      </c>
      <c r="J458" s="1" t="s">
        <v>2016</v>
      </c>
      <c r="K458" s="1" t="s">
        <v>22</v>
      </c>
      <c r="L458" s="1" t="str">
        <f>HYPERLINK("https://files.afu.se/Downloads/Transcripts/0%20-%20Government/USA%20-%20NASA%20Johnson/2019 07 26 - NASA Johnson - Space to Ground  Gateway to the Future  07 26 2019_W85SJE3krPE - transcript (automated).pdf","Transcript Link")</f>
        <v>Transcript Link</v>
      </c>
      <c r="M458" s="2" t="str">
        <f>HYPERLINK("https://files.afu.se/Downloads/Transcripts/0%20-%20Government/USA%20-%20NASA%20Johnson/2019 07 26 - NASA Johnson - Space to Ground  Gateway to the Future  07 26 2019_W85SJE3krPE - transcript (automated).pdf","Transcript Link")</f>
        <v>Transcript Link</v>
      </c>
    </row>
    <row r="459" ht="195" spans="1:13">
      <c r="A459" s="1" t="s">
        <v>2017</v>
      </c>
      <c r="B459" s="1" t="s">
        <v>13</v>
      </c>
      <c r="C459" s="4" t="s">
        <v>2018</v>
      </c>
      <c r="D459" s="1" t="s">
        <v>2019</v>
      </c>
      <c r="E459" s="1" t="s">
        <v>2020</v>
      </c>
      <c r="F459" s="4" t="s">
        <v>17</v>
      </c>
      <c r="G459" s="1" t="s">
        <v>18</v>
      </c>
      <c r="H459" s="1" t="s">
        <v>19</v>
      </c>
      <c r="I459" s="1" t="s">
        <v>20</v>
      </c>
      <c r="J459" s="1" t="s">
        <v>2021</v>
      </c>
      <c r="K459" s="1" t="s">
        <v>22</v>
      </c>
      <c r="L459" s="1" t="str">
        <f>HYPERLINK("https://files.afu.se/Downloads/Transcripts/0%20-%20Government/USA%20-%20NASA%20Johnson/2019 07 25 - NASA Johnson - Explore Your Project Ideas for Space Station_qDltkPn7J2s - transcript (automated).pdf","Transcript Link")</f>
        <v>Transcript Link</v>
      </c>
      <c r="M459" s="2" t="str">
        <f>HYPERLINK("https://files.afu.se/Downloads/Transcripts/0%20-%20Government/USA%20-%20NASA%20Johnson/2019 07 25 - NASA Johnson - Explore Your Project Ideas for Space Station_qDltkPn7J2s - transcript (automated).pdf","Transcript Link")</f>
        <v>Transcript Link</v>
      </c>
    </row>
    <row r="460" ht="270" spans="1:13">
      <c r="A460" s="1" t="s">
        <v>2022</v>
      </c>
      <c r="B460" s="1" t="s">
        <v>13</v>
      </c>
      <c r="C460" s="4" t="s">
        <v>2023</v>
      </c>
      <c r="D460" s="1" t="s">
        <v>2024</v>
      </c>
      <c r="E460" s="1" t="s">
        <v>1916</v>
      </c>
      <c r="F460" s="4" t="s">
        <v>17</v>
      </c>
      <c r="G460" s="1" t="s">
        <v>18</v>
      </c>
      <c r="H460" s="1" t="s">
        <v>19</v>
      </c>
      <c r="I460" s="1" t="s">
        <v>20</v>
      </c>
      <c r="J460" s="1" t="s">
        <v>2025</v>
      </c>
      <c r="K460" s="1" t="s">
        <v>22</v>
      </c>
      <c r="L460" s="1" t="str">
        <f>HYPERLINK("https://files.afu.se/Downloads/Transcripts/0%20-%20Government/USA%20-%20NASA%20Johnson/2019 07 19 - NASA Johnson - Space to Ground  History's Greatest Adventure  07 19 2019_h1Y3CeNA_AU - transcript (automated).pdf","Transcript Link")</f>
        <v>Transcript Link</v>
      </c>
      <c r="M460" s="2" t="str">
        <f>HYPERLINK("https://files.afu.se/Downloads/Transcripts/0%20-%20Government/USA%20-%20NASA%20Johnson/2019 07 19 - NASA Johnson - Space to Ground  History's Greatest Adventure  07 19 2019_h1Y3CeNA_AU - transcript (automated).pdf","Transcript Link")</f>
        <v>Transcript Link</v>
      </c>
    </row>
    <row r="461" ht="180" spans="1:13">
      <c r="A461" s="1" t="s">
        <v>2026</v>
      </c>
      <c r="B461" s="1" t="s">
        <v>13</v>
      </c>
      <c r="C461" s="4" t="s">
        <v>2027</v>
      </c>
      <c r="D461" s="1" t="s">
        <v>2028</v>
      </c>
      <c r="E461" s="1" t="s">
        <v>2029</v>
      </c>
      <c r="F461" s="4" t="s">
        <v>17</v>
      </c>
      <c r="G461" s="1" t="s">
        <v>18</v>
      </c>
      <c r="H461" s="1" t="s">
        <v>19</v>
      </c>
      <c r="I461" s="1" t="s">
        <v>20</v>
      </c>
      <c r="J461" s="1" t="s">
        <v>2030</v>
      </c>
      <c r="K461" s="1" t="s">
        <v>22</v>
      </c>
      <c r="L461" s="1" t="str">
        <f>HYPERLINK("https://files.afu.se/Downloads/Transcripts/0%20-%20Government/USA%20-%20NASA%20Johnson/2019 07 18 - NASA Johnson - Astronaut Training  Then and Now_zHUo5-6LKyg - transcript (automated).pdf","Transcript Link")</f>
        <v>Transcript Link</v>
      </c>
      <c r="M461" s="2" t="str">
        <f>HYPERLINK("https://files.afu.se/Downloads/Transcripts/0%20-%20Government/USA%20-%20NASA%20Johnson/2019 07 18 - NASA Johnson - Astronaut Training  Then and Now_zHUo5-6LKyg - transcript (automated).pdf","Transcript Link")</f>
        <v>Transcript Link</v>
      </c>
    </row>
    <row r="462" ht="180" spans="1:13">
      <c r="A462" s="1" t="s">
        <v>2026</v>
      </c>
      <c r="B462" s="1" t="s">
        <v>13</v>
      </c>
      <c r="C462" s="4" t="s">
        <v>2031</v>
      </c>
      <c r="D462" s="1" t="s">
        <v>2032</v>
      </c>
      <c r="E462" s="1" t="s">
        <v>2033</v>
      </c>
      <c r="F462" s="4" t="s">
        <v>17</v>
      </c>
      <c r="G462" s="1" t="s">
        <v>18</v>
      </c>
      <c r="H462" s="1" t="s">
        <v>19</v>
      </c>
      <c r="I462" s="1" t="s">
        <v>20</v>
      </c>
      <c r="J462" s="1" t="s">
        <v>2034</v>
      </c>
      <c r="K462" s="1" t="s">
        <v>22</v>
      </c>
      <c r="L462" s="1" t="str">
        <f>HYPERLINK("https://files.afu.se/Downloads/Transcripts/0%20-%20Government/USA%20-%20NASA%20Johnson/2019 07 18 - NASA Johnson - Astronaut Moments   Drew Morgan_JD_B1QK-Jok - transcript (automated).pdf","Transcript Link")</f>
        <v>Transcript Link</v>
      </c>
      <c r="M462" s="2" t="str">
        <f>HYPERLINK("https://files.afu.se/Downloads/Transcripts/0%20-%20Government/USA%20-%20NASA%20Johnson/2019 07 18 - NASA Johnson - Astronaut Moments   Drew Morgan_JD_B1QK-Jok - transcript (automated).pdf","Transcript Link")</f>
        <v>Transcript Link</v>
      </c>
    </row>
    <row r="463" ht="270" spans="1:13">
      <c r="A463" s="1" t="s">
        <v>2035</v>
      </c>
      <c r="B463" s="1" t="s">
        <v>13</v>
      </c>
      <c r="C463" s="4" t="s">
        <v>2036</v>
      </c>
      <c r="D463" s="1" t="s">
        <v>2037</v>
      </c>
      <c r="E463" s="1" t="s">
        <v>2038</v>
      </c>
      <c r="F463" s="4" t="s">
        <v>17</v>
      </c>
      <c r="G463" s="1" t="s">
        <v>18</v>
      </c>
      <c r="H463" s="1" t="s">
        <v>19</v>
      </c>
      <c r="I463" s="1" t="s">
        <v>20</v>
      </c>
      <c r="J463" s="1" t="s">
        <v>2039</v>
      </c>
      <c r="K463" s="1" t="s">
        <v>22</v>
      </c>
      <c r="L463" s="1" t="str">
        <f>HYPERLINK("https://files.afu.se/Downloads/Transcripts/0%20-%20Government/USA%20-%20NASA%20Johnson/2019 07 17 - NASA Johnson - We Chose  The Inspiration of Apollo_qXqlgub8neE - transcript (automated).pdf","Transcript Link")</f>
        <v>Transcript Link</v>
      </c>
      <c r="M463" s="2" t="str">
        <f>HYPERLINK("https://files.afu.se/Downloads/Transcripts/0%20-%20Government/USA%20-%20NASA%20Johnson/2019 07 17 - NASA Johnson - We Chose  The Inspiration of Apollo_qXqlgub8neE - transcript (automated).pdf","Transcript Link")</f>
        <v>Transcript Link</v>
      </c>
    </row>
    <row r="464" ht="270" spans="1:13">
      <c r="A464" s="1" t="s">
        <v>2040</v>
      </c>
      <c r="B464" s="1" t="s">
        <v>13</v>
      </c>
      <c r="C464" s="4" t="s">
        <v>2041</v>
      </c>
      <c r="D464" s="1" t="s">
        <v>2042</v>
      </c>
      <c r="E464" s="1" t="s">
        <v>2043</v>
      </c>
      <c r="F464" s="4" t="s">
        <v>17</v>
      </c>
      <c r="G464" s="1" t="s">
        <v>18</v>
      </c>
      <c r="H464" s="1" t="s">
        <v>19</v>
      </c>
      <c r="I464" s="1" t="s">
        <v>20</v>
      </c>
      <c r="J464" s="1" t="s">
        <v>2044</v>
      </c>
      <c r="K464" s="1" t="s">
        <v>22</v>
      </c>
      <c r="L464" s="1" t="str">
        <f>HYPERLINK("https://files.afu.se/Downloads/Transcripts/0%20-%20Government/USA%20-%20NASA%20Johnson/2019 07 12 - NASA Johnson - Camera Captures Orion Abort Test Mid-Air_0mVyxtFIvj4 - transcript (automated).pdf","Transcript Link")</f>
        <v>Transcript Link</v>
      </c>
      <c r="M464" s="2" t="str">
        <f>HYPERLINK("https://files.afu.se/Downloads/Transcripts/0%20-%20Government/USA%20-%20NASA%20Johnson/2019 07 12 - NASA Johnson - Camera Captures Orion Abort Test Mid-Air_0mVyxtFIvj4 - transcript (automated).pdf","Transcript Link")</f>
        <v>Transcript Link</v>
      </c>
    </row>
    <row r="465" ht="255" spans="1:13">
      <c r="A465" s="1" t="s">
        <v>2040</v>
      </c>
      <c r="B465" s="1" t="s">
        <v>13</v>
      </c>
      <c r="C465" s="4" t="s">
        <v>2045</v>
      </c>
      <c r="D465" s="1" t="s">
        <v>2046</v>
      </c>
      <c r="E465" s="1" t="s">
        <v>2047</v>
      </c>
      <c r="F465" s="4" t="s">
        <v>17</v>
      </c>
      <c r="G465" s="1" t="s">
        <v>18</v>
      </c>
      <c r="H465" s="1" t="s">
        <v>19</v>
      </c>
      <c r="I465" s="1" t="s">
        <v>20</v>
      </c>
      <c r="J465" s="1" t="s">
        <v>2048</v>
      </c>
      <c r="K465" s="1" t="s">
        <v>22</v>
      </c>
      <c r="L465" s="1" t="str">
        <f>HYPERLINK("https://files.afu.se/Downloads/Transcripts/0%20-%20Government/USA%20-%20NASA%20Johnson/2019 07 12 - NASA Johnson - T-60 Seconds with Andrew Morgan_Rww7zst5XhA - transcript (automated).pdf","Transcript Link")</f>
        <v>Transcript Link</v>
      </c>
      <c r="M465" s="2" t="str">
        <f>HYPERLINK("https://files.afu.se/Downloads/Transcripts/0%20-%20Government/USA%20-%20NASA%20Johnson/2019 07 12 - NASA Johnson - T-60 Seconds with Andrew Morgan_Rww7zst5XhA - transcript (automated).pdf","Transcript Link")</f>
        <v>Transcript Link</v>
      </c>
    </row>
    <row r="466" ht="270" spans="1:13">
      <c r="A466" s="1" t="s">
        <v>2040</v>
      </c>
      <c r="B466" s="1" t="s">
        <v>13</v>
      </c>
      <c r="C466" s="4" t="s">
        <v>2049</v>
      </c>
      <c r="D466" s="1" t="s">
        <v>2050</v>
      </c>
      <c r="E466" s="1" t="s">
        <v>1916</v>
      </c>
      <c r="F466" s="4" t="s">
        <v>17</v>
      </c>
      <c r="G466" s="1" t="s">
        <v>18</v>
      </c>
      <c r="H466" s="1" t="s">
        <v>19</v>
      </c>
      <c r="I466" s="1" t="s">
        <v>20</v>
      </c>
      <c r="J466" s="1" t="s">
        <v>2051</v>
      </c>
      <c r="K466" s="1" t="s">
        <v>22</v>
      </c>
      <c r="L466" s="1" t="str">
        <f>HYPERLINK("https://files.afu.se/Downloads/Transcripts/0%20-%20Government/USA%20-%20NASA%20Johnson/2019 07 12 - NASA Johnson - Space to Ground  Farm-to-Table  07 12 2019_m-KAT78zU3s - transcript (automated).pdf","Transcript Link")</f>
        <v>Transcript Link</v>
      </c>
      <c r="M466" s="2" t="str">
        <f>HYPERLINK("https://files.afu.se/Downloads/Transcripts/0%20-%20Government/USA%20-%20NASA%20Johnson/2019 07 12 - NASA Johnson - Space to Ground  Farm-to-Table  07 12 2019_m-KAT78zU3s - transcript (automated).pdf","Transcript Link")</f>
        <v>Transcript Link</v>
      </c>
    </row>
    <row r="467" ht="409.5" spans="1:13">
      <c r="A467" s="1" t="s">
        <v>2052</v>
      </c>
      <c r="B467" s="1" t="s">
        <v>13</v>
      </c>
      <c r="C467" s="4" t="s">
        <v>2053</v>
      </c>
      <c r="D467" s="1" t="s">
        <v>2054</v>
      </c>
      <c r="E467" s="1" t="s">
        <v>2055</v>
      </c>
      <c r="F467" s="4" t="s">
        <v>17</v>
      </c>
      <c r="G467" s="1" t="s">
        <v>18</v>
      </c>
      <c r="H467" s="1" t="s">
        <v>19</v>
      </c>
      <c r="I467" s="1" t="s">
        <v>20</v>
      </c>
      <c r="J467" s="1" t="s">
        <v>2056</v>
      </c>
      <c r="K467" s="1" t="s">
        <v>22</v>
      </c>
      <c r="L467" s="1" t="str">
        <f>HYPERLINK("https://files.afu.se/Downloads/Transcripts/0%20-%20Government/USA%20-%20NASA%20Johnson/2019 07 08 - NASA Johnson - Highlights of Science Launching on SpaceX CRS 18 - July 8, 2019_FEjjEgjacIY - transcript (automated).pdf","Transcript Link")</f>
        <v>Transcript Link</v>
      </c>
      <c r="M467" s="2" t="str">
        <f>HYPERLINK("https://files.afu.se/Downloads/Transcripts/0%20-%20Government/USA%20-%20NASA%20Johnson/2019 07 08 - NASA Johnson - Highlights of Science Launching on SpaceX CRS 18 - July 8, 2019_FEjjEgjacIY - transcript (automated).pdf","Transcript Link")</f>
        <v>Transcript Link</v>
      </c>
    </row>
    <row r="468" ht="195" spans="1:13">
      <c r="A468" s="1" t="s">
        <v>2057</v>
      </c>
      <c r="B468" s="1" t="s">
        <v>13</v>
      </c>
      <c r="C468" s="4" t="s">
        <v>2058</v>
      </c>
      <c r="D468" s="1" t="s">
        <v>2059</v>
      </c>
      <c r="E468" s="1" t="s">
        <v>2060</v>
      </c>
      <c r="F468" s="4" t="s">
        <v>17</v>
      </c>
      <c r="G468" s="1" t="s">
        <v>18</v>
      </c>
      <c r="H468" s="1" t="s">
        <v>19</v>
      </c>
      <c r="I468" s="1" t="s">
        <v>20</v>
      </c>
      <c r="J468" s="1" t="s">
        <v>2061</v>
      </c>
      <c r="K468" s="1" t="s">
        <v>22</v>
      </c>
      <c r="L468" s="1" t="str">
        <f>HYPERLINK("https://files.afu.se/Downloads/Transcripts/0%20-%20Government/USA%20-%20NASA%20Johnson/2019 07 05 - NASA Johnson - Moving Water in Space - 8K Ultra HD_H_qPWZbxFl8 - transcript (automated).pdf","Transcript Link")</f>
        <v>Transcript Link</v>
      </c>
      <c r="M468" s="2" t="str">
        <f>HYPERLINK("https://files.afu.se/Downloads/Transcripts/0%20-%20Government/USA%20-%20NASA%20Johnson/2019 07 05 - NASA Johnson - Moving Water in Space - 8K Ultra HD_H_qPWZbxFl8 - transcript (automated).pdf","Transcript Link")</f>
        <v>Transcript Link</v>
      </c>
    </row>
    <row r="469" ht="270" spans="1:13">
      <c r="A469" s="1" t="s">
        <v>2057</v>
      </c>
      <c r="B469" s="1" t="s">
        <v>13</v>
      </c>
      <c r="C469" s="4" t="s">
        <v>2062</v>
      </c>
      <c r="D469" s="1" t="s">
        <v>2063</v>
      </c>
      <c r="E469" s="1" t="s">
        <v>1916</v>
      </c>
      <c r="F469" s="4" t="s">
        <v>17</v>
      </c>
      <c r="G469" s="1" t="s">
        <v>18</v>
      </c>
      <c r="H469" s="1" t="s">
        <v>19</v>
      </c>
      <c r="I469" s="1" t="s">
        <v>20</v>
      </c>
      <c r="J469" s="1" t="s">
        <v>2064</v>
      </c>
      <c r="K469" s="1" t="s">
        <v>22</v>
      </c>
      <c r="L469" s="1" t="str">
        <f>HYPERLINK("https://files.afu.se/Downloads/Transcripts/0%20-%20Government/USA%20-%20NASA%20Johnson/2019 07 05 - NASA Johnson - Space to Ground  On the Bubble  07 05 2019_y2nr6X1QN0g - transcript (automated).pdf","Transcript Link")</f>
        <v>Transcript Link</v>
      </c>
      <c r="M469" s="2" t="str">
        <f>HYPERLINK("https://files.afu.se/Downloads/Transcripts/0%20-%20Government/USA%20-%20NASA%20Johnson/2019 07 05 - NASA Johnson - Space to Ground  On the Bubble  07 05 2019_y2nr6X1QN0g - transcript (automated).pdf","Transcript Link")</f>
        <v>Transcript Link</v>
      </c>
    </row>
    <row r="470" ht="180" spans="1:13">
      <c r="A470" s="1" t="s">
        <v>2065</v>
      </c>
      <c r="B470" s="1" t="s">
        <v>13</v>
      </c>
      <c r="C470" s="4" t="s">
        <v>2066</v>
      </c>
      <c r="D470" s="1" t="s">
        <v>2067</v>
      </c>
      <c r="E470" s="1" t="s">
        <v>2068</v>
      </c>
      <c r="F470" s="4" t="s">
        <v>17</v>
      </c>
      <c r="G470" s="1" t="s">
        <v>18</v>
      </c>
      <c r="H470" s="1" t="s">
        <v>19</v>
      </c>
      <c r="I470" s="1" t="s">
        <v>20</v>
      </c>
      <c r="J470" s="1" t="s">
        <v>2069</v>
      </c>
      <c r="K470" s="1" t="s">
        <v>22</v>
      </c>
      <c r="L470" s="1" t="str">
        <f>HYPERLINK("https://files.afu.se/Downloads/Transcripts/0%20-%20Government/USA%20-%20NASA%20Johnson/2019 06 28 - NASA Johnson - Historic Mission Control_ZqK2zG8EWnY - transcript (automated).pdf","Transcript Link")</f>
        <v>Transcript Link</v>
      </c>
      <c r="M470" s="2" t="str">
        <f>HYPERLINK("https://files.afu.se/Downloads/Transcripts/0%20-%20Government/USA%20-%20NASA%20Johnson/2019 06 28 - NASA Johnson - Historic Mission Control_ZqK2zG8EWnY - transcript (automated).pdf","Transcript Link")</f>
        <v>Transcript Link</v>
      </c>
    </row>
    <row r="471" ht="270" spans="1:13">
      <c r="A471" s="1" t="s">
        <v>2065</v>
      </c>
      <c r="B471" s="1" t="s">
        <v>13</v>
      </c>
      <c r="C471" s="4" t="s">
        <v>2070</v>
      </c>
      <c r="D471" s="1" t="s">
        <v>2071</v>
      </c>
      <c r="E471" s="1" t="s">
        <v>1916</v>
      </c>
      <c r="F471" s="4" t="s">
        <v>17</v>
      </c>
      <c r="G471" s="1" t="s">
        <v>18</v>
      </c>
      <c r="H471" s="1" t="s">
        <v>19</v>
      </c>
      <c r="I471" s="1" t="s">
        <v>20</v>
      </c>
      <c r="J471" s="1" t="s">
        <v>2072</v>
      </c>
      <c r="K471" s="1" t="s">
        <v>22</v>
      </c>
      <c r="L471" s="1" t="str">
        <f>HYPERLINK("https://files.afu.se/Downloads/Transcripts/0%20-%20Government/USA%20-%20NASA%20Johnson/2019 06 28 - NASA Johnson - Space to Ground  Back on Terra Firma  06 28 2019_HvSz7DeeqSo - transcript (automated).pdf","Transcript Link")</f>
        <v>Transcript Link</v>
      </c>
      <c r="M471" s="2" t="str">
        <f>HYPERLINK("https://files.afu.se/Downloads/Transcripts/0%20-%20Government/USA%20-%20NASA%20Johnson/2019 06 28 - NASA Johnson - Space to Ground  Back on Terra Firma  06 28 2019_HvSz7DeeqSo - transcript (automated).pdf","Transcript Link")</f>
        <v>Transcript Link</v>
      </c>
    </row>
    <row r="472" ht="210" spans="1:13">
      <c r="A472" s="1" t="s">
        <v>2073</v>
      </c>
      <c r="B472" s="1" t="s">
        <v>13</v>
      </c>
      <c r="C472" s="4" t="s">
        <v>2074</v>
      </c>
      <c r="D472" s="1" t="s">
        <v>2075</v>
      </c>
      <c r="E472" s="1" t="s">
        <v>2076</v>
      </c>
      <c r="F472" s="4" t="s">
        <v>17</v>
      </c>
      <c r="G472" s="1" t="s">
        <v>18</v>
      </c>
      <c r="H472" s="1" t="s">
        <v>19</v>
      </c>
      <c r="I472" s="1" t="s">
        <v>20</v>
      </c>
      <c r="J472" s="1" t="s">
        <v>2077</v>
      </c>
      <c r="K472" s="1" t="s">
        <v>22</v>
      </c>
      <c r="L472" s="1" t="str">
        <f>HYPERLINK("https://files.afu.se/Downloads/Transcripts/0%20-%20Government/USA%20-%20NASA%20Johnson/2019 06 27 - NASA Johnson - Apollo Historic Mission Control Restoration Time-lapse_G4rrizQLmoo - transcript (automated).pdf","Transcript Link")</f>
        <v>Transcript Link</v>
      </c>
      <c r="M472" s="2" t="str">
        <f>HYPERLINK("https://files.afu.se/Downloads/Transcripts/0%20-%20Government/USA%20-%20NASA%20Johnson/2019 06 27 - NASA Johnson - Apollo Historic Mission Control Restoration Time-lapse_G4rrizQLmoo - transcript (automated).pdf","Transcript Link")</f>
        <v>Transcript Link</v>
      </c>
    </row>
    <row r="473" ht="180" spans="1:13">
      <c r="A473" s="1" t="s">
        <v>2073</v>
      </c>
      <c r="B473" s="1" t="s">
        <v>13</v>
      </c>
      <c r="C473" s="4" t="s">
        <v>2078</v>
      </c>
      <c r="D473" s="1" t="s">
        <v>2079</v>
      </c>
      <c r="E473" s="1" t="s">
        <v>2080</v>
      </c>
      <c r="F473" s="4" t="s">
        <v>17</v>
      </c>
      <c r="G473" s="1" t="s">
        <v>18</v>
      </c>
      <c r="H473" s="1" t="s">
        <v>19</v>
      </c>
      <c r="I473" s="1" t="s">
        <v>20</v>
      </c>
      <c r="J473" s="1" t="s">
        <v>2081</v>
      </c>
      <c r="K473" s="1" t="s">
        <v>22</v>
      </c>
      <c r="L473" s="1" t="str">
        <f>HYPERLINK("https://files.afu.se/Downloads/Transcripts/0%20-%20Government/USA%20-%20NASA%20Johnson/2019 06 27 - NASA Johnson - Apollo Mission Control Media B roll_fczAR0Hp7pw - transcript (automated).pdf","Transcript Link")</f>
        <v>Transcript Link</v>
      </c>
      <c r="M473" s="2" t="str">
        <f>HYPERLINK("https://files.afu.se/Downloads/Transcripts/0%20-%20Government/USA%20-%20NASA%20Johnson/2019 06 27 - NASA Johnson - Apollo Mission Control Media B roll_fczAR0Hp7pw - transcript (automated).pdf","Transcript Link")</f>
        <v>Transcript Link</v>
      </c>
    </row>
    <row r="474" ht="180" spans="1:13">
      <c r="A474" s="1" t="s">
        <v>2082</v>
      </c>
      <c r="B474" s="1" t="s">
        <v>13</v>
      </c>
      <c r="C474" s="4" t="s">
        <v>2083</v>
      </c>
      <c r="D474" s="1" t="s">
        <v>2084</v>
      </c>
      <c r="E474" s="1" t="s">
        <v>2085</v>
      </c>
      <c r="F474" s="4" t="s">
        <v>17</v>
      </c>
      <c r="G474" s="1" t="s">
        <v>18</v>
      </c>
      <c r="H474" s="1" t="s">
        <v>19</v>
      </c>
      <c r="I474" s="1" t="s">
        <v>20</v>
      </c>
      <c r="J474" s="1" t="s">
        <v>2086</v>
      </c>
      <c r="K474" s="1" t="s">
        <v>22</v>
      </c>
      <c r="L474" s="1" t="str">
        <f>HYPERLINK("https://files.afu.se/Downloads/Transcripts/0%20-%20Government/USA%20-%20NASA%20Johnson/2019 06 25 - NASA Johnson - Expedition 59 Crew Lands Safely in Kazakhstan_fw-jFxHn5WA - transcript (automated).pdf","Transcript Link")</f>
        <v>Transcript Link</v>
      </c>
      <c r="M474" s="2" t="str">
        <f>HYPERLINK("https://files.afu.se/Downloads/Transcripts/0%20-%20Government/USA%20-%20NASA%20Johnson/2019 06 25 - NASA Johnson - Expedition 59 Crew Lands Safely in Kazakhstan_fw-jFxHn5WA - transcript (automated).pdf","Transcript Link")</f>
        <v>Transcript Link</v>
      </c>
    </row>
    <row r="475" ht="180" spans="1:13">
      <c r="A475" s="1" t="s">
        <v>2087</v>
      </c>
      <c r="B475" s="1" t="s">
        <v>13</v>
      </c>
      <c r="C475" s="4" t="s">
        <v>2088</v>
      </c>
      <c r="D475" s="1" t="s">
        <v>2089</v>
      </c>
      <c r="E475" s="1" t="s">
        <v>2090</v>
      </c>
      <c r="F475" s="4" t="s">
        <v>17</v>
      </c>
      <c r="G475" s="1" t="s">
        <v>18</v>
      </c>
      <c r="H475" s="1" t="s">
        <v>19</v>
      </c>
      <c r="I475" s="1" t="s">
        <v>20</v>
      </c>
      <c r="J475" s="1" t="s">
        <v>2091</v>
      </c>
      <c r="K475" s="1" t="s">
        <v>22</v>
      </c>
      <c r="L475" s="1" t="str">
        <f>HYPERLINK("https://files.afu.se/Downloads/Transcripts/0%20-%20Government/USA%20-%20NASA%20Johnson/2019 06 23 - NASA Johnson - Space Station Research  Intersecting the Magical and the Technical_-L6AMwZDmhs - transcript (automated).pdf","Transcript Link")</f>
        <v>Transcript Link</v>
      </c>
      <c r="M475" s="2" t="str">
        <f>HYPERLINK("https://files.afu.se/Downloads/Transcripts/0%20-%20Government/USA%20-%20NASA%20Johnson/2019 06 23 - NASA Johnson - Space Station Research  Intersecting the Magical and the Technical_-L6AMwZDmhs - transcript (automated).pdf","Transcript Link")</f>
        <v>Transcript Link</v>
      </c>
    </row>
    <row r="476" ht="270" spans="1:13">
      <c r="A476" s="1" t="s">
        <v>2092</v>
      </c>
      <c r="B476" s="1" t="s">
        <v>13</v>
      </c>
      <c r="C476" s="4" t="s">
        <v>2093</v>
      </c>
      <c r="D476" s="1" t="s">
        <v>2094</v>
      </c>
      <c r="E476" s="1" t="s">
        <v>1916</v>
      </c>
      <c r="F476" s="4" t="s">
        <v>17</v>
      </c>
      <c r="G476" s="1" t="s">
        <v>18</v>
      </c>
      <c r="H476" s="1" t="s">
        <v>19</v>
      </c>
      <c r="I476" s="1" t="s">
        <v>20</v>
      </c>
      <c r="J476" s="1" t="s">
        <v>2095</v>
      </c>
      <c r="K476" s="1" t="s">
        <v>22</v>
      </c>
      <c r="L476" s="1" t="str">
        <f>HYPERLINK("https://files.afu.se/Downloads/Transcripts/0%20-%20Government/USA%20-%20NASA%20Johnson/2019 06 21 - NASA Johnson - Space to Ground  Tending the Hive  06 21 2019_13HJ62g4tPQ - transcript (automated).pdf","Transcript Link")</f>
        <v>Transcript Link</v>
      </c>
      <c r="M476" s="2" t="str">
        <f>HYPERLINK("https://files.afu.se/Downloads/Transcripts/0%20-%20Government/USA%20-%20NASA%20Johnson/2019 06 21 - NASA Johnson - Space to Ground  Tending the Hive  06 21 2019_13HJ62g4tPQ - transcript (automated).pdf","Transcript Link")</f>
        <v>Transcript Link</v>
      </c>
    </row>
    <row r="477" ht="330" spans="1:13">
      <c r="A477" s="1" t="s">
        <v>2096</v>
      </c>
      <c r="B477" s="1" t="s">
        <v>13</v>
      </c>
      <c r="C477" s="4" t="s">
        <v>2097</v>
      </c>
      <c r="D477" s="1" t="s">
        <v>2098</v>
      </c>
      <c r="E477" s="1" t="s">
        <v>2099</v>
      </c>
      <c r="F477" s="4" t="s">
        <v>17</v>
      </c>
      <c r="G477" s="1" t="s">
        <v>18</v>
      </c>
      <c r="H477" s="1" t="s">
        <v>19</v>
      </c>
      <c r="I477" s="1" t="s">
        <v>20</v>
      </c>
      <c r="J477" s="1" t="s">
        <v>2100</v>
      </c>
      <c r="K477" s="1" t="s">
        <v>22</v>
      </c>
      <c r="L477" s="1" t="str">
        <f>HYPERLINK("https://files.afu.se/Downloads/Transcripts/0%20-%20Government/USA%20-%20NASA%20Johnson/2019 06 20 - NASA Johnson - Breathing for the Sake of Science_Ol7foiNEAXo - transcript (automated).pdf","Transcript Link")</f>
        <v>Transcript Link</v>
      </c>
      <c r="M477" s="2" t="str">
        <f>HYPERLINK("https://files.afu.se/Downloads/Transcripts/0%20-%20Government/USA%20-%20NASA%20Johnson/2019 06 20 - NASA Johnson - Breathing for the Sake of Science_Ol7foiNEAXo - transcript (automated).pdf","Transcript Link")</f>
        <v>Transcript Link</v>
      </c>
    </row>
    <row r="478" ht="270" spans="1:13">
      <c r="A478" s="1" t="s">
        <v>2101</v>
      </c>
      <c r="B478" s="1" t="s">
        <v>13</v>
      </c>
      <c r="C478" s="4" t="s">
        <v>2102</v>
      </c>
      <c r="D478" s="1" t="s">
        <v>2103</v>
      </c>
      <c r="E478" s="1" t="s">
        <v>1916</v>
      </c>
      <c r="F478" s="4" t="s">
        <v>17</v>
      </c>
      <c r="G478" s="1" t="s">
        <v>18</v>
      </c>
      <c r="H478" s="1" t="s">
        <v>19</v>
      </c>
      <c r="I478" s="1" t="s">
        <v>20</v>
      </c>
      <c r="J478" s="1" t="s">
        <v>2104</v>
      </c>
      <c r="K478" s="1" t="s">
        <v>22</v>
      </c>
      <c r="L478" s="1" t="str">
        <f>HYPERLINK("https://files.afu.se/Downloads/Transcripts/0%20-%20Government/USA%20-%20NASA%20Johnson/2019 06 14 - NASA Johnson - Space to Ground  Open for Business  06 14 2019_VVSGBneN9tk - transcript (automated).pdf","Transcript Link")</f>
        <v>Transcript Link</v>
      </c>
      <c r="M478" s="2" t="str">
        <f>HYPERLINK("https://files.afu.se/Downloads/Transcripts/0%20-%20Government/USA%20-%20NASA%20Johnson/2019 06 14 - NASA Johnson - Space to Ground  Open for Business  06 14 2019_VVSGBneN9tk - transcript (automated).pdf","Transcript Link")</f>
        <v>Transcript Link</v>
      </c>
    </row>
    <row r="479" ht="270" spans="1:13">
      <c r="A479" s="1" t="s">
        <v>2105</v>
      </c>
      <c r="B479" s="1" t="s">
        <v>13</v>
      </c>
      <c r="C479" s="4" t="s">
        <v>2106</v>
      </c>
      <c r="D479" s="1" t="s">
        <v>2107</v>
      </c>
      <c r="E479" s="1" t="s">
        <v>1916</v>
      </c>
      <c r="F479" s="4" t="s">
        <v>17</v>
      </c>
      <c r="G479" s="1" t="s">
        <v>18</v>
      </c>
      <c r="H479" s="1" t="s">
        <v>19</v>
      </c>
      <c r="I479" s="1" t="s">
        <v>20</v>
      </c>
      <c r="J479" s="1" t="s">
        <v>2108</v>
      </c>
      <c r="K479" s="1" t="s">
        <v>22</v>
      </c>
      <c r="L479" s="1" t="str">
        <f>HYPERLINK("https://files.afu.se/Downloads/Transcripts/0%20-%20Government/USA%20-%20NASA%20Johnson/2019 06 07 - NASA Johnson - Space to Ground  Release the Dragon  06 07 2019_mLQn0hI7CC0 - transcript (automated).pdf","Transcript Link")</f>
        <v>Transcript Link</v>
      </c>
      <c r="M479" s="2" t="str">
        <f>HYPERLINK("https://files.afu.se/Downloads/Transcripts/0%20-%20Government/USA%20-%20NASA%20Johnson/2019 06 07 - NASA Johnson - Space to Ground  Release the Dragon  06 07 2019_mLQn0hI7CC0 - transcript (automated).pdf","Transcript Link")</f>
        <v>Transcript Link</v>
      </c>
    </row>
    <row r="480" ht="270" spans="1:13">
      <c r="A480" s="1" t="s">
        <v>2109</v>
      </c>
      <c r="B480" s="1" t="s">
        <v>13</v>
      </c>
      <c r="C480" s="4" t="s">
        <v>2110</v>
      </c>
      <c r="D480" s="1" t="s">
        <v>2111</v>
      </c>
      <c r="E480" s="1" t="s">
        <v>1916</v>
      </c>
      <c r="F480" s="4" t="s">
        <v>17</v>
      </c>
      <c r="G480" s="1" t="s">
        <v>18</v>
      </c>
      <c r="H480" s="1" t="s">
        <v>19</v>
      </c>
      <c r="I480" s="1" t="s">
        <v>20</v>
      </c>
      <c r="J480" s="1" t="s">
        <v>2112</v>
      </c>
      <c r="K480" s="1" t="s">
        <v>22</v>
      </c>
      <c r="L480" s="1" t="str">
        <f>HYPERLINK("https://files.afu.se/Downloads/Transcripts/0%20-%20Government/USA%20-%20NASA%20Johnson/2019 05 31 - NASA Johnson - Space to Ground  Saluting an Icon  05 31 2019_ov_O0wyMFVA - transcript (automated).pdf","Transcript Link")</f>
        <v>Transcript Link</v>
      </c>
      <c r="M480" s="2" t="str">
        <f>HYPERLINK("https://files.afu.se/Downloads/Transcripts/0%20-%20Government/USA%20-%20NASA%20Johnson/2019 05 31 - NASA Johnson - Space to Ground  Saluting an Icon  05 31 2019_ov_O0wyMFVA - transcript (automated).pdf","Transcript Link")</f>
        <v>Transcript Link</v>
      </c>
    </row>
    <row r="481" ht="270" spans="1:13">
      <c r="A481" s="1" t="s">
        <v>2113</v>
      </c>
      <c r="B481" s="1" t="s">
        <v>13</v>
      </c>
      <c r="C481" s="4" t="s">
        <v>2114</v>
      </c>
      <c r="D481" s="1" t="s">
        <v>2115</v>
      </c>
      <c r="E481" s="1" t="s">
        <v>1916</v>
      </c>
      <c r="F481" s="4" t="s">
        <v>17</v>
      </c>
      <c r="G481" s="1" t="s">
        <v>18</v>
      </c>
      <c r="H481" s="1" t="s">
        <v>19</v>
      </c>
      <c r="I481" s="1" t="s">
        <v>20</v>
      </c>
      <c r="J481" s="1" t="s">
        <v>2116</v>
      </c>
      <c r="K481" s="1" t="s">
        <v>22</v>
      </c>
      <c r="L481" s="1" t="str">
        <f>HYPERLINK("https://files.afu.se/Downloads/Transcripts/0%20-%20Government/USA%20-%20NASA%20Johnson/2019 05 24 - NASA Johnson - Space to Ground  The ABC's of DNA  05 24 2019_t5ps88groLs - transcript (automated).pdf","Transcript Link")</f>
        <v>Transcript Link</v>
      </c>
      <c r="M481" s="2" t="str">
        <f>HYPERLINK("https://files.afu.se/Downloads/Transcripts/0%20-%20Government/USA%20-%20NASA%20Johnson/2019 05 24 - NASA Johnson - Space to Ground  The ABC's of DNA  05 24 2019_t5ps88groLs - transcript (automated).pdf","Transcript Link")</f>
        <v>Transcript Link</v>
      </c>
    </row>
    <row r="482" ht="210" spans="1:13">
      <c r="A482" s="1" t="s">
        <v>2117</v>
      </c>
      <c r="B482" s="1" t="s">
        <v>13</v>
      </c>
      <c r="C482" s="4" t="s">
        <v>2118</v>
      </c>
      <c r="D482" s="1" t="s">
        <v>2119</v>
      </c>
      <c r="E482" s="1" t="s">
        <v>2120</v>
      </c>
      <c r="F482" s="4" t="s">
        <v>17</v>
      </c>
      <c r="G482" s="1" t="s">
        <v>18</v>
      </c>
      <c r="H482" s="1" t="s">
        <v>19</v>
      </c>
      <c r="I482" s="1" t="s">
        <v>20</v>
      </c>
      <c r="J482" s="1" t="s">
        <v>2121</v>
      </c>
      <c r="K482" s="1" t="s">
        <v>22</v>
      </c>
      <c r="L482" s="1" t="str">
        <f>HYPERLINK("https://files.afu.se/Downloads/Transcripts/0%20-%20Government/USA%20-%20NASA%20Johnson/2019 05 17 - NASA Johnson - Spot the Station_CJffqAQpq9g - transcript (automated).pdf","Transcript Link")</f>
        <v>Transcript Link</v>
      </c>
      <c r="M482" s="2" t="str">
        <f>HYPERLINK("https://files.afu.se/Downloads/Transcripts/0%20-%20Government/USA%20-%20NASA%20Johnson/2019 05 17 - NASA Johnson - Spot the Station_CJffqAQpq9g - transcript (automated).pdf","Transcript Link")</f>
        <v>Transcript Link</v>
      </c>
    </row>
    <row r="483" ht="270" spans="1:13">
      <c r="A483" s="1" t="s">
        <v>2117</v>
      </c>
      <c r="B483" s="1" t="s">
        <v>13</v>
      </c>
      <c r="C483" s="4" t="s">
        <v>2122</v>
      </c>
      <c r="D483" s="1" t="s">
        <v>2123</v>
      </c>
      <c r="E483" s="1" t="s">
        <v>1916</v>
      </c>
      <c r="F483" s="4" t="s">
        <v>17</v>
      </c>
      <c r="G483" s="1" t="s">
        <v>18</v>
      </c>
      <c r="H483" s="1" t="s">
        <v>19</v>
      </c>
      <c r="I483" s="1" t="s">
        <v>20</v>
      </c>
      <c r="J483" s="1" t="s">
        <v>2124</v>
      </c>
      <c r="K483" s="1" t="s">
        <v>22</v>
      </c>
      <c r="L483" s="1" t="str">
        <f>HYPERLINK("https://files.afu.se/Downloads/Transcripts/0%20-%20Government/USA%20-%20NASA%20Johnson/2019 05 17 - NASA Johnson - Space to Ground  Watching the Earth Breathe  05 17 2019_F-CzttBEb_Y - transcript (automated).pdf","Transcript Link")</f>
        <v>Transcript Link</v>
      </c>
      <c r="M483" s="2" t="str">
        <f>HYPERLINK("https://files.afu.se/Downloads/Transcripts/0%20-%20Government/USA%20-%20NASA%20Johnson/2019 05 17 - NASA Johnson - Space to Ground  Watching the Earth Breathe  05 17 2019_F-CzttBEb_Y - transcript (automated).pdf","Transcript Link")</f>
        <v>Transcript Link</v>
      </c>
    </row>
    <row r="484" ht="360" spans="1:13">
      <c r="A484" s="1" t="s">
        <v>2125</v>
      </c>
      <c r="B484" s="1" t="s">
        <v>13</v>
      </c>
      <c r="C484" s="4" t="s">
        <v>2126</v>
      </c>
      <c r="D484" s="1" t="s">
        <v>2127</v>
      </c>
      <c r="E484" s="1" t="s">
        <v>2128</v>
      </c>
      <c r="F484" s="4" t="s">
        <v>17</v>
      </c>
      <c r="G484" s="1" t="s">
        <v>18</v>
      </c>
      <c r="H484" s="1" t="s">
        <v>19</v>
      </c>
      <c r="I484" s="1" t="s">
        <v>20</v>
      </c>
      <c r="J484" s="1" t="s">
        <v>2129</v>
      </c>
      <c r="K484" s="1" t="s">
        <v>22</v>
      </c>
      <c r="L484" s="1" t="str">
        <f>HYPERLINK("https://files.afu.se/Downloads/Transcripts/0%20-%20Government/USA%20-%20NASA%20Johnson/2019 05 10 - NASA Johnson - Preparing America for Deep Space - Episode21 – Backbone of Lunar Exploration__xAwDYXiVZk - transcript (automated).pdf","Transcript Link")</f>
        <v>Transcript Link</v>
      </c>
      <c r="M484" s="2" t="str">
        <f>HYPERLINK("https://files.afu.se/Downloads/Transcripts/0%20-%20Government/USA%20-%20NASA%20Johnson/2019 05 10 - NASA Johnson - Preparing America for Deep Space - Episode21 – Backbone of Lunar Exploration__xAwDYXiVZk - transcript (automated).pdf","Transcript Link")</f>
        <v>Transcript Link</v>
      </c>
    </row>
    <row r="485" ht="270" spans="1:13">
      <c r="A485" s="1" t="s">
        <v>2125</v>
      </c>
      <c r="B485" s="1" t="s">
        <v>13</v>
      </c>
      <c r="C485" s="4" t="s">
        <v>2130</v>
      </c>
      <c r="D485" s="1" t="s">
        <v>2131</v>
      </c>
      <c r="E485" s="1" t="s">
        <v>2132</v>
      </c>
      <c r="F485" s="4" t="s">
        <v>17</v>
      </c>
      <c r="G485" s="1" t="s">
        <v>18</v>
      </c>
      <c r="H485" s="1" t="s">
        <v>19</v>
      </c>
      <c r="I485" s="1" t="s">
        <v>20</v>
      </c>
      <c r="J485" s="1" t="s">
        <v>2133</v>
      </c>
      <c r="K485" s="1" t="s">
        <v>22</v>
      </c>
      <c r="L485" s="1" t="str">
        <f>HYPERLINK("https://files.afu.se/Downloads/Transcripts/0%20-%20Government/USA%20-%20NASA%20Johnson/2019 05 10 - NASA Johnson - Space to Ground  Reservations for Seven  05 10 2019_HVTZNb-uTf0 - transcript (automated).pdf","Transcript Link")</f>
        <v>Transcript Link</v>
      </c>
      <c r="M485" s="2" t="str">
        <f>HYPERLINK("https://files.afu.se/Downloads/Transcripts/0%20-%20Government/USA%20-%20NASA%20Johnson/2019 05 10 - NASA Johnson - Space to Ground  Reservations for Seven  05 10 2019_HVTZNb-uTf0 - transcript (automated).pdf","Transcript Link")</f>
        <v>Transcript Link</v>
      </c>
    </row>
    <row r="486" ht="180" spans="1:13">
      <c r="A486" s="1" t="s">
        <v>2134</v>
      </c>
      <c r="B486" s="1" t="s">
        <v>13</v>
      </c>
      <c r="C486" s="4" t="s">
        <v>2135</v>
      </c>
      <c r="D486" s="1" t="s">
        <v>2136</v>
      </c>
      <c r="E486" s="1" t="s">
        <v>2137</v>
      </c>
      <c r="F486" s="4" t="s">
        <v>17</v>
      </c>
      <c r="G486" s="1" t="s">
        <v>18</v>
      </c>
      <c r="H486" s="1" t="s">
        <v>19</v>
      </c>
      <c r="I486" s="1" t="s">
        <v>20</v>
      </c>
      <c r="J486" s="1" t="s">
        <v>2138</v>
      </c>
      <c r="K486" s="1" t="s">
        <v>22</v>
      </c>
      <c r="L486" s="1" t="str">
        <f>HYPERLINK("https://files.afu.se/Downloads/Transcripts/0%20-%20Government/USA%20-%20NASA%20Johnson/2019 05 09 - NASA Johnson - So You Want to Go to Mars   Episode 4   How Does NASA's History Help Future Exploration _tZupyfyfyl0 - transcript (automated).pdf","Transcript Link")</f>
        <v>Transcript Link</v>
      </c>
      <c r="M486" s="2" t="str">
        <f>HYPERLINK("https://files.afu.se/Downloads/Transcripts/0%20-%20Government/USA%20-%20NASA%20Johnson/2019 05 09 - NASA Johnson - So You Want to Go to Mars   Episode 4   How Does NASA's History Help Future Exploration _tZupyfyfyl0 - transcript (automated).pdf","Transcript Link")</f>
        <v>Transcript Link</v>
      </c>
    </row>
    <row r="487" ht="225" spans="1:13">
      <c r="A487" s="1" t="s">
        <v>2139</v>
      </c>
      <c r="B487" s="1" t="s">
        <v>13</v>
      </c>
      <c r="C487" s="4" t="s">
        <v>2140</v>
      </c>
      <c r="D487" s="1" t="s">
        <v>2141</v>
      </c>
      <c r="E487" s="1" t="s">
        <v>2142</v>
      </c>
      <c r="F487" s="4" t="s">
        <v>17</v>
      </c>
      <c r="G487" s="1" t="s">
        <v>18</v>
      </c>
      <c r="H487" s="1" t="s">
        <v>19</v>
      </c>
      <c r="I487" s="1" t="s">
        <v>20</v>
      </c>
      <c r="J487" s="1" t="s">
        <v>2143</v>
      </c>
      <c r="K487" s="1" t="s">
        <v>22</v>
      </c>
      <c r="L487" s="1" t="str">
        <f>HYPERLINK("https://files.afu.se/Downloads/Transcripts/0%20-%20Government/USA%20-%20NASA%20Johnson/2019 05 06 - NASA Johnson - Expedition 59 SpaceX CRS 17 Installation May 6, 2019_SGxGiD6rI9w - transcript (automated).pdf","Transcript Link")</f>
        <v>Transcript Link</v>
      </c>
      <c r="M487" s="2" t="str">
        <f>HYPERLINK("https://files.afu.se/Downloads/Transcripts/0%20-%20Government/USA%20-%20NASA%20Johnson/2019 05 06 - NASA Johnson - Expedition 59 SpaceX CRS 17 Installation May 6, 2019_SGxGiD6rI9w - transcript (automated).pdf","Transcript Link")</f>
        <v>Transcript Link</v>
      </c>
    </row>
    <row r="488" ht="270" spans="1:13">
      <c r="A488" s="1" t="s">
        <v>2144</v>
      </c>
      <c r="B488" s="1" t="s">
        <v>13</v>
      </c>
      <c r="C488" s="4" t="s">
        <v>2145</v>
      </c>
      <c r="D488" s="1" t="s">
        <v>2146</v>
      </c>
      <c r="E488" s="1" t="s">
        <v>2147</v>
      </c>
      <c r="F488" s="4" t="s">
        <v>17</v>
      </c>
      <c r="G488" s="1" t="s">
        <v>18</v>
      </c>
      <c r="H488" s="1" t="s">
        <v>19</v>
      </c>
      <c r="I488" s="1" t="s">
        <v>20</v>
      </c>
      <c r="J488" s="1" t="s">
        <v>2148</v>
      </c>
      <c r="K488" s="1" t="s">
        <v>22</v>
      </c>
      <c r="L488" s="1" t="str">
        <f>HYPERLINK("https://files.afu.se/Downloads/Transcripts/0%20-%20Government/USA%20-%20NASA%20Johnson/2019 05 03 - NASA Johnson - Space to Ground  The Droids You're Looking For  05 03 2019_c27zrOh6qkY - transcript (automated).pdf","Transcript Link")</f>
        <v>Transcript Link</v>
      </c>
      <c r="M488" s="2" t="str">
        <f>HYPERLINK("https://files.afu.se/Downloads/Transcripts/0%20-%20Government/USA%20-%20NASA%20Johnson/2019 05 03 - NASA Johnson - Space to Ground  The Droids You're Looking For  05 03 2019_c27zrOh6qkY - transcript (automated).pdf","Transcript Link")</f>
        <v>Transcript Link</v>
      </c>
    </row>
    <row r="489" ht="375" spans="1:13">
      <c r="A489" s="1" t="s">
        <v>2149</v>
      </c>
      <c r="B489" s="1" t="s">
        <v>13</v>
      </c>
      <c r="C489" s="4" t="s">
        <v>2150</v>
      </c>
      <c r="D489" s="1" t="s">
        <v>2151</v>
      </c>
      <c r="E489" s="1" t="s">
        <v>2152</v>
      </c>
      <c r="F489" s="4" t="s">
        <v>17</v>
      </c>
      <c r="G489" s="1" t="s">
        <v>18</v>
      </c>
      <c r="H489" s="1" t="s">
        <v>19</v>
      </c>
      <c r="I489" s="1" t="s">
        <v>20</v>
      </c>
      <c r="J489" s="1" t="s">
        <v>2153</v>
      </c>
      <c r="K489" s="1" t="s">
        <v>22</v>
      </c>
      <c r="L489" s="1" t="str">
        <f>HYPERLINK("https://files.afu.se/Downloads/Transcripts/0%20-%20Government/USA%20-%20NASA%20Johnson/2019 04 30 - NASA Johnson - Earth Views from the International Space Station_dcsiIoQody4 - transcript (automated).pdf","Transcript Link")</f>
        <v>Transcript Link</v>
      </c>
      <c r="M489" s="2" t="str">
        <f>HYPERLINK("https://files.afu.se/Downloads/Transcripts/0%20-%20Government/USA%20-%20NASA%20Johnson/2019 04 30 - NASA Johnson - Earth Views from the International Space Station_dcsiIoQody4 - transcript (automated).pdf","Transcript Link")</f>
        <v>Transcript Link</v>
      </c>
    </row>
    <row r="490" ht="270" spans="1:13">
      <c r="A490" s="1" t="s">
        <v>2154</v>
      </c>
      <c r="B490" s="1" t="s">
        <v>13</v>
      </c>
      <c r="C490" s="4" t="s">
        <v>2155</v>
      </c>
      <c r="D490" s="1" t="s">
        <v>2156</v>
      </c>
      <c r="E490" s="1" t="s">
        <v>2147</v>
      </c>
      <c r="F490" s="4" t="s">
        <v>17</v>
      </c>
      <c r="G490" s="1" t="s">
        <v>18</v>
      </c>
      <c r="H490" s="1" t="s">
        <v>19</v>
      </c>
      <c r="I490" s="1" t="s">
        <v>20</v>
      </c>
      <c r="J490" s="1" t="s">
        <v>2157</v>
      </c>
      <c r="K490" s="1" t="s">
        <v>22</v>
      </c>
      <c r="L490" s="1" t="str">
        <f>HYPERLINK("https://files.afu.se/Downloads/Transcripts/0%20-%20Government/USA%20-%20NASA%20Johnson/2019 04 26 - NASA Johnson - Space to Ground  Extreme Exposure  04 26 2019_orWZ1BXRg_Y - transcript (automated).pdf","Transcript Link")</f>
        <v>Transcript Link</v>
      </c>
      <c r="M490" s="2" t="str">
        <f>HYPERLINK("https://files.afu.se/Downloads/Transcripts/0%20-%20Government/USA%20-%20NASA%20Johnson/2019 04 26 - NASA Johnson - Space to Ground  Extreme Exposure  04 26 2019_orWZ1BXRg_Y - transcript (automated).pdf","Transcript Link")</f>
        <v>Transcript Link</v>
      </c>
    </row>
    <row r="491" ht="270" spans="1:13">
      <c r="A491" s="1" t="s">
        <v>2158</v>
      </c>
      <c r="B491" s="1" t="s">
        <v>13</v>
      </c>
      <c r="C491" s="4" t="s">
        <v>2159</v>
      </c>
      <c r="D491" s="1" t="s">
        <v>2160</v>
      </c>
      <c r="E491" s="1" t="s">
        <v>2147</v>
      </c>
      <c r="F491" s="4" t="s">
        <v>17</v>
      </c>
      <c r="G491" s="1" t="s">
        <v>18</v>
      </c>
      <c r="H491" s="1" t="s">
        <v>19</v>
      </c>
      <c r="I491" s="1" t="s">
        <v>20</v>
      </c>
      <c r="J491" s="1" t="s">
        <v>2161</v>
      </c>
      <c r="K491" s="1" t="s">
        <v>22</v>
      </c>
      <c r="L491" s="1" t="str">
        <f>HYPERLINK("https://files.afu.se/Downloads/Transcripts/0%20-%20Government/USA%20-%20NASA%20Johnson/2019 04 19 - NASA Johnson - Space to Ground  Marathon Mission  04 19 2019_pJXSxS8dA1s - transcript (automated).pdf","Transcript Link")</f>
        <v>Transcript Link</v>
      </c>
      <c r="M491" s="2" t="str">
        <f>HYPERLINK("https://files.afu.se/Downloads/Transcripts/0%20-%20Government/USA%20-%20NASA%20Johnson/2019 04 19 - NASA Johnson - Space to Ground  Marathon Mission  04 19 2019_pJXSxS8dA1s - transcript (automated).pdf","Transcript Link")</f>
        <v>Transcript Link</v>
      </c>
    </row>
    <row r="492" ht="210" spans="1:13">
      <c r="A492" s="1" t="s">
        <v>2162</v>
      </c>
      <c r="B492" s="1" t="s">
        <v>13</v>
      </c>
      <c r="C492" s="4" t="s">
        <v>2163</v>
      </c>
      <c r="D492" s="1" t="s">
        <v>2164</v>
      </c>
      <c r="E492" s="1" t="s">
        <v>2165</v>
      </c>
      <c r="F492" s="4" t="s">
        <v>17</v>
      </c>
      <c r="G492" s="1" t="s">
        <v>18</v>
      </c>
      <c r="H492" s="1" t="s">
        <v>19</v>
      </c>
      <c r="I492" s="1" t="s">
        <v>20</v>
      </c>
      <c r="J492" s="1" t="s">
        <v>2166</v>
      </c>
      <c r="K492" s="1" t="s">
        <v>22</v>
      </c>
      <c r="L492" s="1" t="str">
        <f>HYPERLINK("https://files.afu.se/Downloads/Transcripts/0%20-%20Government/USA%20-%20NASA%20Johnson/2019 04 18 - NASA Johnson - Highlights of Science Launching on SpaceX CRS-17_XI9bgWEwv8c - transcript (automated).pdf","Transcript Link")</f>
        <v>Transcript Link</v>
      </c>
      <c r="M492" s="2" t="str">
        <f>HYPERLINK("https://files.afu.se/Downloads/Transcripts/0%20-%20Government/USA%20-%20NASA%20Johnson/2019 04 18 - NASA Johnson - Highlights of Science Launching on SpaceX CRS-17_XI9bgWEwv8c - transcript (automated).pdf","Transcript Link")</f>
        <v>Transcript Link</v>
      </c>
    </row>
    <row r="493" ht="270" spans="1:13">
      <c r="A493" s="1" t="s">
        <v>2167</v>
      </c>
      <c r="B493" s="1" t="s">
        <v>13</v>
      </c>
      <c r="C493" s="4" t="s">
        <v>2168</v>
      </c>
      <c r="D493" s="1" t="s">
        <v>2169</v>
      </c>
      <c r="E493" s="1" t="s">
        <v>2147</v>
      </c>
      <c r="F493" s="4" t="s">
        <v>17</v>
      </c>
      <c r="G493" s="1" t="s">
        <v>18</v>
      </c>
      <c r="H493" s="1" t="s">
        <v>19</v>
      </c>
      <c r="I493" s="1" t="s">
        <v>20</v>
      </c>
      <c r="J493" s="1" t="s">
        <v>2170</v>
      </c>
      <c r="K493" s="1" t="s">
        <v>22</v>
      </c>
      <c r="L493" s="1" t="str">
        <f>HYPERLINK("https://files.afu.se/Downloads/Transcripts/0%20-%20Government/USA%20-%20NASA%20Johnson/2019 04 12 - NASA Johnson - Space to Ground  Extended Duration  04 12 2019_H-UVSIIgxRw - transcript (automated).pdf","Transcript Link")</f>
        <v>Transcript Link</v>
      </c>
      <c r="M493" s="2" t="str">
        <f>HYPERLINK("https://files.afu.se/Downloads/Transcripts/0%20-%20Government/USA%20-%20NASA%20Johnson/2019 04 12 - NASA Johnson - Space to Ground  Extended Duration  04 12 2019_H-UVSIIgxRw - transcript (automated).pdf","Transcript Link")</f>
        <v>Transcript Link</v>
      </c>
    </row>
    <row r="494" ht="255" spans="1:13">
      <c r="A494" s="1" t="s">
        <v>2167</v>
      </c>
      <c r="B494" s="1" t="s">
        <v>13</v>
      </c>
      <c r="C494" s="4" t="s">
        <v>2171</v>
      </c>
      <c r="D494" s="1" t="s">
        <v>2172</v>
      </c>
      <c r="E494" s="1" t="s">
        <v>2173</v>
      </c>
      <c r="F494" s="4" t="s">
        <v>17</v>
      </c>
      <c r="G494" s="1" t="s">
        <v>18</v>
      </c>
      <c r="H494" s="1" t="s">
        <v>19</v>
      </c>
      <c r="I494" s="1" t="s">
        <v>20</v>
      </c>
      <c r="J494" s="1" t="s">
        <v>2174</v>
      </c>
      <c r="K494" s="1" t="s">
        <v>22</v>
      </c>
      <c r="L494" s="1" t="str">
        <f>HYPERLINK("https://files.afu.se/Downloads/Transcripts/0%20-%20Government/USA%20-%20NASA%20Johnson/2019 04 12 - NASA Johnson - STEMonstrations  Spacewalk Part 2  Spacesuits_xv3uSmMBPPw - transcript (automated).pdf","Transcript Link")</f>
        <v>Transcript Link</v>
      </c>
      <c r="M494" s="2" t="str">
        <f>HYPERLINK("https://files.afu.se/Downloads/Transcripts/0%20-%20Government/USA%20-%20NASA%20Johnson/2019 04 12 - NASA Johnson - STEMonstrations  Spacewalk Part 2  Spacesuits_xv3uSmMBPPw - transcript (automated).pdf","Transcript Link")</f>
        <v>Transcript Link</v>
      </c>
    </row>
    <row r="495" ht="315" spans="1:13">
      <c r="A495" s="1" t="s">
        <v>2167</v>
      </c>
      <c r="B495" s="1" t="s">
        <v>13</v>
      </c>
      <c r="C495" s="4" t="s">
        <v>2175</v>
      </c>
      <c r="D495" s="1" t="s">
        <v>2176</v>
      </c>
      <c r="E495" s="1" t="s">
        <v>2177</v>
      </c>
      <c r="F495" s="4" t="s">
        <v>17</v>
      </c>
      <c r="G495" s="1" t="s">
        <v>18</v>
      </c>
      <c r="H495" s="1" t="s">
        <v>19</v>
      </c>
      <c r="I495" s="1" t="s">
        <v>20</v>
      </c>
      <c r="J495" s="1" t="s">
        <v>2178</v>
      </c>
      <c r="K495" s="1" t="s">
        <v>22</v>
      </c>
      <c r="L495" s="1" t="str">
        <f>HYPERLINK("https://files.afu.se/Downloads/Transcripts/0%20-%20Government/USA%20-%20NASA%20Johnson/2019 04 12 - NASA Johnson - STEMonstrations  Spacewalk Part 1  Safety and Training_J8xmbMZEXBk - transcript (automated).pdf","Transcript Link")</f>
        <v>Transcript Link</v>
      </c>
      <c r="M495" s="2" t="str">
        <f>HYPERLINK("https://files.afu.se/Downloads/Transcripts/0%20-%20Government/USA%20-%20NASA%20Johnson/2019 04 12 - NASA Johnson - STEMonstrations  Spacewalk Part 1  Safety and Training_J8xmbMZEXBk - transcript (automated).pdf","Transcript Link")</f>
        <v>Transcript Link</v>
      </c>
    </row>
    <row r="496" ht="270" spans="1:13">
      <c r="A496" s="1" t="s">
        <v>2179</v>
      </c>
      <c r="B496" s="1" t="s">
        <v>13</v>
      </c>
      <c r="C496" s="4" t="s">
        <v>2180</v>
      </c>
      <c r="D496" s="1" t="s">
        <v>2181</v>
      </c>
      <c r="E496" s="1" t="s">
        <v>2182</v>
      </c>
      <c r="F496" s="4" t="s">
        <v>17</v>
      </c>
      <c r="G496" s="1" t="s">
        <v>18</v>
      </c>
      <c r="H496" s="1" t="s">
        <v>19</v>
      </c>
      <c r="I496" s="1" t="s">
        <v>20</v>
      </c>
      <c r="J496" s="1" t="s">
        <v>2183</v>
      </c>
      <c r="K496" s="1" t="s">
        <v>22</v>
      </c>
      <c r="L496" s="1" t="str">
        <f>HYPERLINK("https://files.afu.se/Downloads/Transcripts/0%20-%20Government/USA%20-%20NASA%20Johnson/2019 04 09 - NASA Johnson - Science on the Space Station  Women's History Month Edition_bSqrmRE5g3Y - transcript (automated).pdf","Transcript Link")</f>
        <v>Transcript Link</v>
      </c>
      <c r="M496" s="2" t="str">
        <f>HYPERLINK("https://files.afu.se/Downloads/Transcripts/0%20-%20Government/USA%20-%20NASA%20Johnson/2019 04 09 - NASA Johnson - Science on the Space Station  Women's History Month Edition_bSqrmRE5g3Y - transcript (automated).pdf","Transcript Link")</f>
        <v>Transcript Link</v>
      </c>
    </row>
    <row r="497" ht="210" spans="1:13">
      <c r="A497" s="1" t="s">
        <v>2179</v>
      </c>
      <c r="B497" s="1" t="s">
        <v>13</v>
      </c>
      <c r="C497" s="4" t="s">
        <v>2184</v>
      </c>
      <c r="D497" s="1" t="s">
        <v>2185</v>
      </c>
      <c r="E497" s="1" t="s">
        <v>2186</v>
      </c>
      <c r="F497" s="4" t="s">
        <v>17</v>
      </c>
      <c r="G497" s="1" t="s">
        <v>18</v>
      </c>
      <c r="H497" s="1" t="s">
        <v>19</v>
      </c>
      <c r="I497" s="1" t="s">
        <v>20</v>
      </c>
      <c r="J497" s="1" t="s">
        <v>2187</v>
      </c>
      <c r="K497" s="1" t="s">
        <v>22</v>
      </c>
      <c r="L497" s="1" t="str">
        <f>HYPERLINK("https://files.afu.se/Downloads/Transcripts/0%20-%20Government/USA%20-%20NASA%20Johnson/2019 04 09 - NASA Johnson - Scientific Investigations Set for Space on NG CRS-11_GqRITyuIojY - transcript (automated).pdf","Transcript Link")</f>
        <v>Transcript Link</v>
      </c>
      <c r="M497" s="2" t="str">
        <f>HYPERLINK("https://files.afu.se/Downloads/Transcripts/0%20-%20Government/USA%20-%20NASA%20Johnson/2019 04 09 - NASA Johnson - Scientific Investigations Set for Space on NG CRS-11_GqRITyuIojY - transcript (automated).pdf","Transcript Link")</f>
        <v>Transcript Link</v>
      </c>
    </row>
    <row r="498" ht="270" spans="1:13">
      <c r="A498" s="1" t="s">
        <v>2188</v>
      </c>
      <c r="B498" s="1" t="s">
        <v>13</v>
      </c>
      <c r="C498" s="4" t="s">
        <v>2189</v>
      </c>
      <c r="D498" s="1" t="s">
        <v>2190</v>
      </c>
      <c r="E498" s="1" t="s">
        <v>2147</v>
      </c>
      <c r="F498" s="4" t="s">
        <v>17</v>
      </c>
      <c r="G498" s="1" t="s">
        <v>18</v>
      </c>
      <c r="H498" s="1" t="s">
        <v>19</v>
      </c>
      <c r="I498" s="1" t="s">
        <v>20</v>
      </c>
      <c r="J498" s="1" t="s">
        <v>2191</v>
      </c>
      <c r="K498" s="1" t="s">
        <v>22</v>
      </c>
      <c r="L498" s="1" t="str">
        <f>HYPERLINK("https://files.afu.se/Downloads/Transcripts/0%20-%20Government/USA%20-%20NASA%20Johnson/2019 04 05 - NASA Johnson - Space to Ground  Express Delivery  04 05 2019_9ylhxZc0So0 - transcript (automated).pdf","Transcript Link")</f>
        <v>Transcript Link</v>
      </c>
      <c r="M498" s="2" t="str">
        <f>HYPERLINK("https://files.afu.se/Downloads/Transcripts/0%20-%20Government/USA%20-%20NASA%20Johnson/2019 04 05 - NASA Johnson - Space to Ground  Express Delivery  04 05 2019_9ylhxZc0So0 - transcript (automated).pdf","Transcript Link")</f>
        <v>Transcript Link</v>
      </c>
    </row>
    <row r="499" ht="330" spans="1:13">
      <c r="A499" s="1" t="s">
        <v>2192</v>
      </c>
      <c r="B499" s="1" t="s">
        <v>13</v>
      </c>
      <c r="C499" s="4" t="s">
        <v>2193</v>
      </c>
      <c r="D499" s="1" t="s">
        <v>2194</v>
      </c>
      <c r="E499" s="1" t="s">
        <v>2195</v>
      </c>
      <c r="F499" s="4" t="s">
        <v>17</v>
      </c>
      <c r="G499" s="1" t="s">
        <v>18</v>
      </c>
      <c r="H499" s="1" t="s">
        <v>19</v>
      </c>
      <c r="I499" s="1" t="s">
        <v>20</v>
      </c>
      <c r="J499" s="1" t="s">
        <v>2196</v>
      </c>
      <c r="K499" s="1" t="s">
        <v>22</v>
      </c>
      <c r="L499" s="1" t="str">
        <f>HYPERLINK("https://files.afu.se/Downloads/Transcripts/0%20-%20Government/USA%20-%20NASA%20Johnson/2019 04 02 - NASA Johnson - Space-Grown Crystals Offer Clarity on Parkinson's Disease_6ILU7-945L8 - transcript (automated).pdf","Transcript Link")</f>
        <v>Transcript Link</v>
      </c>
      <c r="M499" s="2" t="str">
        <f>HYPERLINK("https://files.afu.se/Downloads/Transcripts/0%20-%20Government/USA%20-%20NASA%20Johnson/2019 04 02 - NASA Johnson - Space-Grown Crystals Offer Clarity on Parkinson's Disease_6ILU7-945L8 - transcript (automated).pdf","Transcript Link")</f>
        <v>Transcript Link</v>
      </c>
    </row>
    <row r="500" ht="270" spans="1:13">
      <c r="A500" s="1" t="s">
        <v>2197</v>
      </c>
      <c r="B500" s="1" t="s">
        <v>13</v>
      </c>
      <c r="C500" s="4" t="s">
        <v>2198</v>
      </c>
      <c r="D500" s="1" t="s">
        <v>2199</v>
      </c>
      <c r="E500" s="1" t="s">
        <v>2147</v>
      </c>
      <c r="F500" s="4" t="s">
        <v>17</v>
      </c>
      <c r="G500" s="1" t="s">
        <v>18</v>
      </c>
      <c r="H500" s="1" t="s">
        <v>19</v>
      </c>
      <c r="I500" s="1" t="s">
        <v>20</v>
      </c>
      <c r="J500" s="1" t="s">
        <v>2200</v>
      </c>
      <c r="K500" s="1" t="s">
        <v>22</v>
      </c>
      <c r="L500" s="1" t="str">
        <f>HYPERLINK("https://files.afu.se/Downloads/Transcripts/0%20-%20Government/USA%20-%20NASA%20Johnson/2019 03 29 - NASA Johnson - Space to Ground  Power Walking  03 29 2019_rBnjgOtiiME - transcript (automated).pdf","Transcript Link")</f>
        <v>Transcript Link</v>
      </c>
      <c r="M500" s="2" t="str">
        <f>HYPERLINK("https://files.afu.se/Downloads/Transcripts/0%20-%20Government/USA%20-%20NASA%20Johnson/2019 03 29 - NASA Johnson - Space to Ground  Power Walking  03 29 2019_rBnjgOtiiME - transcript (automated).pdf","Transcript Link")</f>
        <v>Transcript Link</v>
      </c>
    </row>
    <row r="501" ht="240" spans="1:13">
      <c r="A501" s="1" t="s">
        <v>2201</v>
      </c>
      <c r="B501" s="1" t="s">
        <v>13</v>
      </c>
      <c r="C501" s="4" t="s">
        <v>2202</v>
      </c>
      <c r="D501" s="1" t="s">
        <v>2203</v>
      </c>
      <c r="E501" s="1" t="s">
        <v>2204</v>
      </c>
      <c r="F501" s="4" t="s">
        <v>17</v>
      </c>
      <c r="G501" s="1" t="s">
        <v>18</v>
      </c>
      <c r="H501" s="1" t="s">
        <v>19</v>
      </c>
      <c r="I501" s="1" t="s">
        <v>20</v>
      </c>
      <c r="J501" s="1" t="s">
        <v>2205</v>
      </c>
      <c r="K501" s="1" t="s">
        <v>22</v>
      </c>
      <c r="L501" s="1" t="str">
        <f>HYPERLINK("https://files.afu.se/Downloads/Transcripts/0%20-%20Government/USA%20-%20NASA%20Johnson/2019 03 26 - NASA Johnson - STEMonstrations  Solar Energy_5CzuwztCw-E - transcript (automated).pdf","Transcript Link")</f>
        <v>Transcript Link</v>
      </c>
      <c r="M501" s="2" t="str">
        <f>HYPERLINK("https://files.afu.se/Downloads/Transcripts/0%20-%20Government/USA%20-%20NASA%20Johnson/2019 03 26 - NASA Johnson - STEMonstrations  Solar Energy_5CzuwztCw-E - transcript (automated).pdf","Transcript Link")</f>
        <v>Transcript Link</v>
      </c>
    </row>
    <row r="502" ht="270" spans="1:13">
      <c r="A502" s="1" t="s">
        <v>2206</v>
      </c>
      <c r="B502" s="1" t="s">
        <v>13</v>
      </c>
      <c r="C502" s="4" t="s">
        <v>2207</v>
      </c>
      <c r="D502" s="1" t="s">
        <v>2208</v>
      </c>
      <c r="E502" s="1" t="s">
        <v>2147</v>
      </c>
      <c r="F502" s="4" t="s">
        <v>17</v>
      </c>
      <c r="G502" s="1" t="s">
        <v>18</v>
      </c>
      <c r="H502" s="1" t="s">
        <v>19</v>
      </c>
      <c r="I502" s="1" t="s">
        <v>20</v>
      </c>
      <c r="J502" s="1" t="s">
        <v>2209</v>
      </c>
      <c r="K502" s="1" t="s">
        <v>22</v>
      </c>
      <c r="L502" s="1" t="str">
        <f>HYPERLINK("https://files.afu.se/Downloads/Transcripts/0%20-%20Government/USA%20-%20NASA%20Johnson/2019 03 21 - NASA Johnson - Space to Ground  Stepping Out  03 22 2019_j1pNekMc3Co - transcript (automated).pdf","Transcript Link")</f>
        <v>Transcript Link</v>
      </c>
      <c r="M502" s="2" t="str">
        <f>HYPERLINK("https://files.afu.se/Downloads/Transcripts/0%20-%20Government/USA%20-%20NASA%20Johnson/2019 03 21 - NASA Johnson - Space to Ground  Stepping Out  03 22 2019_j1pNekMc3Co - transcript (automated).pdf","Transcript Link")</f>
        <v>Transcript Link</v>
      </c>
    </row>
    <row r="503" ht="270" spans="1:13">
      <c r="A503" s="1" t="s">
        <v>2210</v>
      </c>
      <c r="B503" s="1" t="s">
        <v>13</v>
      </c>
      <c r="C503" s="4" t="s">
        <v>2211</v>
      </c>
      <c r="D503" s="1" t="s">
        <v>2212</v>
      </c>
      <c r="E503" s="1" t="s">
        <v>2147</v>
      </c>
      <c r="F503" s="4" t="s">
        <v>17</v>
      </c>
      <c r="G503" s="1" t="s">
        <v>18</v>
      </c>
      <c r="H503" s="1" t="s">
        <v>19</v>
      </c>
      <c r="I503" s="1" t="s">
        <v>20</v>
      </c>
      <c r="J503" s="1" t="s">
        <v>2213</v>
      </c>
      <c r="K503" s="1" t="s">
        <v>22</v>
      </c>
      <c r="L503" s="1" t="str">
        <f>HYPERLINK("https://files.afu.se/Downloads/Transcripts/0%20-%20Government/USA%20-%20NASA%20Johnson/2019 03 15 - NASA Johnson - Space to Ground  Fire in the Sky  03 15 2019_BwxctJQwn9I - transcript (automated).pdf","Transcript Link")</f>
        <v>Transcript Link</v>
      </c>
      <c r="M503" s="2" t="str">
        <f>HYPERLINK("https://files.afu.se/Downloads/Transcripts/0%20-%20Government/USA%20-%20NASA%20Johnson/2019 03 15 - NASA Johnson - Space to Ground  Fire in the Sky  03 15 2019_BwxctJQwn9I - transcript (automated).pdf","Transcript Link")</f>
        <v>Transcript Link</v>
      </c>
    </row>
    <row r="504" ht="240" spans="1:13">
      <c r="A504" s="1" t="s">
        <v>2214</v>
      </c>
      <c r="B504" s="1" t="s">
        <v>13</v>
      </c>
      <c r="C504" s="4" t="s">
        <v>2215</v>
      </c>
      <c r="D504" s="1" t="s">
        <v>2216</v>
      </c>
      <c r="E504" s="1" t="s">
        <v>2217</v>
      </c>
      <c r="F504" s="4" t="s">
        <v>17</v>
      </c>
      <c r="G504" s="1" t="s">
        <v>18</v>
      </c>
      <c r="H504" s="1" t="s">
        <v>19</v>
      </c>
      <c r="I504" s="1" t="s">
        <v>20</v>
      </c>
      <c r="J504" s="1" t="s">
        <v>2218</v>
      </c>
      <c r="K504" s="1" t="s">
        <v>22</v>
      </c>
      <c r="L504" s="1" t="str">
        <f>HYPERLINK("https://files.afu.se/Downloads/Transcripts/0%20-%20Government/USA%20-%20NASA%20Johnson/2019 03 14 - NASA Johnson - Nick Hague Recap_r7Dr3loRIH8 - transcript (automated).pdf","Transcript Link")</f>
        <v>Transcript Link</v>
      </c>
      <c r="M504" s="2" t="str">
        <f>HYPERLINK("https://files.afu.se/Downloads/Transcripts/0%20-%20Government/USA%20-%20NASA%20Johnson/2019 03 14 - NASA Johnson - Nick Hague Recap_r7Dr3loRIH8 - transcript (automated).pdf","Transcript Link")</f>
        <v>Transcript Link</v>
      </c>
    </row>
    <row r="505" ht="180" spans="1:13">
      <c r="A505" s="1" t="s">
        <v>2219</v>
      </c>
      <c r="B505" s="1" t="s">
        <v>13</v>
      </c>
      <c r="C505" s="4" t="s">
        <v>2220</v>
      </c>
      <c r="D505" s="1" t="s">
        <v>2221</v>
      </c>
      <c r="E505" s="1" t="s">
        <v>2222</v>
      </c>
      <c r="F505" s="4" t="s">
        <v>17</v>
      </c>
      <c r="G505" s="1" t="s">
        <v>18</v>
      </c>
      <c r="H505" s="1" t="s">
        <v>19</v>
      </c>
      <c r="I505" s="1" t="s">
        <v>20</v>
      </c>
      <c r="J505" s="1" t="s">
        <v>2223</v>
      </c>
      <c r="K505" s="1" t="s">
        <v>22</v>
      </c>
      <c r="L505" s="1" t="str">
        <f>HYPERLINK("https://files.afu.se/Downloads/Transcripts/0%20-%20Government/USA%20-%20NASA%20Johnson/2019 03 13 - NASA Johnson - International Space Station  Preparing For The New Era_KfljMbcN_AI - transcript (automated).pdf","Transcript Link")</f>
        <v>Transcript Link</v>
      </c>
      <c r="M505" s="2" t="str">
        <f>HYPERLINK("https://files.afu.se/Downloads/Transcripts/0%20-%20Government/USA%20-%20NASA%20Johnson/2019 03 13 - NASA Johnson - International Space Station  Preparing For The New Era_KfljMbcN_AI - transcript (automated).pdf","Transcript Link")</f>
        <v>Transcript Link</v>
      </c>
    </row>
    <row r="506" ht="315" spans="1:13">
      <c r="A506" s="1" t="s">
        <v>2219</v>
      </c>
      <c r="B506" s="1" t="s">
        <v>13</v>
      </c>
      <c r="C506" s="4" t="s">
        <v>2224</v>
      </c>
      <c r="D506" s="1" t="s">
        <v>2225</v>
      </c>
      <c r="E506" s="1" t="s">
        <v>2226</v>
      </c>
      <c r="F506" s="4" t="s">
        <v>17</v>
      </c>
      <c r="G506" s="1" t="s">
        <v>18</v>
      </c>
      <c r="H506" s="1" t="s">
        <v>19</v>
      </c>
      <c r="I506" s="1" t="s">
        <v>20</v>
      </c>
      <c r="J506" s="1" t="s">
        <v>2227</v>
      </c>
      <c r="K506" s="1" t="s">
        <v>22</v>
      </c>
      <c r="L506" s="1" t="str">
        <f>HYPERLINK("https://files.afu.se/Downloads/Transcripts/0%20-%20Government/USA%20-%20NASA%20Johnson/2019 03 13 - NASA Johnson - 5 Things You Didn't Know About Astronaut Christina Koch_h5T37kIEXa8 - transcript (automated).pdf","Transcript Link")</f>
        <v>Transcript Link</v>
      </c>
      <c r="M506" s="2" t="str">
        <f>HYPERLINK("https://files.afu.se/Downloads/Transcripts/0%20-%20Government/USA%20-%20NASA%20Johnson/2019 03 13 - NASA Johnson - 5 Things You Didn't Know About Astronaut Christina Koch_h5T37kIEXa8 - transcript (automated).pdf","Transcript Link")</f>
        <v>Transcript Link</v>
      </c>
    </row>
    <row r="507" ht="270" spans="1:13">
      <c r="A507" s="1" t="s">
        <v>2228</v>
      </c>
      <c r="B507" s="1" t="s">
        <v>13</v>
      </c>
      <c r="C507" s="4" t="s">
        <v>2229</v>
      </c>
      <c r="D507" s="1" t="s">
        <v>2230</v>
      </c>
      <c r="E507" s="1" t="s">
        <v>2147</v>
      </c>
      <c r="F507" s="4" t="s">
        <v>17</v>
      </c>
      <c r="G507" s="1" t="s">
        <v>18</v>
      </c>
      <c r="H507" s="1" t="s">
        <v>19</v>
      </c>
      <c r="I507" s="1" t="s">
        <v>20</v>
      </c>
      <c r="J507" s="1" t="s">
        <v>2231</v>
      </c>
      <c r="K507" s="1" t="s">
        <v>22</v>
      </c>
      <c r="L507" s="1" t="str">
        <f>HYPERLINK("https://files.afu.se/Downloads/Transcripts/0%20-%20Government/USA%20-%20NASA%20Johnson/2019 03 08 - NASA Johnson - Space to Ground  A New Era  03 08 2019_sEIK49joICE - transcript (automated).pdf","Transcript Link")</f>
        <v>Transcript Link</v>
      </c>
      <c r="M507" s="2" t="str">
        <f>HYPERLINK("https://files.afu.se/Downloads/Transcripts/0%20-%20Government/USA%20-%20NASA%20Johnson/2019 03 08 - NASA Johnson - Space to Ground  A New Era  03 08 2019_sEIK49joICE - transcript (automated).pdf","Transcript Link")</f>
        <v>Transcript Link</v>
      </c>
    </row>
    <row r="508" ht="270" spans="1:13">
      <c r="A508" s="1" t="s">
        <v>2232</v>
      </c>
      <c r="B508" s="1" t="s">
        <v>13</v>
      </c>
      <c r="C508" s="4" t="s">
        <v>2233</v>
      </c>
      <c r="D508" s="1" t="s">
        <v>2234</v>
      </c>
      <c r="E508" s="1" t="s">
        <v>2235</v>
      </c>
      <c r="F508" s="4" t="s">
        <v>17</v>
      </c>
      <c r="G508" s="1" t="s">
        <v>18</v>
      </c>
      <c r="H508" s="1" t="s">
        <v>19</v>
      </c>
      <c r="I508" s="1" t="s">
        <v>20</v>
      </c>
      <c r="J508" s="1" t="s">
        <v>2236</v>
      </c>
      <c r="K508" s="1" t="s">
        <v>22</v>
      </c>
      <c r="L508" s="1" t="str">
        <f>HYPERLINK("https://files.afu.se/Downloads/Transcripts/0%20-%20Government/USA%20-%20NASA%20Johnson/2019 03 05 - NASA Johnson - Preparing America for Deep Space - Episode20 - Underway and Moving_cKaZdxqygRM - transcript (automated).pdf","Transcript Link")</f>
        <v>Transcript Link</v>
      </c>
      <c r="M508" s="2" t="str">
        <f>HYPERLINK("https://files.afu.se/Downloads/Transcripts/0%20-%20Government/USA%20-%20NASA%20Johnson/2019 03 05 - NASA Johnson - Preparing America for Deep Space - Episode20 - Underway and Moving_cKaZdxqygRM - transcript (automated).pdf","Transcript Link")</f>
        <v>Transcript Link</v>
      </c>
    </row>
    <row r="509" ht="180" spans="1:13">
      <c r="A509" s="1" t="s">
        <v>2237</v>
      </c>
      <c r="B509" s="1" t="s">
        <v>13</v>
      </c>
      <c r="C509" s="4" t="s">
        <v>2238</v>
      </c>
      <c r="D509" s="1" t="s">
        <v>2239</v>
      </c>
      <c r="E509" s="1" t="s">
        <v>2240</v>
      </c>
      <c r="F509" s="4" t="s">
        <v>17</v>
      </c>
      <c r="G509" s="1" t="s">
        <v>18</v>
      </c>
      <c r="H509" s="1" t="s">
        <v>19</v>
      </c>
      <c r="I509" s="1" t="s">
        <v>20</v>
      </c>
      <c r="J509" s="1" t="s">
        <v>2241</v>
      </c>
      <c r="K509" s="1" t="s">
        <v>22</v>
      </c>
      <c r="L509" s="1" t="str">
        <f>HYPERLINK("https://files.afu.se/Downloads/Transcripts/0%20-%20Government/USA%20-%20NASA%20Johnson/2019 03 01 - NASA Johnson - Astronaut Moments  Christina Koch_kLY8q5Rnh0M - transcript (automated).pdf","Transcript Link")</f>
        <v>Transcript Link</v>
      </c>
      <c r="M509" s="2" t="str">
        <f>HYPERLINK("https://files.afu.se/Downloads/Transcripts/0%20-%20Government/USA%20-%20NASA%20Johnson/2019 03 01 - NASA Johnson - Astronaut Moments  Christina Koch_kLY8q5Rnh0M - transcript (automated).pdf","Transcript Link")</f>
        <v>Transcript Link</v>
      </c>
    </row>
    <row r="510" ht="270" spans="1:13">
      <c r="A510" s="1" t="s">
        <v>2237</v>
      </c>
      <c r="B510" s="1" t="s">
        <v>13</v>
      </c>
      <c r="C510" s="4" t="s">
        <v>2242</v>
      </c>
      <c r="D510" s="1" t="s">
        <v>2243</v>
      </c>
      <c r="E510" s="1" t="s">
        <v>2147</v>
      </c>
      <c r="F510" s="4" t="s">
        <v>17</v>
      </c>
      <c r="G510" s="1" t="s">
        <v>18</v>
      </c>
      <c r="H510" s="1" t="s">
        <v>19</v>
      </c>
      <c r="I510" s="1" t="s">
        <v>20</v>
      </c>
      <c r="J510" s="1" t="s">
        <v>2244</v>
      </c>
      <c r="K510" s="1" t="s">
        <v>22</v>
      </c>
      <c r="L510" s="1" t="str">
        <f>HYPERLINK("https://files.afu.se/Downloads/Transcripts/0%20-%20Government/USA%20-%20NASA%20Johnson/2019 03 01 - NASA Johnson - Space to Ground  An American Dawn  03 01 2019_mGd9bz52OqQ - transcript (automated).pdf","Transcript Link")</f>
        <v>Transcript Link</v>
      </c>
      <c r="M510" s="2" t="str">
        <f>HYPERLINK("https://files.afu.se/Downloads/Transcripts/0%20-%20Government/USA%20-%20NASA%20Johnson/2019 03 01 - NASA Johnson - Space to Ground  An American Dawn  03 01 2019_mGd9bz52OqQ - transcript (automated).pdf","Transcript Link")</f>
        <v>Transcript Link</v>
      </c>
    </row>
    <row r="511" ht="270" spans="1:13">
      <c r="A511" s="1" t="s">
        <v>2245</v>
      </c>
      <c r="B511" s="1" t="s">
        <v>13</v>
      </c>
      <c r="C511" s="4" t="s">
        <v>2246</v>
      </c>
      <c r="D511" s="1" t="s">
        <v>2247</v>
      </c>
      <c r="E511" s="1" t="s">
        <v>2147</v>
      </c>
      <c r="F511" s="4" t="s">
        <v>17</v>
      </c>
      <c r="G511" s="1" t="s">
        <v>18</v>
      </c>
      <c r="H511" s="1" t="s">
        <v>19</v>
      </c>
      <c r="I511" s="1" t="s">
        <v>20</v>
      </c>
      <c r="J511" s="1" t="s">
        <v>2248</v>
      </c>
      <c r="K511" s="1" t="s">
        <v>22</v>
      </c>
      <c r="L511" s="1" t="str">
        <f>HYPERLINK("https://files.afu.se/Downloads/Transcripts/0%20-%20Government/USA%20-%20NASA%20Johnson/2019 02 22 - NASA Johnson - Space to Ground  Personal Space  02 22 2019_exNcWaUFIYY - transcript (automated).pdf","Transcript Link")</f>
        <v>Transcript Link</v>
      </c>
      <c r="M511" s="2" t="str">
        <f>HYPERLINK("https://files.afu.se/Downloads/Transcripts/0%20-%20Government/USA%20-%20NASA%20Johnson/2019 02 22 - NASA Johnson - Space to Ground  Personal Space  02 22 2019_exNcWaUFIYY - transcript (automated).pdf","Transcript Link")</f>
        <v>Transcript Link</v>
      </c>
    </row>
    <row r="512" ht="270" spans="1:13">
      <c r="A512" s="1" t="s">
        <v>2249</v>
      </c>
      <c r="B512" s="1" t="s">
        <v>13</v>
      </c>
      <c r="C512" s="4" t="s">
        <v>2250</v>
      </c>
      <c r="D512" s="1" t="s">
        <v>2251</v>
      </c>
      <c r="E512" s="1" t="s">
        <v>2147</v>
      </c>
      <c r="F512" s="4" t="s">
        <v>17</v>
      </c>
      <c r="G512" s="1" t="s">
        <v>18</v>
      </c>
      <c r="H512" s="1" t="s">
        <v>19</v>
      </c>
      <c r="I512" s="1" t="s">
        <v>20</v>
      </c>
      <c r="J512" s="1" t="s">
        <v>2252</v>
      </c>
      <c r="K512" s="1" t="s">
        <v>22</v>
      </c>
      <c r="L512" s="1" t="str">
        <f>HYPERLINK("https://files.afu.se/Downloads/Transcripts/0%20-%20Government/USA%20-%20NASA%20Johnson/2019 02 15 - NASA Johnson - Space to Ground  Busy as Astrobees  02 15 2019_XqyA0trJUqI - transcript (automated).pdf","Transcript Link")</f>
        <v>Transcript Link</v>
      </c>
      <c r="M512" s="2" t="str">
        <f>HYPERLINK("https://files.afu.se/Downloads/Transcripts/0%20-%20Government/USA%20-%20NASA%20Johnson/2019 02 15 - NASA Johnson - Space to Ground  Busy as Astrobees  02 15 2019_XqyA0trJUqI - transcript (automated).pdf","Transcript Link")</f>
        <v>Transcript Link</v>
      </c>
    </row>
    <row r="513" ht="270" spans="1:13">
      <c r="A513" s="1" t="s">
        <v>2253</v>
      </c>
      <c r="B513" s="1" t="s">
        <v>13</v>
      </c>
      <c r="C513" s="4" t="s">
        <v>2254</v>
      </c>
      <c r="D513" s="1" t="s">
        <v>2255</v>
      </c>
      <c r="E513" s="1" t="s">
        <v>2147</v>
      </c>
      <c r="F513" s="4" t="s">
        <v>17</v>
      </c>
      <c r="G513" s="1" t="s">
        <v>18</v>
      </c>
      <c r="H513" s="1" t="s">
        <v>19</v>
      </c>
      <c r="I513" s="1" t="s">
        <v>20</v>
      </c>
      <c r="J513" s="1" t="s">
        <v>2256</v>
      </c>
      <c r="K513" s="1" t="s">
        <v>22</v>
      </c>
      <c r="L513" s="1" t="str">
        <f>HYPERLINK("https://files.afu.se/Downloads/Transcripts/0%20-%20Government/USA%20-%20NASA%20Johnson/2019 02 08 - NASA Johnson - Space to Ground  Femtosatellites  02 08 2019_vrLivzPNNNA - transcript (automated).pdf","Transcript Link")</f>
        <v>Transcript Link</v>
      </c>
      <c r="M513" s="2" t="str">
        <f>HYPERLINK("https://files.afu.se/Downloads/Transcripts/0%20-%20Government/USA%20-%20NASA%20Johnson/2019 02 08 - NASA Johnson - Space to Ground  Femtosatellites  02 08 2019_vrLivzPNNNA - transcript (automated).pdf","Transcript Link")</f>
        <v>Transcript Link</v>
      </c>
    </row>
    <row r="514" ht="270" spans="1:13">
      <c r="A514" s="1" t="s">
        <v>2257</v>
      </c>
      <c r="B514" s="1" t="s">
        <v>13</v>
      </c>
      <c r="C514" s="4" t="s">
        <v>2258</v>
      </c>
      <c r="D514" s="1" t="s">
        <v>2259</v>
      </c>
      <c r="E514" s="1" t="s">
        <v>2147</v>
      </c>
      <c r="F514" s="4" t="s">
        <v>17</v>
      </c>
      <c r="G514" s="1" t="s">
        <v>18</v>
      </c>
      <c r="H514" s="1" t="s">
        <v>19</v>
      </c>
      <c r="I514" s="1" t="s">
        <v>20</v>
      </c>
      <c r="J514" s="1" t="s">
        <v>2260</v>
      </c>
      <c r="K514" s="1" t="s">
        <v>22</v>
      </c>
      <c r="L514" s="1" t="str">
        <f>HYPERLINK("https://files.afu.se/Downloads/Transcripts/0%20-%20Government/USA%20-%20NASA%20Johnson/2019 02 01 - NASA Johnson - Space to Ground  Packing and Prepping  02 01 2019__Qgjalf62-Y - transcript (automated).pdf","Transcript Link")</f>
        <v>Transcript Link</v>
      </c>
      <c r="M514" s="2" t="str">
        <f>HYPERLINK("https://files.afu.se/Downloads/Transcripts/0%20-%20Government/USA%20-%20NASA%20Johnson/2019 02 01 - NASA Johnson - Space to Ground  Packing and Prepping  02 01 2019__Qgjalf62-Y - transcript (automated).pdf","Transcript Link")</f>
        <v>Transcript Link</v>
      </c>
    </row>
    <row r="515" ht="180" spans="1:13">
      <c r="A515" s="1" t="s">
        <v>2261</v>
      </c>
      <c r="B515" s="1" t="s">
        <v>13</v>
      </c>
      <c r="C515" s="4" t="s">
        <v>2262</v>
      </c>
      <c r="D515" s="1" t="s">
        <v>2263</v>
      </c>
      <c r="E515" s="1" t="s">
        <v>2264</v>
      </c>
      <c r="F515" s="4" t="s">
        <v>17</v>
      </c>
      <c r="G515" s="1" t="s">
        <v>18</v>
      </c>
      <c r="H515" s="1" t="s">
        <v>19</v>
      </c>
      <c r="I515" s="1" t="s">
        <v>20</v>
      </c>
      <c r="J515" s="1" t="s">
        <v>2265</v>
      </c>
      <c r="K515" s="1" t="s">
        <v>22</v>
      </c>
      <c r="L515" s="1" t="str">
        <f>HYPERLINK("https://files.afu.se/Downloads/Transcripts/0%20-%20Government/USA%20-%20NASA%20Johnson/2018 12 21 - NASA Johnson - ’Twas the Apollo Before Christmas_an6hE3g2LZM - transcript (automated).pdf","Transcript Link")</f>
        <v>Transcript Link</v>
      </c>
      <c r="M515" s="2" t="str">
        <f>HYPERLINK("https://files.afu.se/Downloads/Transcripts/0%20-%20Government/USA%20-%20NASA%20Johnson/2018 12 21 - NASA Johnson - ’Twas the Apollo Before Christmas_an6hE3g2LZM - transcript (automated).pdf","Transcript Link")</f>
        <v>Transcript Link</v>
      </c>
    </row>
    <row r="516" ht="270" spans="1:13">
      <c r="A516" s="1" t="s">
        <v>2261</v>
      </c>
      <c r="B516" s="1" t="s">
        <v>13</v>
      </c>
      <c r="C516" s="4" t="s">
        <v>2266</v>
      </c>
      <c r="D516" s="1" t="s">
        <v>2267</v>
      </c>
      <c r="E516" s="1" t="s">
        <v>2147</v>
      </c>
      <c r="F516" s="4" t="s">
        <v>17</v>
      </c>
      <c r="G516" s="1" t="s">
        <v>18</v>
      </c>
      <c r="H516" s="1" t="s">
        <v>19</v>
      </c>
      <c r="I516" s="1" t="s">
        <v>20</v>
      </c>
      <c r="J516" s="1" t="s">
        <v>2268</v>
      </c>
      <c r="K516" s="1" t="s">
        <v>22</v>
      </c>
      <c r="L516" s="1" t="str">
        <f>HYPERLINK("https://files.afu.se/Downloads/Transcripts/0%20-%20Government/USA%20-%20NASA%20Johnson/2018 12 21 - NASA Johnson - Space to Ground  Holiday Homecoming  12 21 2018_pr0Mm-vbdxw - transcript (automated).pdf","Transcript Link")</f>
        <v>Transcript Link</v>
      </c>
      <c r="M516" s="2" t="str">
        <f>HYPERLINK("https://files.afu.se/Downloads/Transcripts/0%20-%20Government/USA%20-%20NASA%20Johnson/2018 12 21 - NASA Johnson - Space to Ground  Holiday Homecoming  12 21 2018_pr0Mm-vbdxw - transcript (automated).pdf","Transcript Link")</f>
        <v>Transcript Link</v>
      </c>
    </row>
    <row r="517" ht="270" spans="1:13">
      <c r="A517" s="1" t="s">
        <v>2269</v>
      </c>
      <c r="B517" s="1" t="s">
        <v>13</v>
      </c>
      <c r="C517" s="4" t="s">
        <v>2270</v>
      </c>
      <c r="D517" s="1" t="s">
        <v>2271</v>
      </c>
      <c r="E517" s="1" t="s">
        <v>2272</v>
      </c>
      <c r="F517" s="4" t="s">
        <v>17</v>
      </c>
      <c r="G517" s="1" t="s">
        <v>18</v>
      </c>
      <c r="H517" s="1" t="s">
        <v>19</v>
      </c>
      <c r="I517" s="1" t="s">
        <v>20</v>
      </c>
      <c r="J517" s="1" t="s">
        <v>2273</v>
      </c>
      <c r="K517" s="1" t="s">
        <v>22</v>
      </c>
      <c r="L517" s="1" t="str">
        <f>HYPERLINK("https://files.afu.se/Downloads/Transcripts/0%20-%20Government/USA%20-%20NASA%20Johnson/2018 12 20 - NASA Johnson - So You Want to Go To Mars   Episode 3  How Do We Send Humans to Deep Space _5czckmjorR0 - transcript (automated).pdf","Transcript Link")</f>
        <v>Transcript Link</v>
      </c>
      <c r="M517" s="2" t="str">
        <f>HYPERLINK("https://files.afu.se/Downloads/Transcripts/0%20-%20Government/USA%20-%20NASA%20Johnson/2018 12 20 - NASA Johnson - So You Want to Go To Mars   Episode 3  How Do We Send Humans to Deep Space _5czckmjorR0 - transcript (automated).pdf","Transcript Link")</f>
        <v>Transcript Link</v>
      </c>
    </row>
    <row r="518" ht="180" spans="1:13">
      <c r="A518" s="1" t="s">
        <v>2274</v>
      </c>
      <c r="B518" s="1" t="s">
        <v>13</v>
      </c>
      <c r="C518" s="4" t="s">
        <v>2275</v>
      </c>
      <c r="D518" s="1" t="s">
        <v>2276</v>
      </c>
      <c r="F518" s="4" t="s">
        <v>17</v>
      </c>
      <c r="G518" s="1" t="s">
        <v>18</v>
      </c>
      <c r="H518" s="1" t="s">
        <v>19</v>
      </c>
      <c r="I518" s="1" t="s">
        <v>20</v>
      </c>
      <c r="J518" s="1" t="s">
        <v>2277</v>
      </c>
      <c r="K518" s="1" t="s">
        <v>22</v>
      </c>
      <c r="L518" s="1" t="str">
        <f>HYPERLINK("https://files.afu.se/Downloads/Transcripts/0%20-%20Government/USA%20-%20NASA%20Johnson/2018 12 19 - NASA Johnson - 2018 Johnson Space Center Year In Review_b0ggTjHwZJ4 - transcript (automated).pdf","Transcript Link")</f>
        <v>Transcript Link</v>
      </c>
      <c r="M518" s="2" t="str">
        <f>HYPERLINK("https://files.afu.se/Downloads/Transcripts/0%20-%20Government/USA%20-%20NASA%20Johnson/2018 12 19 - NASA Johnson - 2018 Johnson Space Center Year In Review_b0ggTjHwZJ4 - transcript (automated).pdf","Transcript Link")</f>
        <v>Transcript Link</v>
      </c>
    </row>
    <row r="519" ht="270" spans="1:13">
      <c r="A519" s="1" t="s">
        <v>2278</v>
      </c>
      <c r="B519" s="1" t="s">
        <v>13</v>
      </c>
      <c r="C519" s="4" t="s">
        <v>2279</v>
      </c>
      <c r="D519" s="1" t="s">
        <v>2280</v>
      </c>
      <c r="E519" s="1" t="s">
        <v>2147</v>
      </c>
      <c r="F519" s="4" t="s">
        <v>17</v>
      </c>
      <c r="G519" s="1" t="s">
        <v>18</v>
      </c>
      <c r="H519" s="1" t="s">
        <v>19</v>
      </c>
      <c r="I519" s="1" t="s">
        <v>20</v>
      </c>
      <c r="J519" s="1" t="s">
        <v>2281</v>
      </c>
      <c r="K519" s="1" t="s">
        <v>22</v>
      </c>
      <c r="L519" s="1" t="str">
        <f>HYPERLINK("https://files.afu.se/Downloads/Transcripts/0%20-%20Government/USA%20-%20NASA%20Johnson/2018 12 14 - NASA Johnson - Space to Ground  A Second Chance  12 14 2018_Vy28SQuw0Pw - transcript (automated).pdf","Transcript Link")</f>
        <v>Transcript Link</v>
      </c>
      <c r="M519" s="2" t="str">
        <f>HYPERLINK("https://files.afu.se/Downloads/Transcripts/0%20-%20Government/USA%20-%20NASA%20Johnson/2018 12 14 - NASA Johnson - Space to Ground  A Second Chance  12 14 2018_Vy28SQuw0Pw - transcript (automated).pdf","Transcript Link")</f>
        <v>Transcript Link</v>
      </c>
    </row>
    <row r="520" ht="285" spans="1:13">
      <c r="A520" s="1" t="s">
        <v>2282</v>
      </c>
      <c r="B520" s="1" t="s">
        <v>13</v>
      </c>
      <c r="C520" s="4" t="s">
        <v>2283</v>
      </c>
      <c r="D520" s="1" t="s">
        <v>2284</v>
      </c>
      <c r="E520" s="1" t="s">
        <v>2285</v>
      </c>
      <c r="F520" s="4" t="s">
        <v>17</v>
      </c>
      <c r="G520" s="1" t="s">
        <v>18</v>
      </c>
      <c r="H520" s="1" t="s">
        <v>19</v>
      </c>
      <c r="I520" s="1" t="s">
        <v>20</v>
      </c>
      <c r="J520" s="1" t="s">
        <v>2286</v>
      </c>
      <c r="K520" s="1" t="s">
        <v>22</v>
      </c>
      <c r="L520" s="1" t="str">
        <f>HYPERLINK("https://files.afu.se/Downloads/Transcripts/0%20-%20Government/USA%20-%20NASA%20Johnson/2018 12 13 - NASA Johnson - STEMonstrations  Sleep Science_1AG9f0dmg2w - transcript (automated).pdf","Transcript Link")</f>
        <v>Transcript Link</v>
      </c>
      <c r="M520" s="2" t="str">
        <f>HYPERLINK("https://files.afu.se/Downloads/Transcripts/0%20-%20Government/USA%20-%20NASA%20Johnson/2018 12 13 - NASA Johnson - STEMonstrations  Sleep Science_1AG9f0dmg2w - transcript (automated).pdf","Transcript Link")</f>
        <v>Transcript Link</v>
      </c>
    </row>
    <row r="521" ht="270" spans="1:13">
      <c r="A521" s="1" t="s">
        <v>2287</v>
      </c>
      <c r="B521" s="1" t="s">
        <v>13</v>
      </c>
      <c r="C521" s="4" t="s">
        <v>2288</v>
      </c>
      <c r="D521" s="1" t="s">
        <v>2289</v>
      </c>
      <c r="E521" s="1" t="s">
        <v>2147</v>
      </c>
      <c r="F521" s="4" t="s">
        <v>17</v>
      </c>
      <c r="G521" s="1" t="s">
        <v>18</v>
      </c>
      <c r="H521" s="1" t="s">
        <v>19</v>
      </c>
      <c r="I521" s="1" t="s">
        <v>20</v>
      </c>
      <c r="J521" s="1" t="s">
        <v>2290</v>
      </c>
      <c r="K521" s="1" t="s">
        <v>22</v>
      </c>
      <c r="L521" s="1" t="str">
        <f>HYPERLINK("https://files.afu.se/Downloads/Transcripts/0%20-%20Government/USA%20-%20NASA%20Johnson/2018 12 07 - NASA Johnson - Space to Ground  Four Orbits Later  12 07 2018_eP3iLOuo3Is - transcript (automated).pdf","Transcript Link")</f>
        <v>Transcript Link</v>
      </c>
      <c r="M521" s="2" t="str">
        <f>HYPERLINK("https://files.afu.se/Downloads/Transcripts/0%20-%20Government/USA%20-%20NASA%20Johnson/2018 12 07 - NASA Johnson - Space to Ground  Four Orbits Later  12 07 2018_eP3iLOuo3Is - transcript (automated).pdf","Transcript Link")</f>
        <v>Transcript Link</v>
      </c>
    </row>
    <row r="522" ht="330" spans="1:13">
      <c r="A522" s="1" t="s">
        <v>2291</v>
      </c>
      <c r="B522" s="1" t="s">
        <v>13</v>
      </c>
      <c r="C522" s="4" t="s">
        <v>2292</v>
      </c>
      <c r="D522" s="1" t="s">
        <v>2293</v>
      </c>
      <c r="E522" s="1" t="s">
        <v>2294</v>
      </c>
      <c r="F522" s="4" t="s">
        <v>17</v>
      </c>
      <c r="G522" s="1" t="s">
        <v>18</v>
      </c>
      <c r="H522" s="1" t="s">
        <v>19</v>
      </c>
      <c r="I522" s="1" t="s">
        <v>20</v>
      </c>
      <c r="J522" s="1" t="s">
        <v>2295</v>
      </c>
      <c r="K522" s="1" t="s">
        <v>22</v>
      </c>
      <c r="L522" s="1" t="str">
        <f>HYPERLINK("https://files.afu.se/Downloads/Transcripts/0%20-%20Government/USA%20-%20NASA%20Johnson/2018 12 03 - NASA Johnson - Robotic Refueling Experiment Heads to Space_0B9F0stb3s0 - transcript (automated).pdf","Transcript Link")</f>
        <v>Transcript Link</v>
      </c>
      <c r="M522" s="2" t="str">
        <f>HYPERLINK("https://files.afu.se/Downloads/Transcripts/0%20-%20Government/USA%20-%20NASA%20Johnson/2018 12 03 - NASA Johnson - Robotic Refueling Experiment Heads to Space_0B9F0stb3s0 - transcript (automated).pdf","Transcript Link")</f>
        <v>Transcript Link</v>
      </c>
    </row>
    <row r="523" ht="255" spans="1:13">
      <c r="A523" s="1" t="s">
        <v>2296</v>
      </c>
      <c r="B523" s="1" t="s">
        <v>13</v>
      </c>
      <c r="C523" s="4" t="s">
        <v>2297</v>
      </c>
      <c r="D523" s="1" t="s">
        <v>2298</v>
      </c>
      <c r="E523" s="1" t="s">
        <v>2299</v>
      </c>
      <c r="F523" s="4" t="s">
        <v>17</v>
      </c>
      <c r="G523" s="1" t="s">
        <v>18</v>
      </c>
      <c r="H523" s="1" t="s">
        <v>19</v>
      </c>
      <c r="I523" s="1" t="s">
        <v>20</v>
      </c>
      <c r="J523" s="1" t="s">
        <v>2300</v>
      </c>
      <c r="K523" s="1" t="s">
        <v>22</v>
      </c>
      <c r="L523" s="1" t="str">
        <f>HYPERLINK("https://files.afu.se/Downloads/Transcripts/0%20-%20Government/USA%20-%20NASA%20Johnson/2018 11 30 - NASA Johnson - 5 Things You Didn’t Know About Astronaut Anne McClain_cXNoVoKgtG0 - transcript (automated).pdf","Transcript Link")</f>
        <v>Transcript Link</v>
      </c>
      <c r="M523" s="2" t="str">
        <f>HYPERLINK("https://files.afu.se/Downloads/Transcripts/0%20-%20Government/USA%20-%20NASA%20Johnson/2018 11 30 - NASA Johnson - 5 Things You Didn’t Know About Astronaut Anne McClain_cXNoVoKgtG0 - transcript (automated).pdf","Transcript Link")</f>
        <v>Transcript Link</v>
      </c>
    </row>
    <row r="524" ht="180" spans="1:13">
      <c r="A524" s="1" t="s">
        <v>2296</v>
      </c>
      <c r="B524" s="1" t="s">
        <v>13</v>
      </c>
      <c r="C524" s="4" t="s">
        <v>2301</v>
      </c>
      <c r="D524" s="1" t="s">
        <v>2302</v>
      </c>
      <c r="E524" s="1" t="s">
        <v>2303</v>
      </c>
      <c r="F524" s="4" t="s">
        <v>17</v>
      </c>
      <c r="G524" s="1" t="s">
        <v>18</v>
      </c>
      <c r="H524" s="1" t="s">
        <v>19</v>
      </c>
      <c r="I524" s="1" t="s">
        <v>20</v>
      </c>
      <c r="J524" s="1" t="s">
        <v>2304</v>
      </c>
      <c r="K524" s="1" t="s">
        <v>22</v>
      </c>
      <c r="L524" s="1" t="str">
        <f>HYPERLINK("https://files.afu.se/Downloads/Transcripts/0%20-%20Government/USA%20-%20NASA%20Johnson/2018 11 30 - NASA Johnson - Astronaut Moments   Anne McClain_4LFM3VFSpsQ - transcript (automated).pdf","Transcript Link")</f>
        <v>Transcript Link</v>
      </c>
      <c r="M524" s="2" t="str">
        <f>HYPERLINK("https://files.afu.se/Downloads/Transcripts/0%20-%20Government/USA%20-%20NASA%20Johnson/2018 11 30 - NASA Johnson - Astronaut Moments   Anne McClain_4LFM3VFSpsQ - transcript (automated).pdf","Transcript Link")</f>
        <v>Transcript Link</v>
      </c>
    </row>
    <row r="525" ht="270" spans="1:13">
      <c r="A525" s="1" t="s">
        <v>2296</v>
      </c>
      <c r="B525" s="1" t="s">
        <v>13</v>
      </c>
      <c r="C525" s="4" t="s">
        <v>2305</v>
      </c>
      <c r="D525" s="1" t="s">
        <v>2306</v>
      </c>
      <c r="E525" s="1" t="s">
        <v>2147</v>
      </c>
      <c r="F525" s="4" t="s">
        <v>17</v>
      </c>
      <c r="G525" s="1" t="s">
        <v>18</v>
      </c>
      <c r="H525" s="1" t="s">
        <v>19</v>
      </c>
      <c r="I525" s="1" t="s">
        <v>20</v>
      </c>
      <c r="J525" s="1" t="s">
        <v>2307</v>
      </c>
      <c r="K525" s="1" t="s">
        <v>22</v>
      </c>
      <c r="L525" s="1" t="str">
        <f>HYPERLINK("https://files.afu.se/Downloads/Transcripts/0%20-%20Government/USA%20-%20NASA%20Johnson/2018 11 30 - NASA Johnson - Space to Ground  Constructive Ideas  11 30 2018_zvptkWTeSas - transcript (automated).pdf","Transcript Link")</f>
        <v>Transcript Link</v>
      </c>
      <c r="M525" s="2" t="str">
        <f>HYPERLINK("https://files.afu.se/Downloads/Transcripts/0%20-%20Government/USA%20-%20NASA%20Johnson/2018 11 30 - NASA Johnson - Space to Ground  Constructive Ideas  11 30 2018_zvptkWTeSas - transcript (automated).pdf","Transcript Link")</f>
        <v>Transcript Link</v>
      </c>
    </row>
    <row r="526" ht="330" spans="1:13">
      <c r="A526" s="1" t="s">
        <v>2308</v>
      </c>
      <c r="B526" s="1" t="s">
        <v>13</v>
      </c>
      <c r="C526" s="4" t="s">
        <v>2309</v>
      </c>
      <c r="D526" s="1" t="s">
        <v>2310</v>
      </c>
      <c r="E526" s="1" t="s">
        <v>2311</v>
      </c>
      <c r="F526" s="4" t="s">
        <v>17</v>
      </c>
      <c r="G526" s="1" t="s">
        <v>18</v>
      </c>
      <c r="H526" s="1" t="s">
        <v>19</v>
      </c>
      <c r="I526" s="1" t="s">
        <v>20</v>
      </c>
      <c r="J526" s="1" t="s">
        <v>2312</v>
      </c>
      <c r="K526" s="1" t="s">
        <v>22</v>
      </c>
      <c r="L526" s="1" t="str">
        <f>HYPERLINK("https://files.afu.se/Downloads/Transcripts/0%20-%20Government/USA%20-%20NASA%20Johnson/2018 11 28 - NASA Johnson - Highlights of Science Launching on SpaceX CRS-16_TxJ69IYshJY - transcript (automated).pdf","Transcript Link")</f>
        <v>Transcript Link</v>
      </c>
      <c r="M526" s="2" t="str">
        <f>HYPERLINK("https://files.afu.se/Downloads/Transcripts/0%20-%20Government/USA%20-%20NASA%20Johnson/2018 11 28 - NASA Johnson - Highlights of Science Launching on SpaceX CRS-16_TxJ69IYshJY - transcript (automated).pdf","Transcript Link")</f>
        <v>Transcript Link</v>
      </c>
    </row>
    <row r="527" ht="270" spans="1:13">
      <c r="A527" s="1" t="s">
        <v>2313</v>
      </c>
      <c r="B527" s="1" t="s">
        <v>13</v>
      </c>
      <c r="C527" s="4" t="s">
        <v>2314</v>
      </c>
      <c r="D527" s="1" t="s">
        <v>2315</v>
      </c>
      <c r="E527" s="1" t="s">
        <v>2147</v>
      </c>
      <c r="F527" s="4" t="s">
        <v>17</v>
      </c>
      <c r="G527" s="1" t="s">
        <v>18</v>
      </c>
      <c r="H527" s="1" t="s">
        <v>19</v>
      </c>
      <c r="I527" s="1" t="s">
        <v>20</v>
      </c>
      <c r="J527" s="1" t="s">
        <v>2316</v>
      </c>
      <c r="K527" s="1" t="s">
        <v>22</v>
      </c>
      <c r="L527" s="1" t="str">
        <f>HYPERLINK("https://files.afu.se/Downloads/Transcripts/0%20-%20Government/USA%20-%20NASA%20Johnson/2018 11 23 - NASA Johnson - Space to Ground  The Beginning of Tomorrow  11 23 2018_1iMUwXP5nGA - transcript (automated).pdf","Transcript Link")</f>
        <v>Transcript Link</v>
      </c>
      <c r="M527" s="2" t="str">
        <f>HYPERLINK("https://files.afu.se/Downloads/Transcripts/0%20-%20Government/USA%20-%20NASA%20Johnson/2018 11 23 - NASA Johnson - Space to Ground  The Beginning of Tomorrow  11 23 2018_1iMUwXP5nGA - transcript (automated).pdf","Transcript Link")</f>
        <v>Transcript Link</v>
      </c>
    </row>
    <row r="528" ht="270" spans="1:13">
      <c r="A528" s="1" t="s">
        <v>2317</v>
      </c>
      <c r="B528" s="1" t="s">
        <v>13</v>
      </c>
      <c r="C528" s="4" t="s">
        <v>2318</v>
      </c>
      <c r="D528" s="1" t="s">
        <v>2319</v>
      </c>
      <c r="E528" s="1" t="s">
        <v>2147</v>
      </c>
      <c r="F528" s="4" t="s">
        <v>17</v>
      </c>
      <c r="G528" s="1" t="s">
        <v>18</v>
      </c>
      <c r="H528" s="1" t="s">
        <v>19</v>
      </c>
      <c r="I528" s="1" t="s">
        <v>20</v>
      </c>
      <c r="J528" s="1" t="s">
        <v>2320</v>
      </c>
      <c r="K528" s="1" t="s">
        <v>22</v>
      </c>
      <c r="L528" s="1" t="str">
        <f>HYPERLINK("https://files.afu.se/Downloads/Transcripts/0%20-%20Government/USA%20-%20NASA%20Johnson/2018 11 16 - NASA Johnson - Space to Ground  Honoring a Legend  11 16 2018_PD2d4jBSv1M - transcript (automated).pdf","Transcript Link")</f>
        <v>Transcript Link</v>
      </c>
      <c r="M528" s="2" t="str">
        <f>HYPERLINK("https://files.afu.se/Downloads/Transcripts/0%20-%20Government/USA%20-%20NASA%20Johnson/2018 11 16 - NASA Johnson - Space to Ground  Honoring a Legend  11 16 2018_PD2d4jBSv1M - transcript (automated).pdf","Transcript Link")</f>
        <v>Transcript Link</v>
      </c>
    </row>
    <row r="529" ht="240" spans="1:13">
      <c r="A529" s="1" t="s">
        <v>2321</v>
      </c>
      <c r="B529" s="1" t="s">
        <v>13</v>
      </c>
      <c r="C529" s="4" t="s">
        <v>2322</v>
      </c>
      <c r="D529" s="1" t="s">
        <v>2323</v>
      </c>
      <c r="E529" s="1" t="s">
        <v>2324</v>
      </c>
      <c r="F529" s="4" t="s">
        <v>17</v>
      </c>
      <c r="G529" s="1" t="s">
        <v>18</v>
      </c>
      <c r="H529" s="1" t="s">
        <v>19</v>
      </c>
      <c r="I529" s="1" t="s">
        <v>20</v>
      </c>
      <c r="J529" s="1" t="s">
        <v>2325</v>
      </c>
      <c r="K529" s="1" t="s">
        <v>22</v>
      </c>
      <c r="L529" s="1" t="str">
        <f>HYPERLINK("https://files.afu.se/Downloads/Transcripts/0%20-%20Government/USA%20-%20NASA%20Johnson/2018 11 14 - NASA Johnson - Preparing America for Deep Space Episode 19  Showing Off Our Wares_FG409y1WN4M - transcript (automated).pdf","Transcript Link")</f>
        <v>Transcript Link</v>
      </c>
      <c r="M529" s="2" t="str">
        <f>HYPERLINK("https://files.afu.se/Downloads/Transcripts/0%20-%20Government/USA%20-%20NASA%20Johnson/2018 11 14 - NASA Johnson - Preparing America for Deep Space Episode 19  Showing Off Our Wares_FG409y1WN4M - transcript (automated).pdf","Transcript Link")</f>
        <v>Transcript Link</v>
      </c>
    </row>
    <row r="530" ht="409.5" spans="1:13">
      <c r="A530" s="1" t="s">
        <v>2326</v>
      </c>
      <c r="B530" s="1" t="s">
        <v>13</v>
      </c>
      <c r="C530" s="4" t="s">
        <v>2327</v>
      </c>
      <c r="D530" s="1" t="s">
        <v>2328</v>
      </c>
      <c r="E530" s="1" t="s">
        <v>2329</v>
      </c>
      <c r="F530" s="4" t="s">
        <v>17</v>
      </c>
      <c r="G530" s="1" t="s">
        <v>18</v>
      </c>
      <c r="H530" s="1" t="s">
        <v>19</v>
      </c>
      <c r="I530" s="1" t="s">
        <v>20</v>
      </c>
      <c r="J530" s="1" t="s">
        <v>2330</v>
      </c>
      <c r="K530" s="1" t="s">
        <v>22</v>
      </c>
      <c r="L530" s="1" t="str">
        <f>HYPERLINK("https://files.afu.se/Downloads/Transcripts/0%20-%20Government/USA%20-%20NASA%20Johnson/2018 11 09 - NASA Johnson - Tissue Chips In Space_8kLw0mKU6Zk - transcript (automated).pdf","Transcript Link")</f>
        <v>Transcript Link</v>
      </c>
      <c r="M530" s="2" t="str">
        <f>HYPERLINK("https://files.afu.se/Downloads/Transcripts/0%20-%20Government/USA%20-%20NASA%20Johnson/2018 11 09 - NASA Johnson - Tissue Chips In Space_8kLw0mKU6Zk - transcript (automated).pdf","Transcript Link")</f>
        <v>Transcript Link</v>
      </c>
    </row>
    <row r="531" ht="285" spans="1:13">
      <c r="A531" s="1" t="s">
        <v>2326</v>
      </c>
      <c r="B531" s="1" t="s">
        <v>13</v>
      </c>
      <c r="C531" s="4" t="s">
        <v>2331</v>
      </c>
      <c r="D531" s="1" t="s">
        <v>2332</v>
      </c>
      <c r="E531" s="1" t="s">
        <v>2333</v>
      </c>
      <c r="F531" s="4" t="s">
        <v>17</v>
      </c>
      <c r="G531" s="1" t="s">
        <v>18</v>
      </c>
      <c r="H531" s="1" t="s">
        <v>19</v>
      </c>
      <c r="I531" s="1" t="s">
        <v>20</v>
      </c>
      <c r="J531" s="1" t="s">
        <v>2334</v>
      </c>
      <c r="K531" s="1" t="s">
        <v>22</v>
      </c>
      <c r="L531" s="1" t="str">
        <f>HYPERLINK("https://files.afu.se/Downloads/Transcripts/0%20-%20Government/USA%20-%20NASA%20Johnson/2018 11 09 - NASA Johnson - Space to Ground  Surviving the Plunge  11 09 2018_iwZ0Agu-3kE - transcript (automated).pdf","Transcript Link")</f>
        <v>Transcript Link</v>
      </c>
      <c r="M531" s="2" t="str">
        <f>HYPERLINK("https://files.afu.se/Downloads/Transcripts/0%20-%20Government/USA%20-%20NASA%20Johnson/2018 11 09 - NASA Johnson - Space to Ground  Surviving the Plunge  11 09 2018_iwZ0Agu-3kE - transcript (automated).pdf","Transcript Link")</f>
        <v>Transcript Link</v>
      </c>
    </row>
    <row r="532" ht="330" spans="1:13">
      <c r="A532" s="1" t="s">
        <v>2335</v>
      </c>
      <c r="B532" s="1" t="s">
        <v>13</v>
      </c>
      <c r="C532" s="4" t="s">
        <v>2336</v>
      </c>
      <c r="D532" s="1" t="s">
        <v>2337</v>
      </c>
      <c r="E532" s="1" t="s">
        <v>2338</v>
      </c>
      <c r="F532" s="4" t="s">
        <v>17</v>
      </c>
      <c r="G532" s="1" t="s">
        <v>18</v>
      </c>
      <c r="H532" s="1" t="s">
        <v>19</v>
      </c>
      <c r="I532" s="1" t="s">
        <v>20</v>
      </c>
      <c r="J532" s="1" t="s">
        <v>2339</v>
      </c>
      <c r="K532" s="1" t="s">
        <v>22</v>
      </c>
      <c r="L532" s="1" t="str">
        <f>HYPERLINK("https://files.afu.se/Downloads/Transcripts/0%20-%20Government/USA%20-%20NASA%20Johnson/2018 11 02 - NASA Johnson - Space to Ground  Getting a Grip  11 02 2018_1vDvKRtZmVw - transcript (automated).pdf","Transcript Link")</f>
        <v>Transcript Link</v>
      </c>
      <c r="M532" s="2" t="str">
        <f>HYPERLINK("https://files.afu.se/Downloads/Transcripts/0%20-%20Government/USA%20-%20NASA%20Johnson/2018 11 02 - NASA Johnson - Space to Ground  Getting a Grip  11 02 2018_1vDvKRtZmVw - transcript (automated).pdf","Transcript Link")</f>
        <v>Transcript Link</v>
      </c>
    </row>
    <row r="533" ht="180" spans="1:13">
      <c r="A533" s="1" t="s">
        <v>2340</v>
      </c>
      <c r="B533" s="1" t="s">
        <v>13</v>
      </c>
      <c r="C533" s="4" t="s">
        <v>2341</v>
      </c>
      <c r="D533" s="1" t="s">
        <v>2342</v>
      </c>
      <c r="E533" s="1" t="s">
        <v>2343</v>
      </c>
      <c r="F533" s="4" t="s">
        <v>17</v>
      </c>
      <c r="G533" s="1" t="s">
        <v>18</v>
      </c>
      <c r="H533" s="1" t="s">
        <v>19</v>
      </c>
      <c r="I533" s="1" t="s">
        <v>20</v>
      </c>
      <c r="J533" s="1" t="s">
        <v>2344</v>
      </c>
      <c r="K533" s="1" t="s">
        <v>22</v>
      </c>
      <c r="L533" s="1" t="str">
        <f>HYPERLINK("https://files.afu.se/Downloads/Transcripts/0%20-%20Government/USA%20-%20NASA%20Johnson/2018 10 29 - NASA Johnson - Checking In With The 2017 NASA Astronaut Class, Part 2_a6Chhb75k_s - transcript (automated).pdf","Transcript Link")</f>
        <v>Transcript Link</v>
      </c>
      <c r="M533" s="2" t="str">
        <f>HYPERLINK("https://files.afu.se/Downloads/Transcripts/0%20-%20Government/USA%20-%20NASA%20Johnson/2018 10 29 - NASA Johnson - Checking In With The 2017 NASA Astronaut Class, Part 2_a6Chhb75k_s - transcript (automated).pdf","Transcript Link")</f>
        <v>Transcript Link</v>
      </c>
    </row>
    <row r="534" ht="285" spans="1:13">
      <c r="A534" s="1" t="s">
        <v>2345</v>
      </c>
      <c r="B534" s="1" t="s">
        <v>13</v>
      </c>
      <c r="C534" s="4" t="s">
        <v>2346</v>
      </c>
      <c r="D534" s="1" t="s">
        <v>2347</v>
      </c>
      <c r="E534" s="1" t="s">
        <v>2348</v>
      </c>
      <c r="F534" s="4" t="s">
        <v>17</v>
      </c>
      <c r="G534" s="1" t="s">
        <v>18</v>
      </c>
      <c r="H534" s="1" t="s">
        <v>19</v>
      </c>
      <c r="I534" s="1" t="s">
        <v>20</v>
      </c>
      <c r="J534" s="1" t="s">
        <v>2349</v>
      </c>
      <c r="K534" s="1" t="s">
        <v>22</v>
      </c>
      <c r="L534" s="1" t="str">
        <f>HYPERLINK("https://files.afu.se/Downloads/Transcripts/0%20-%20Government/USA%20-%20NASA%20Johnson/2018 10 26 - NASA Johnson - Space to Ground  Neutron Dance  10 26 2018_29SIX6YFYGY - transcript (automated).pdf","Transcript Link")</f>
        <v>Transcript Link</v>
      </c>
      <c r="M534" s="2" t="str">
        <f>HYPERLINK("https://files.afu.se/Downloads/Transcripts/0%20-%20Government/USA%20-%20NASA%20Johnson/2018 10 26 - NASA Johnson - Space to Ground  Neutron Dance  10 26 2018_29SIX6YFYGY - transcript (automated).pdf","Transcript Link")</f>
        <v>Transcript Link</v>
      </c>
    </row>
    <row r="535" ht="270" spans="1:13">
      <c r="A535" s="1" t="s">
        <v>2350</v>
      </c>
      <c r="B535" s="1" t="s">
        <v>13</v>
      </c>
      <c r="C535" s="4" t="s">
        <v>2351</v>
      </c>
      <c r="D535" s="1" t="s">
        <v>2352</v>
      </c>
      <c r="E535" s="1" t="s">
        <v>2147</v>
      </c>
      <c r="F535" s="4" t="s">
        <v>17</v>
      </c>
      <c r="G535" s="1" t="s">
        <v>18</v>
      </c>
      <c r="H535" s="1" t="s">
        <v>19</v>
      </c>
      <c r="I535" s="1" t="s">
        <v>20</v>
      </c>
      <c r="J535" s="1" t="s">
        <v>2353</v>
      </c>
      <c r="K535" s="1" t="s">
        <v>22</v>
      </c>
      <c r="L535" s="1" t="str">
        <f>HYPERLINK("https://files.afu.se/Downloads/Transcripts/0%20-%20Government/USA%20-%20NASA%20Johnson/2018 10 19 - NASA Johnson - Space to Ground  A Successful Failure  10 19 2018_1VV6CwxJYtM - transcript (automated).pdf","Transcript Link")</f>
        <v>Transcript Link</v>
      </c>
      <c r="M535" s="2" t="str">
        <f>HYPERLINK("https://files.afu.se/Downloads/Transcripts/0%20-%20Government/USA%20-%20NASA%20Johnson/2018 10 19 - NASA Johnson - Space to Ground  A Successful Failure  10 19 2018_1VV6CwxJYtM - transcript (automated).pdf","Transcript Link")</f>
        <v>Transcript Link</v>
      </c>
    </row>
    <row r="536" ht="330" spans="1:13">
      <c r="A536" s="1" t="s">
        <v>2354</v>
      </c>
      <c r="B536" s="1" t="s">
        <v>13</v>
      </c>
      <c r="C536" s="4" t="s">
        <v>2355</v>
      </c>
      <c r="D536" s="1" t="s">
        <v>2356</v>
      </c>
      <c r="E536" s="1" t="s">
        <v>2357</v>
      </c>
      <c r="F536" s="4" t="s">
        <v>17</v>
      </c>
      <c r="G536" s="1" t="s">
        <v>18</v>
      </c>
      <c r="H536" s="1" t="s">
        <v>19</v>
      </c>
      <c r="I536" s="1" t="s">
        <v>20</v>
      </c>
      <c r="J536" s="1" t="s">
        <v>2358</v>
      </c>
      <c r="K536" s="1" t="s">
        <v>22</v>
      </c>
      <c r="L536" s="1" t="str">
        <f>HYPERLINK("https://files.afu.se/Downloads/Transcripts/0%20-%20Government/USA%20-%20NASA%20Johnson/2018 10 15 - NASA Johnson - Science at 17,500 Miles Per Hour_Tu5BgjZRYKA - transcript (automated).pdf","Transcript Link")</f>
        <v>Transcript Link</v>
      </c>
      <c r="M536" s="2" t="str">
        <f>HYPERLINK("https://files.afu.se/Downloads/Transcripts/0%20-%20Government/USA%20-%20NASA%20Johnson/2018 10 15 - NASA Johnson - Science at 17,500 Miles Per Hour_Tu5BgjZRYKA - transcript (automated).pdf","Transcript Link")</f>
        <v>Transcript Link</v>
      </c>
    </row>
    <row r="537" ht="180" spans="1:13">
      <c r="A537" s="1" t="s">
        <v>2359</v>
      </c>
      <c r="B537" s="1" t="s">
        <v>13</v>
      </c>
      <c r="C537" s="4" t="s">
        <v>2360</v>
      </c>
      <c r="D537" s="1" t="s">
        <v>2361</v>
      </c>
      <c r="E537" s="1" t="s">
        <v>2362</v>
      </c>
      <c r="F537" s="4" t="s">
        <v>17</v>
      </c>
      <c r="G537" s="1" t="s">
        <v>18</v>
      </c>
      <c r="H537" s="1" t="s">
        <v>19</v>
      </c>
      <c r="I537" s="1" t="s">
        <v>20</v>
      </c>
      <c r="J537" s="1" t="s">
        <v>2363</v>
      </c>
      <c r="K537" s="1" t="s">
        <v>22</v>
      </c>
      <c r="L537" s="1" t="str">
        <f>HYPERLINK("https://files.afu.se/Downloads/Transcripts/0%20-%20Government/USA%20-%20NASA%20Johnson/2018 10 10 - NASA Johnson - ARES  Arriving Realistically to Earth's Sister_3BoO0obihPs - transcript (automated).pdf","Transcript Link")</f>
        <v>Transcript Link</v>
      </c>
      <c r="M537" s="2" t="str">
        <f>HYPERLINK("https://files.afu.se/Downloads/Transcripts/0%20-%20Government/USA%20-%20NASA%20Johnson/2018 10 10 - NASA Johnson - ARES  Arriving Realistically to Earth's Sister_3BoO0obihPs - transcript (automated).pdf","Transcript Link")</f>
        <v>Transcript Link</v>
      </c>
    </row>
    <row r="538" ht="195" spans="1:13">
      <c r="A538" s="1" t="s">
        <v>2359</v>
      </c>
      <c r="B538" s="1" t="s">
        <v>13</v>
      </c>
      <c r="C538" s="4" t="s">
        <v>2364</v>
      </c>
      <c r="D538" s="1" t="s">
        <v>2365</v>
      </c>
      <c r="E538" s="1" t="s">
        <v>2366</v>
      </c>
      <c r="F538" s="4" t="s">
        <v>17</v>
      </c>
      <c r="G538" s="1" t="s">
        <v>18</v>
      </c>
      <c r="H538" s="1" t="s">
        <v>19</v>
      </c>
      <c r="I538" s="1" t="s">
        <v>20</v>
      </c>
      <c r="J538" s="1" t="s">
        <v>2367</v>
      </c>
      <c r="K538" s="1" t="s">
        <v>22</v>
      </c>
      <c r="L538" s="1" t="str">
        <f>HYPERLINK("https://files.afu.se/Downloads/Transcripts/0%20-%20Government/USA%20-%20NASA%20Johnson/2018 10 10 - NASA Johnson - Rendezvous with Mars_MVY09DfbcyI - transcript (automated).pdf","Transcript Link")</f>
        <v>Transcript Link</v>
      </c>
      <c r="M538" s="2" t="str">
        <f>HYPERLINK("https://files.afu.se/Downloads/Transcripts/0%20-%20Government/USA%20-%20NASA%20Johnson/2018 10 10 - NASA Johnson - Rendezvous with Mars_MVY09DfbcyI - transcript (automated).pdf","Transcript Link")</f>
        <v>Transcript Link</v>
      </c>
    </row>
    <row r="539" ht="180" spans="1:13">
      <c r="A539" s="1" t="s">
        <v>2359</v>
      </c>
      <c r="B539" s="1" t="s">
        <v>13</v>
      </c>
      <c r="C539" s="4" t="s">
        <v>2368</v>
      </c>
      <c r="D539" s="1" t="s">
        <v>2369</v>
      </c>
      <c r="E539" s="1" t="s">
        <v>2370</v>
      </c>
      <c r="F539" s="4" t="s">
        <v>17</v>
      </c>
      <c r="G539" s="1" t="s">
        <v>18</v>
      </c>
      <c r="H539" s="1" t="s">
        <v>19</v>
      </c>
      <c r="I539" s="1" t="s">
        <v>20</v>
      </c>
      <c r="J539" s="1" t="s">
        <v>2371</v>
      </c>
      <c r="K539" s="1" t="s">
        <v>22</v>
      </c>
      <c r="L539" s="1" t="str">
        <f>HYPERLINK("https://files.afu.se/Downloads/Transcripts/0%20-%20Government/USA%20-%20NASA%20Johnson/2018 10 10 - NASA Johnson - LANDFALL OF HURRICANE MICHAEL FROM SPACE_BISAsi3uyhM - transcript (automated).pdf","Transcript Link")</f>
        <v>Transcript Link</v>
      </c>
      <c r="M539" s="2" t="str">
        <f>HYPERLINK("https://files.afu.se/Downloads/Transcripts/0%20-%20Government/USA%20-%20NASA%20Johnson/2018 10 10 - NASA Johnson - LANDFALL OF HURRICANE MICHAEL FROM SPACE_BISAsi3uyhM - transcript (automated).pdf","Transcript Link")</f>
        <v>Transcript Link</v>
      </c>
    </row>
    <row r="540" ht="180" spans="1:13">
      <c r="A540" s="1" t="s">
        <v>2359</v>
      </c>
      <c r="B540" s="1" t="s">
        <v>13</v>
      </c>
      <c r="C540" s="4" t="s">
        <v>2372</v>
      </c>
      <c r="D540" s="1" t="s">
        <v>2373</v>
      </c>
      <c r="E540" s="1" t="s">
        <v>2374</v>
      </c>
      <c r="F540" s="4" t="s">
        <v>17</v>
      </c>
      <c r="G540" s="1" t="s">
        <v>18</v>
      </c>
      <c r="H540" s="1" t="s">
        <v>19</v>
      </c>
      <c r="I540" s="1" t="s">
        <v>20</v>
      </c>
      <c r="J540" s="1" t="s">
        <v>2375</v>
      </c>
      <c r="K540" s="1" t="s">
        <v>22</v>
      </c>
      <c r="L540" s="1" t="str">
        <f>HYPERLINK("https://files.afu.se/Downloads/Transcripts/0%20-%20Government/USA%20-%20NASA%20Johnson/2018 10 10 - NASA Johnson - Red Dream_45hEdNMUHpc - transcript (automated).pdf","Transcript Link")</f>
        <v>Transcript Link</v>
      </c>
      <c r="M540" s="2" t="str">
        <f>HYPERLINK("https://files.afu.se/Downloads/Transcripts/0%20-%20Government/USA%20-%20NASA%20Johnson/2018 10 10 - NASA Johnson - Red Dream_45hEdNMUHpc - transcript (automated).pdf","Transcript Link")</f>
        <v>Transcript Link</v>
      </c>
    </row>
    <row r="541" ht="195" spans="1:13">
      <c r="A541" s="1" t="s">
        <v>2359</v>
      </c>
      <c r="B541" s="1" t="s">
        <v>13</v>
      </c>
      <c r="C541" s="4" t="s">
        <v>2376</v>
      </c>
      <c r="D541" s="1" t="s">
        <v>2377</v>
      </c>
      <c r="E541" s="1" t="s">
        <v>2378</v>
      </c>
      <c r="F541" s="4" t="s">
        <v>17</v>
      </c>
      <c r="G541" s="1" t="s">
        <v>18</v>
      </c>
      <c r="H541" s="1" t="s">
        <v>19</v>
      </c>
      <c r="I541" s="1" t="s">
        <v>20</v>
      </c>
      <c r="J541" s="1" t="s">
        <v>2379</v>
      </c>
      <c r="K541" s="1" t="s">
        <v>22</v>
      </c>
      <c r="L541" s="1" t="str">
        <f>HYPERLINK("https://files.afu.se/Downloads/Transcripts/0%20-%20Government/USA%20-%20NASA%20Johnson/2018 10 10 - NASA Johnson - NASA_CHzoZ98a2iY - transcript (automated).pdf","Transcript Link")</f>
        <v>Transcript Link</v>
      </c>
      <c r="M541" s="2" t="str">
        <f>HYPERLINK("https://files.afu.se/Downloads/Transcripts/0%20-%20Government/USA%20-%20NASA%20Johnson/2018 10 10 - NASA Johnson - NASA_CHzoZ98a2iY - transcript (automated).pdf","Transcript Link")</f>
        <v>Transcript Link</v>
      </c>
    </row>
    <row r="542" ht="180" spans="1:13">
      <c r="A542" s="1" t="s">
        <v>2359</v>
      </c>
      <c r="B542" s="1" t="s">
        <v>13</v>
      </c>
      <c r="C542" s="4" t="s">
        <v>2380</v>
      </c>
      <c r="D542" s="1" t="s">
        <v>2381</v>
      </c>
      <c r="E542" s="1" t="s">
        <v>2382</v>
      </c>
      <c r="F542" s="4" t="s">
        <v>17</v>
      </c>
      <c r="G542" s="1" t="s">
        <v>18</v>
      </c>
      <c r="H542" s="1" t="s">
        <v>19</v>
      </c>
      <c r="I542" s="1" t="s">
        <v>20</v>
      </c>
      <c r="J542" s="1" t="s">
        <v>2383</v>
      </c>
      <c r="K542" s="1" t="s">
        <v>22</v>
      </c>
      <c r="L542" s="1" t="str">
        <f>HYPERLINK("https://files.afu.se/Downloads/Transcripts/0%20-%20Government/USA%20-%20NASA%20Johnson/2018 10 10 - NASA Johnson - HIGHER_lbGpk8yG6CA - transcript (automated).pdf","Transcript Link")</f>
        <v>Transcript Link</v>
      </c>
      <c r="M542" s="2" t="str">
        <f>HYPERLINK("https://files.afu.se/Downloads/Transcripts/0%20-%20Government/USA%20-%20NASA%20Johnson/2018 10 10 - NASA Johnson - HIGHER_lbGpk8yG6CA - transcript (automated).pdf","Transcript Link")</f>
        <v>Transcript Link</v>
      </c>
    </row>
    <row r="543" ht="195" spans="1:13">
      <c r="A543" s="1" t="s">
        <v>2359</v>
      </c>
      <c r="B543" s="1" t="s">
        <v>13</v>
      </c>
      <c r="C543" s="4" t="s">
        <v>2384</v>
      </c>
      <c r="D543" s="1" t="s">
        <v>2385</v>
      </c>
      <c r="E543" s="1" t="s">
        <v>2386</v>
      </c>
      <c r="F543" s="4" t="s">
        <v>17</v>
      </c>
      <c r="G543" s="1" t="s">
        <v>18</v>
      </c>
      <c r="H543" s="1" t="s">
        <v>19</v>
      </c>
      <c r="I543" s="1" t="s">
        <v>20</v>
      </c>
      <c r="J543" s="1" t="s">
        <v>2387</v>
      </c>
      <c r="K543" s="1" t="s">
        <v>22</v>
      </c>
      <c r="L543" s="1" t="str">
        <f>HYPERLINK("https://files.afu.se/Downloads/Transcripts/0%20-%20Government/USA%20-%20NASA%20Johnson/2018 10 10 - NASA Johnson - Dreaming of Mars_vwc74Y3e774 - transcript (automated).pdf","Transcript Link")</f>
        <v>Transcript Link</v>
      </c>
      <c r="M543" s="2" t="str">
        <f>HYPERLINK("https://files.afu.se/Downloads/Transcripts/0%20-%20Government/USA%20-%20NASA%20Johnson/2018 10 10 - NASA Johnson - Dreaming of Mars_vwc74Y3e774 - transcript (automated).pdf","Transcript Link")</f>
        <v>Transcript Link</v>
      </c>
    </row>
    <row r="544" ht="180" spans="1:13">
      <c r="A544" s="1" t="s">
        <v>2359</v>
      </c>
      <c r="B544" s="1" t="s">
        <v>13</v>
      </c>
      <c r="C544" s="4" t="s">
        <v>2388</v>
      </c>
      <c r="D544" s="1" t="s">
        <v>2389</v>
      </c>
      <c r="E544" s="1" t="s">
        <v>2390</v>
      </c>
      <c r="F544" s="4" t="s">
        <v>17</v>
      </c>
      <c r="G544" s="1" t="s">
        <v>18</v>
      </c>
      <c r="H544" s="1" t="s">
        <v>19</v>
      </c>
      <c r="I544" s="1" t="s">
        <v>20</v>
      </c>
      <c r="J544" s="1" t="s">
        <v>2391</v>
      </c>
      <c r="K544" s="1" t="s">
        <v>22</v>
      </c>
      <c r="L544" s="1" t="str">
        <f>HYPERLINK("https://files.afu.se/Downloads/Transcripts/0%20-%20Government/USA%20-%20NASA%20Johnson/2018 10 10 - NASA Johnson - 92MARS_w53JFVZtwhA - transcript (automated).pdf","Transcript Link")</f>
        <v>Transcript Link</v>
      </c>
      <c r="M544" s="2" t="str">
        <f>HYPERLINK("https://files.afu.se/Downloads/Transcripts/0%20-%20Government/USA%20-%20NASA%20Johnson/2018 10 10 - NASA Johnson - 92MARS_w53JFVZtwhA - transcript (automated).pdf","Transcript Link")</f>
        <v>Transcript Link</v>
      </c>
    </row>
    <row r="545" ht="180" spans="1:13">
      <c r="A545" s="1" t="s">
        <v>2359</v>
      </c>
      <c r="B545" s="1" t="s">
        <v>13</v>
      </c>
      <c r="C545" s="4" t="s">
        <v>2392</v>
      </c>
      <c r="D545" s="1" t="s">
        <v>2393</v>
      </c>
      <c r="E545" s="1" t="s">
        <v>2394</v>
      </c>
      <c r="F545" s="4" t="s">
        <v>17</v>
      </c>
      <c r="G545" s="1" t="s">
        <v>18</v>
      </c>
      <c r="H545" s="1" t="s">
        <v>19</v>
      </c>
      <c r="I545" s="1" t="s">
        <v>20</v>
      </c>
      <c r="J545" s="1" t="s">
        <v>2395</v>
      </c>
      <c r="K545" s="1" t="s">
        <v>22</v>
      </c>
      <c r="L545" s="1" t="str">
        <f>HYPERLINK("https://files.afu.se/Downloads/Transcripts/0%20-%20Government/USA%20-%20NASA%20Johnson/2018 10 10 - NASA Johnson - What if _10Pb6xQ_IYY - transcript (automated).pdf","Transcript Link")</f>
        <v>Transcript Link</v>
      </c>
      <c r="M545" s="2" t="str">
        <f>HYPERLINK("https://files.afu.se/Downloads/Transcripts/0%20-%20Government/USA%20-%20NASA%20Johnson/2018 10 10 - NASA Johnson - What if _10Pb6xQ_IYY - transcript (automated).pdf","Transcript Link")</f>
        <v>Transcript Link</v>
      </c>
    </row>
    <row r="546" ht="180" spans="1:13">
      <c r="A546" s="1" t="s">
        <v>2359</v>
      </c>
      <c r="B546" s="1" t="s">
        <v>13</v>
      </c>
      <c r="C546" s="4" t="s">
        <v>2396</v>
      </c>
      <c r="D546" s="1" t="s">
        <v>2397</v>
      </c>
      <c r="E546" s="1" t="s">
        <v>2398</v>
      </c>
      <c r="F546" s="4" t="s">
        <v>17</v>
      </c>
      <c r="G546" s="1" t="s">
        <v>18</v>
      </c>
      <c r="H546" s="1" t="s">
        <v>19</v>
      </c>
      <c r="I546" s="1" t="s">
        <v>20</v>
      </c>
      <c r="J546" s="1" t="s">
        <v>2399</v>
      </c>
      <c r="K546" s="1" t="s">
        <v>22</v>
      </c>
      <c r="L546" s="1" t="str">
        <f>HYPERLINK("https://files.afu.se/Downloads/Transcripts/0%20-%20Government/USA%20-%20NASA%20Johnson/2018 10 10 - NASA Johnson - Expecting_619bUFGsD5A - transcript (automated).pdf","Transcript Link")</f>
        <v>Transcript Link</v>
      </c>
      <c r="M546" s="2" t="str">
        <f>HYPERLINK("https://files.afu.se/Downloads/Transcripts/0%20-%20Government/USA%20-%20NASA%20Johnson/2018 10 10 - NASA Johnson - Expecting_619bUFGsD5A - transcript (automated).pdf","Transcript Link")</f>
        <v>Transcript Link</v>
      </c>
    </row>
    <row r="547" ht="195" spans="1:13">
      <c r="A547" s="1" t="s">
        <v>2359</v>
      </c>
      <c r="B547" s="1" t="s">
        <v>13</v>
      </c>
      <c r="C547" s="4" t="s">
        <v>2400</v>
      </c>
      <c r="D547" s="1" t="s">
        <v>2401</v>
      </c>
      <c r="E547" s="1" t="s">
        <v>2402</v>
      </c>
      <c r="F547" s="4" t="s">
        <v>17</v>
      </c>
      <c r="G547" s="1" t="s">
        <v>18</v>
      </c>
      <c r="H547" s="1" t="s">
        <v>19</v>
      </c>
      <c r="I547" s="1" t="s">
        <v>20</v>
      </c>
      <c r="J547" s="1" t="s">
        <v>2403</v>
      </c>
      <c r="K547" s="1" t="s">
        <v>22</v>
      </c>
      <c r="L547" s="1" t="str">
        <f>HYPERLINK("https://files.afu.se/Downloads/Transcripts/0%20-%20Government/USA%20-%20NASA%20Johnson/2018 10 10 - NASA Johnson - DREAM RED_6IDeu5pjWuY - transcript (automated).pdf","Transcript Link")</f>
        <v>Transcript Link</v>
      </c>
      <c r="M547" s="2" t="str">
        <f>HYPERLINK("https://files.afu.se/Downloads/Transcripts/0%20-%20Government/USA%20-%20NASA%20Johnson/2018 10 10 - NASA Johnson - DREAM RED_6IDeu5pjWuY - transcript (automated).pdf","Transcript Link")</f>
        <v>Transcript Link</v>
      </c>
    </row>
    <row r="548" ht="180" spans="1:13">
      <c r="A548" s="1" t="s">
        <v>2359</v>
      </c>
      <c r="B548" s="1" t="s">
        <v>13</v>
      </c>
      <c r="C548" s="4" t="s">
        <v>2404</v>
      </c>
      <c r="D548" s="1" t="s">
        <v>2405</v>
      </c>
      <c r="E548" s="1" t="s">
        <v>2406</v>
      </c>
      <c r="F548" s="4" t="s">
        <v>17</v>
      </c>
      <c r="G548" s="1" t="s">
        <v>18</v>
      </c>
      <c r="H548" s="1" t="s">
        <v>19</v>
      </c>
      <c r="I548" s="1" t="s">
        <v>20</v>
      </c>
      <c r="J548" s="1" t="s">
        <v>2407</v>
      </c>
      <c r="K548" s="1" t="s">
        <v>22</v>
      </c>
      <c r="L548" s="1" t="str">
        <f>HYPERLINK("https://files.afu.se/Downloads/Transcripts/0%20-%20Government/USA%20-%20NASA%20Johnson/2018 10 10 - NASA Johnson - On the Shoulders of Giants_8tK8sAU-Cyk - transcript (automated).pdf","Transcript Link")</f>
        <v>Transcript Link</v>
      </c>
      <c r="M548" s="2" t="str">
        <f>HYPERLINK("https://files.afu.se/Downloads/Transcripts/0%20-%20Government/USA%20-%20NASA%20Johnson/2018 10 10 - NASA Johnson - On the Shoulders of Giants_8tK8sAU-Cyk - transcript (automated).pdf","Transcript Link")</f>
        <v>Transcript Link</v>
      </c>
    </row>
    <row r="549" ht="195" spans="1:13">
      <c r="A549" s="1" t="s">
        <v>2359</v>
      </c>
      <c r="B549" s="1" t="s">
        <v>13</v>
      </c>
      <c r="C549" s="4" t="s">
        <v>2408</v>
      </c>
      <c r="D549" s="1" t="s">
        <v>2409</v>
      </c>
      <c r="E549" s="1" t="s">
        <v>2410</v>
      </c>
      <c r="F549" s="4" t="s">
        <v>17</v>
      </c>
      <c r="G549" s="1" t="s">
        <v>18</v>
      </c>
      <c r="H549" s="1" t="s">
        <v>19</v>
      </c>
      <c r="I549" s="1" t="s">
        <v>20</v>
      </c>
      <c r="J549" s="1" t="s">
        <v>2411</v>
      </c>
      <c r="K549" s="1" t="s">
        <v>22</v>
      </c>
      <c r="L549" s="1" t="str">
        <f>HYPERLINK("https://files.afu.se/Downloads/Transcripts/0%20-%20Government/USA%20-%20NASA%20Johnson/2018 10 10 - NASA Johnson - Redemption_A87YPC3SBko - transcript (automated).pdf","Transcript Link")</f>
        <v>Transcript Link</v>
      </c>
      <c r="M549" s="2" t="str">
        <f>HYPERLINK("https://files.afu.se/Downloads/Transcripts/0%20-%20Government/USA%20-%20NASA%20Johnson/2018 10 10 - NASA Johnson - Redemption_A87YPC3SBko - transcript (automated).pdf","Transcript Link")</f>
        <v>Transcript Link</v>
      </c>
    </row>
    <row r="550" ht="195" spans="1:13">
      <c r="A550" s="1" t="s">
        <v>2359</v>
      </c>
      <c r="B550" s="1" t="s">
        <v>13</v>
      </c>
      <c r="C550" s="4" t="s">
        <v>2412</v>
      </c>
      <c r="D550" s="1" t="s">
        <v>2413</v>
      </c>
      <c r="E550" s="1" t="s">
        <v>2414</v>
      </c>
      <c r="F550" s="4" t="s">
        <v>17</v>
      </c>
      <c r="G550" s="1" t="s">
        <v>18</v>
      </c>
      <c r="H550" s="1" t="s">
        <v>19</v>
      </c>
      <c r="I550" s="1" t="s">
        <v>20</v>
      </c>
      <c r="J550" s="1" t="s">
        <v>2415</v>
      </c>
      <c r="K550" s="1" t="s">
        <v>22</v>
      </c>
      <c r="L550" s="1" t="str">
        <f>HYPERLINK("https://files.afu.se/Downloads/Transcripts/0%20-%20Government/USA%20-%20NASA%20Johnson/2018 10 10 - NASA Johnson - Approach_Cz4ib70kpZE - transcript (automated).pdf","Transcript Link")</f>
        <v>Transcript Link</v>
      </c>
      <c r="M550" s="2" t="str">
        <f>HYPERLINK("https://files.afu.se/Downloads/Transcripts/0%20-%20Government/USA%20-%20NASA%20Johnson/2018 10 10 - NASA Johnson - Approach_Cz4ib70kpZE - transcript (automated).pdf","Transcript Link")</f>
        <v>Transcript Link</v>
      </c>
    </row>
    <row r="551" ht="195" spans="1:13">
      <c r="A551" s="1" t="s">
        <v>2359</v>
      </c>
      <c r="B551" s="1" t="s">
        <v>13</v>
      </c>
      <c r="C551" s="4" t="s">
        <v>2416</v>
      </c>
      <c r="D551" s="1" t="s">
        <v>2417</v>
      </c>
      <c r="E551" s="1" t="s">
        <v>2418</v>
      </c>
      <c r="F551" s="4" t="s">
        <v>17</v>
      </c>
      <c r="G551" s="1" t="s">
        <v>18</v>
      </c>
      <c r="H551" s="1" t="s">
        <v>19</v>
      </c>
      <c r="I551" s="1" t="s">
        <v>20</v>
      </c>
      <c r="J551" s="1" t="s">
        <v>2419</v>
      </c>
      <c r="K551" s="1" t="s">
        <v>22</v>
      </c>
      <c r="L551" s="1" t="str">
        <f>HYPERLINK("https://files.afu.se/Downloads/Transcripts/0%20-%20Government/USA%20-%20NASA%20Johnson/2018 10 10 - NASA Johnson - Morning Blue_DpoIYI2cU7c - transcript (automated).pdf","Transcript Link")</f>
        <v>Transcript Link</v>
      </c>
      <c r="M551" s="2" t="str">
        <f>HYPERLINK("https://files.afu.se/Downloads/Transcripts/0%20-%20Government/USA%20-%20NASA%20Johnson/2018 10 10 - NASA Johnson - Morning Blue_DpoIYI2cU7c - transcript (automated).pdf","Transcript Link")</f>
        <v>Transcript Link</v>
      </c>
    </row>
    <row r="552" ht="195" spans="1:13">
      <c r="A552" s="1" t="s">
        <v>2359</v>
      </c>
      <c r="B552" s="1" t="s">
        <v>13</v>
      </c>
      <c r="C552" s="4" t="s">
        <v>2420</v>
      </c>
      <c r="D552" s="1" t="s">
        <v>2421</v>
      </c>
      <c r="E552" s="1" t="s">
        <v>2422</v>
      </c>
      <c r="F552" s="4" t="s">
        <v>17</v>
      </c>
      <c r="G552" s="1" t="s">
        <v>18</v>
      </c>
      <c r="H552" s="1" t="s">
        <v>19</v>
      </c>
      <c r="I552" s="1" t="s">
        <v>20</v>
      </c>
      <c r="J552" s="1" t="s">
        <v>2423</v>
      </c>
      <c r="K552" s="1" t="s">
        <v>22</v>
      </c>
      <c r="L552" s="1" t="str">
        <f>HYPERLINK("https://files.afu.se/Downloads/Transcripts/0%20-%20Government/USA%20-%20NASA%20Johnson/2018 10 10 - NASA Johnson - Inevitable_LSgUf3SGXdg - transcript (automated).pdf","Transcript Link")</f>
        <v>Transcript Link</v>
      </c>
      <c r="M552" s="2" t="str">
        <f>HYPERLINK("https://files.afu.se/Downloads/Transcripts/0%20-%20Government/USA%20-%20NASA%20Johnson/2018 10 10 - NASA Johnson - Inevitable_LSgUf3SGXdg - transcript (automated).pdf","Transcript Link")</f>
        <v>Transcript Link</v>
      </c>
    </row>
    <row r="553" ht="180" spans="1:13">
      <c r="A553" s="1" t="s">
        <v>2359</v>
      </c>
      <c r="B553" s="1" t="s">
        <v>13</v>
      </c>
      <c r="C553" s="4" t="s">
        <v>2424</v>
      </c>
      <c r="D553" s="1" t="s">
        <v>2425</v>
      </c>
      <c r="E553" s="1" t="s">
        <v>2426</v>
      </c>
      <c r="F553" s="4" t="s">
        <v>17</v>
      </c>
      <c r="G553" s="1" t="s">
        <v>18</v>
      </c>
      <c r="H553" s="1" t="s">
        <v>19</v>
      </c>
      <c r="I553" s="1" t="s">
        <v>20</v>
      </c>
      <c r="J553" s="1" t="s">
        <v>2427</v>
      </c>
      <c r="K553" s="1" t="s">
        <v>22</v>
      </c>
      <c r="L553" s="1" t="str">
        <f>HYPERLINK("https://files.afu.se/Downloads/Transcripts/0%20-%20Government/USA%20-%20NASA%20Johnson/2018 10 10 - NASA Johnson - First Generation_OBBBT4V0Acw - transcript (automated).pdf","Transcript Link")</f>
        <v>Transcript Link</v>
      </c>
      <c r="M553" s="2" t="str">
        <f>HYPERLINK("https://files.afu.se/Downloads/Transcripts/0%20-%20Government/USA%20-%20NASA%20Johnson/2018 10 10 - NASA Johnson - First Generation_OBBBT4V0Acw - transcript (automated).pdf","Transcript Link")</f>
        <v>Transcript Link</v>
      </c>
    </row>
    <row r="554" ht="180" spans="1:13">
      <c r="A554" s="1" t="s">
        <v>2359</v>
      </c>
      <c r="B554" s="1" t="s">
        <v>13</v>
      </c>
      <c r="C554" s="4" t="s">
        <v>2428</v>
      </c>
      <c r="D554" s="1" t="s">
        <v>2429</v>
      </c>
      <c r="E554" s="1" t="s">
        <v>2430</v>
      </c>
      <c r="F554" s="4" t="s">
        <v>17</v>
      </c>
      <c r="G554" s="1" t="s">
        <v>18</v>
      </c>
      <c r="H554" s="1" t="s">
        <v>19</v>
      </c>
      <c r="I554" s="1" t="s">
        <v>20</v>
      </c>
      <c r="J554" s="1" t="s">
        <v>2431</v>
      </c>
      <c r="K554" s="1" t="s">
        <v>22</v>
      </c>
      <c r="L554" s="1" t="str">
        <f>HYPERLINK("https://files.afu.se/Downloads/Transcripts/0%20-%20Government/USA%20-%20NASA%20Johnson/2018 10 10 - NASA Johnson - LEGO  Dreaming of Mars_VMxB55C2qeU - transcript (automated).pdf","Transcript Link")</f>
        <v>Transcript Link</v>
      </c>
      <c r="M554" s="2" t="str">
        <f>HYPERLINK("https://files.afu.se/Downloads/Transcripts/0%20-%20Government/USA%20-%20NASA%20Johnson/2018 10 10 - NASA Johnson - LEGO  Dreaming of Mars_VMxB55C2qeU - transcript (automated).pdf","Transcript Link")</f>
        <v>Transcript Link</v>
      </c>
    </row>
    <row r="555" ht="195" spans="1:13">
      <c r="A555" s="1" t="s">
        <v>2359</v>
      </c>
      <c r="B555" s="1" t="s">
        <v>13</v>
      </c>
      <c r="C555" s="4" t="s">
        <v>2432</v>
      </c>
      <c r="D555" s="1" t="s">
        <v>2433</v>
      </c>
      <c r="E555" s="1" t="s">
        <v>2434</v>
      </c>
      <c r="F555" s="4" t="s">
        <v>17</v>
      </c>
      <c r="G555" s="1" t="s">
        <v>18</v>
      </c>
      <c r="H555" s="1" t="s">
        <v>19</v>
      </c>
      <c r="I555" s="1" t="s">
        <v>20</v>
      </c>
      <c r="J555" s="1" t="s">
        <v>2435</v>
      </c>
      <c r="K555" s="1" t="s">
        <v>22</v>
      </c>
      <c r="L555" s="1" t="str">
        <f>HYPERLINK("https://files.afu.se/Downloads/Transcripts/0%20-%20Government/USA%20-%20NASA%20Johnson/2018 10 10 - NASA Johnson -  We are Explorers _VwrWafrxsSE - transcript (automated).pdf","Transcript Link")</f>
        <v>Transcript Link</v>
      </c>
      <c r="M555" s="2" t="str">
        <f>HYPERLINK("https://files.afu.se/Downloads/Transcripts/0%20-%20Government/USA%20-%20NASA%20Johnson/2018 10 10 - NASA Johnson -  We are Explorers _VwrWafrxsSE - transcript (automated).pdf","Transcript Link")</f>
        <v>Transcript Link</v>
      </c>
    </row>
    <row r="556" ht="195" spans="1:13">
      <c r="A556" s="1" t="s">
        <v>2359</v>
      </c>
      <c r="B556" s="1" t="s">
        <v>13</v>
      </c>
      <c r="C556" s="4" t="s">
        <v>2436</v>
      </c>
      <c r="D556" s="1" t="s">
        <v>2437</v>
      </c>
      <c r="E556" s="1" t="s">
        <v>2438</v>
      </c>
      <c r="F556" s="4" t="s">
        <v>17</v>
      </c>
      <c r="G556" s="1" t="s">
        <v>18</v>
      </c>
      <c r="H556" s="1" t="s">
        <v>19</v>
      </c>
      <c r="I556" s="1" t="s">
        <v>20</v>
      </c>
      <c r="J556" s="1" t="s">
        <v>2439</v>
      </c>
      <c r="K556" s="1" t="s">
        <v>22</v>
      </c>
      <c r="L556" s="1" t="str">
        <f>HYPERLINK("https://files.afu.se/Downloads/Transcripts/0%20-%20Government/USA%20-%20NASA%20Johnson/2018 10 10 - NASA Johnson - Mayhem_iyncWZVONm0 - transcript (automated).pdf","Transcript Link")</f>
        <v>Transcript Link</v>
      </c>
      <c r="M556" s="2" t="str">
        <f>HYPERLINK("https://files.afu.se/Downloads/Transcripts/0%20-%20Government/USA%20-%20NASA%20Johnson/2018 10 10 - NASA Johnson - Mayhem_iyncWZVONm0 - transcript (automated).pdf","Transcript Link")</f>
        <v>Transcript Link</v>
      </c>
    </row>
    <row r="557" ht="195" spans="1:13">
      <c r="A557" s="1" t="s">
        <v>2359</v>
      </c>
      <c r="B557" s="1" t="s">
        <v>13</v>
      </c>
      <c r="C557" s="4" t="s">
        <v>2440</v>
      </c>
      <c r="D557" s="1" t="s">
        <v>2441</v>
      </c>
      <c r="E557" s="1" t="s">
        <v>2442</v>
      </c>
      <c r="F557" s="4" t="s">
        <v>17</v>
      </c>
      <c r="G557" s="1" t="s">
        <v>18</v>
      </c>
      <c r="H557" s="1" t="s">
        <v>19</v>
      </c>
      <c r="I557" s="1" t="s">
        <v>20</v>
      </c>
      <c r="J557" s="1" t="s">
        <v>2443</v>
      </c>
      <c r="K557" s="1" t="s">
        <v>22</v>
      </c>
      <c r="L557" s="1" t="str">
        <f>HYPERLINK("https://files.afu.se/Downloads/Transcripts/0%20-%20Government/USA%20-%20NASA%20Johnson/2018 10 10 - NASA Johnson - Patience_ugwNv0E3hwM - transcript (automated).pdf","Transcript Link")</f>
        <v>Transcript Link</v>
      </c>
      <c r="M557" s="2" t="str">
        <f>HYPERLINK("https://files.afu.se/Downloads/Transcripts/0%20-%20Government/USA%20-%20NASA%20Johnson/2018 10 10 - NASA Johnson - Patience_ugwNv0E3hwM - transcript (automated).pdf","Transcript Link")</f>
        <v>Transcript Link</v>
      </c>
    </row>
    <row r="558" ht="180" spans="1:13">
      <c r="A558" s="1" t="s">
        <v>2359</v>
      </c>
      <c r="B558" s="1" t="s">
        <v>13</v>
      </c>
      <c r="C558" s="4" t="s">
        <v>2444</v>
      </c>
      <c r="D558" s="1" t="s">
        <v>2445</v>
      </c>
      <c r="E558" s="1" t="s">
        <v>2446</v>
      </c>
      <c r="F558" s="4" t="s">
        <v>17</v>
      </c>
      <c r="G558" s="1" t="s">
        <v>18</v>
      </c>
      <c r="H558" s="1" t="s">
        <v>19</v>
      </c>
      <c r="I558" s="1" t="s">
        <v>20</v>
      </c>
      <c r="J558" s="1" t="s">
        <v>2447</v>
      </c>
      <c r="K558" s="1" t="s">
        <v>22</v>
      </c>
      <c r="L558" s="1" t="str">
        <f>HYPERLINK("https://files.afu.se/Downloads/Transcripts/0%20-%20Government/USA%20-%20NASA%20Johnson/2018 10 10 - NASA Johnson - Forever Seeking_w7pkPkjRi3k - transcript (automated).pdf","Transcript Link")</f>
        <v>Transcript Link</v>
      </c>
      <c r="M558" s="2" t="str">
        <f>HYPERLINK("https://files.afu.se/Downloads/Transcripts/0%20-%20Government/USA%20-%20NASA%20Johnson/2018 10 10 - NASA Johnson - Forever Seeking_w7pkPkjRi3k - transcript (automated).pdf","Transcript Link")</f>
        <v>Transcript Link</v>
      </c>
    </row>
    <row r="559" ht="210" spans="1:13">
      <c r="A559" s="1" t="s">
        <v>2359</v>
      </c>
      <c r="B559" s="1" t="s">
        <v>13</v>
      </c>
      <c r="C559" s="4" t="s">
        <v>2448</v>
      </c>
      <c r="D559" s="1" t="s">
        <v>2449</v>
      </c>
      <c r="E559" s="1" t="s">
        <v>2450</v>
      </c>
      <c r="F559" s="4" t="s">
        <v>17</v>
      </c>
      <c r="G559" s="1" t="s">
        <v>18</v>
      </c>
      <c r="H559" s="1" t="s">
        <v>19</v>
      </c>
      <c r="I559" s="1" t="s">
        <v>20</v>
      </c>
      <c r="J559" s="1" t="s">
        <v>2451</v>
      </c>
      <c r="K559" s="1" t="s">
        <v>22</v>
      </c>
      <c r="L559" s="1" t="str">
        <f>HYPERLINK("https://files.afu.se/Downloads/Transcripts/0%20-%20Government/USA%20-%20NASA%20Johnson/2018 10 10 - NASA Johnson - Godspeed_wuQK_2xUzsc - transcript (automated).pdf","Transcript Link")</f>
        <v>Transcript Link</v>
      </c>
      <c r="M559" s="2" t="str">
        <f>HYPERLINK("https://files.afu.se/Downloads/Transcripts/0%20-%20Government/USA%20-%20NASA%20Johnson/2018 10 10 - NASA Johnson - Godspeed_wuQK_2xUzsc - transcript (automated).pdf","Transcript Link")</f>
        <v>Transcript Link</v>
      </c>
    </row>
    <row r="560" ht="180" spans="1:13">
      <c r="A560" s="1" t="s">
        <v>2359</v>
      </c>
      <c r="B560" s="1" t="s">
        <v>13</v>
      </c>
      <c r="C560" s="4" t="s">
        <v>2452</v>
      </c>
      <c r="D560" s="1" t="s">
        <v>2453</v>
      </c>
      <c r="E560" s="1" t="s">
        <v>2454</v>
      </c>
      <c r="F560" s="4" t="s">
        <v>17</v>
      </c>
      <c r="G560" s="1" t="s">
        <v>18</v>
      </c>
      <c r="H560" s="1" t="s">
        <v>19</v>
      </c>
      <c r="I560" s="1" t="s">
        <v>20</v>
      </c>
      <c r="J560" s="1" t="s">
        <v>2455</v>
      </c>
      <c r="K560" s="1" t="s">
        <v>22</v>
      </c>
      <c r="L560" s="1" t="str">
        <f>HYPERLINK("https://files.afu.se/Downloads/Transcripts/0%20-%20Government/USA%20-%20NASA%20Johnson/2018 10 10 - NASA Johnson - It's Time To Go Farther_x0dPDLtTVjY - transcript (automated).pdf","Transcript Link")</f>
        <v>Transcript Link</v>
      </c>
      <c r="M560" s="2" t="str">
        <f>HYPERLINK("https://files.afu.se/Downloads/Transcripts/0%20-%20Government/USA%20-%20NASA%20Johnson/2018 10 10 - NASA Johnson - It's Time To Go Farther_x0dPDLtTVjY - transcript (automated).pdf","Transcript Link")</f>
        <v>Transcript Link</v>
      </c>
    </row>
    <row r="561" ht="195" spans="1:13">
      <c r="A561" s="1" t="s">
        <v>2359</v>
      </c>
      <c r="B561" s="1" t="s">
        <v>13</v>
      </c>
      <c r="C561" s="4" t="s">
        <v>2456</v>
      </c>
      <c r="D561" s="1" t="s">
        <v>2457</v>
      </c>
      <c r="E561" s="1" t="s">
        <v>2458</v>
      </c>
      <c r="F561" s="4" t="s">
        <v>17</v>
      </c>
      <c r="G561" s="1" t="s">
        <v>18</v>
      </c>
      <c r="H561" s="1" t="s">
        <v>19</v>
      </c>
      <c r="I561" s="1" t="s">
        <v>20</v>
      </c>
      <c r="J561" s="1" t="s">
        <v>2459</v>
      </c>
      <c r="K561" s="1" t="s">
        <v>22</v>
      </c>
      <c r="L561" s="1" t="str">
        <f>HYPERLINK("https://files.afu.se/Downloads/Transcripts/0%20-%20Government/USA%20-%20NASA%20Johnson/2018 10 10 - NASA Johnson - Nomadic Cloud_xJjEQYohgG4 - transcript (automated).pdf","Transcript Link")</f>
        <v>Transcript Link</v>
      </c>
      <c r="M561" s="2" t="str">
        <f>HYPERLINK("https://files.afu.se/Downloads/Transcripts/0%20-%20Government/USA%20-%20NASA%20Johnson/2018 10 10 - NASA Johnson - Nomadic Cloud_xJjEQYohgG4 - transcript (automated).pdf","Transcript Link")</f>
        <v>Transcript Link</v>
      </c>
    </row>
    <row r="562" ht="270" spans="1:13">
      <c r="A562" s="1" t="s">
        <v>2359</v>
      </c>
      <c r="B562" s="1" t="s">
        <v>13</v>
      </c>
      <c r="C562" s="4" t="s">
        <v>2460</v>
      </c>
      <c r="D562" s="1" t="s">
        <v>2461</v>
      </c>
      <c r="E562" s="1" t="s">
        <v>2462</v>
      </c>
      <c r="F562" s="4" t="s">
        <v>17</v>
      </c>
      <c r="G562" s="1" t="s">
        <v>18</v>
      </c>
      <c r="H562" s="1" t="s">
        <v>19</v>
      </c>
      <c r="I562" s="1" t="s">
        <v>20</v>
      </c>
      <c r="J562" s="1" t="s">
        <v>2463</v>
      </c>
      <c r="K562" s="1" t="s">
        <v>22</v>
      </c>
      <c r="L562" s="1" t="str">
        <f>HYPERLINK("https://files.afu.se/Downloads/Transcripts/0%20-%20Government/USA%20-%20NASA%20Johnson/2018 10 10 - NASA Johnson - 5 Things You Didn’t Know About Astronaut Nick Hague_--Oy44w1cmY - transcript (automated).pdf","Transcript Link")</f>
        <v>Transcript Link</v>
      </c>
      <c r="M562" s="2" t="str">
        <f>HYPERLINK("https://files.afu.se/Downloads/Transcripts/0%20-%20Government/USA%20-%20NASA%20Johnson/2018 10 10 - NASA Johnson - 5 Things You Didn’t Know About Astronaut Nick Hague_--Oy44w1cmY - transcript (automated).pdf","Transcript Link")</f>
        <v>Transcript Link</v>
      </c>
    </row>
    <row r="563" ht="180" spans="1:13">
      <c r="A563" s="1" t="s">
        <v>2464</v>
      </c>
      <c r="B563" s="1" t="s">
        <v>13</v>
      </c>
      <c r="C563" s="4" t="s">
        <v>2465</v>
      </c>
      <c r="D563" s="1" t="s">
        <v>2466</v>
      </c>
      <c r="E563" s="1" t="s">
        <v>2467</v>
      </c>
      <c r="F563" s="4" t="s">
        <v>17</v>
      </c>
      <c r="G563" s="1" t="s">
        <v>18</v>
      </c>
      <c r="H563" s="1" t="s">
        <v>19</v>
      </c>
      <c r="I563" s="1" t="s">
        <v>20</v>
      </c>
      <c r="J563" s="1" t="s">
        <v>2468</v>
      </c>
      <c r="K563" s="1" t="s">
        <v>22</v>
      </c>
      <c r="L563" s="1" t="str">
        <f>HYPERLINK("https://files.afu.se/Downloads/Transcripts/0%20-%20Government/USA%20-%20NASA%20Johnson/2018 10 09 - NASA Johnson - SPACE STATION CAMERAS CAPTURE VIEWS OF HURRICANE MICHAEL_TLxoWSBpBxE - transcript (automated).pdf","Transcript Link")</f>
        <v>Transcript Link</v>
      </c>
      <c r="M563" s="2" t="str">
        <f>HYPERLINK("https://files.afu.se/Downloads/Transcripts/0%20-%20Government/USA%20-%20NASA%20Johnson/2018 10 09 - NASA Johnson - SPACE STATION CAMERAS CAPTURE VIEWS OF HURRICANE MICHAEL_TLxoWSBpBxE - transcript (automated).pdf","Transcript Link")</f>
        <v>Transcript Link</v>
      </c>
    </row>
    <row r="564" ht="180" spans="1:13">
      <c r="A564" s="1" t="s">
        <v>2464</v>
      </c>
      <c r="B564" s="1" t="s">
        <v>13</v>
      </c>
      <c r="C564" s="4" t="s">
        <v>2469</v>
      </c>
      <c r="D564" s="1" t="s">
        <v>2470</v>
      </c>
      <c r="E564" s="1" t="s">
        <v>2471</v>
      </c>
      <c r="F564" s="4" t="s">
        <v>17</v>
      </c>
      <c r="G564" s="1" t="s">
        <v>18</v>
      </c>
      <c r="H564" s="1" t="s">
        <v>19</v>
      </c>
      <c r="I564" s="1" t="s">
        <v>20</v>
      </c>
      <c r="J564" s="1" t="s">
        <v>2472</v>
      </c>
      <c r="K564" s="1" t="s">
        <v>22</v>
      </c>
      <c r="L564" s="1" t="str">
        <f>HYPERLINK("https://files.afu.se/Downloads/Transcripts/0%20-%20Government/USA%20-%20NASA%20Johnson/2018 10 09 - NASA Johnson - Astronaut Moments   Nick Hague_RKcxNsaLxEM - transcript (automated).pdf","Transcript Link")</f>
        <v>Transcript Link</v>
      </c>
      <c r="M564" s="2" t="str">
        <f>HYPERLINK("https://files.afu.se/Downloads/Transcripts/0%20-%20Government/USA%20-%20NASA%20Johnson/2018 10 09 - NASA Johnson - Astronaut Moments   Nick Hague_RKcxNsaLxEM - transcript (automated).pdf","Transcript Link")</f>
        <v>Transcript Link</v>
      </c>
    </row>
    <row r="565" ht="240" spans="1:13">
      <c r="A565" s="1" t="s">
        <v>2473</v>
      </c>
      <c r="B565" s="1" t="s">
        <v>13</v>
      </c>
      <c r="C565" s="4" t="s">
        <v>2474</v>
      </c>
      <c r="D565" s="1" t="s">
        <v>2475</v>
      </c>
      <c r="E565" s="1" t="s">
        <v>2476</v>
      </c>
      <c r="F565" s="4" t="s">
        <v>17</v>
      </c>
      <c r="G565" s="1" t="s">
        <v>18</v>
      </c>
      <c r="H565" s="1" t="s">
        <v>19</v>
      </c>
      <c r="I565" s="1" t="s">
        <v>20</v>
      </c>
      <c r="J565" s="1" t="s">
        <v>2477</v>
      </c>
      <c r="K565" s="1" t="s">
        <v>22</v>
      </c>
      <c r="L565" s="1" t="str">
        <f>HYPERLINK("https://files.afu.se/Downloads/Transcripts/0%20-%20Government/USA%20-%20NASA%20Johnson/2018 10 05 - NASA Johnson - Benefits for Humanity  After the Storm_F9YUaAomNrI - transcript (automated).pdf","Transcript Link")</f>
        <v>Transcript Link</v>
      </c>
      <c r="M565" s="2" t="str">
        <f>HYPERLINK("https://files.afu.se/Downloads/Transcripts/0%20-%20Government/USA%20-%20NASA%20Johnson/2018 10 05 - NASA Johnson - Benefits for Humanity  After the Storm_F9YUaAomNrI - transcript (automated).pdf","Transcript Link")</f>
        <v>Transcript Link</v>
      </c>
    </row>
    <row r="566" ht="180" spans="1:13">
      <c r="A566" s="1" t="s">
        <v>2473</v>
      </c>
      <c r="B566" s="1" t="s">
        <v>13</v>
      </c>
      <c r="C566" s="4" t="s">
        <v>2478</v>
      </c>
      <c r="D566" s="1" t="s">
        <v>2479</v>
      </c>
      <c r="E566" s="1" t="s">
        <v>2480</v>
      </c>
      <c r="F566" s="4" t="s">
        <v>17</v>
      </c>
      <c r="G566" s="1" t="s">
        <v>18</v>
      </c>
      <c r="H566" s="1" t="s">
        <v>19</v>
      </c>
      <c r="I566" s="1" t="s">
        <v>20</v>
      </c>
      <c r="J566" s="1" t="s">
        <v>2481</v>
      </c>
      <c r="K566" s="1" t="s">
        <v>22</v>
      </c>
      <c r="L566" s="1" t="str">
        <f>HYPERLINK("https://files.afu.se/Downloads/Transcripts/0%20-%20Government/USA%20-%20NASA%20Johnson/2018 10 05 - NASA Johnson - Space to Ground  Hello, Goodbye  10 05 2018__v97DjFoq8s - transcript (automated).pdf","Transcript Link")</f>
        <v>Transcript Link</v>
      </c>
      <c r="M566" s="2" t="str">
        <f>HYPERLINK("https://files.afu.se/Downloads/Transcripts/0%20-%20Government/USA%20-%20NASA%20Johnson/2018 10 05 - NASA Johnson - Space to Ground  Hello, Goodbye  10 05 2018__v97DjFoq8s - transcript (automated).pdf","Transcript Link")</f>
        <v>Transcript Link</v>
      </c>
    </row>
    <row r="567" ht="180" spans="1:13">
      <c r="A567" s="1" t="s">
        <v>2482</v>
      </c>
      <c r="B567" s="1" t="s">
        <v>13</v>
      </c>
      <c r="C567" s="4" t="s">
        <v>2483</v>
      </c>
      <c r="D567" s="1" t="s">
        <v>2484</v>
      </c>
      <c r="E567" s="1" t="s">
        <v>2485</v>
      </c>
      <c r="F567" s="4" t="s">
        <v>17</v>
      </c>
      <c r="G567" s="1" t="s">
        <v>18</v>
      </c>
      <c r="H567" s="1" t="s">
        <v>19</v>
      </c>
      <c r="I567" s="1" t="s">
        <v>20</v>
      </c>
      <c r="J567" s="1" t="s">
        <v>2486</v>
      </c>
      <c r="K567" s="1" t="s">
        <v>22</v>
      </c>
      <c r="L567" s="1" t="str">
        <f>HYPERLINK("https://files.afu.se/Downloads/Transcripts/0%20-%20Government/USA%20-%20NASA%20Johnson/2018 10 04 - NASA Johnson - Year of Education on Station  Fun Facts_IgvjLRNIrhk - transcript (automated).pdf","Transcript Link")</f>
        <v>Transcript Link</v>
      </c>
      <c r="M567" s="2" t="str">
        <f>HYPERLINK("https://files.afu.se/Downloads/Transcripts/0%20-%20Government/USA%20-%20NASA%20Johnson/2018 10 04 - NASA Johnson - Year of Education on Station  Fun Facts_IgvjLRNIrhk - transcript (automated).pdf","Transcript Link")</f>
        <v>Transcript Link</v>
      </c>
    </row>
    <row r="568" ht="330" spans="1:13">
      <c r="A568" s="1" t="s">
        <v>2487</v>
      </c>
      <c r="B568" s="1" t="s">
        <v>13</v>
      </c>
      <c r="C568" s="4" t="s">
        <v>2488</v>
      </c>
      <c r="D568" s="1" t="s">
        <v>2489</v>
      </c>
      <c r="E568" s="1" t="s">
        <v>2490</v>
      </c>
      <c r="F568" s="4" t="s">
        <v>17</v>
      </c>
      <c r="G568" s="1" t="s">
        <v>18</v>
      </c>
      <c r="H568" s="1" t="s">
        <v>19</v>
      </c>
      <c r="I568" s="1" t="s">
        <v>20</v>
      </c>
      <c r="J568" s="1" t="s">
        <v>2491</v>
      </c>
      <c r="K568" s="1" t="s">
        <v>22</v>
      </c>
      <c r="L568" s="1" t="str">
        <f>HYPERLINK("https://files.afu.se/Downloads/Transcripts/0%20-%20Government/USA%20-%20NASA%20Johnson/2018 10 03 - NASA Johnson - Tennis in Space_uE4k4P1nKuk - transcript (automated).pdf","Transcript Link")</f>
        <v>Transcript Link</v>
      </c>
      <c r="M568" s="2" t="str">
        <f>HYPERLINK("https://files.afu.se/Downloads/Transcripts/0%20-%20Government/USA%20-%20NASA%20Johnson/2018 10 03 - NASA Johnson - Tennis in Space_uE4k4P1nKuk - transcript (automated).pdf","Transcript Link")</f>
        <v>Transcript Link</v>
      </c>
    </row>
    <row r="569" ht="270" spans="1:13">
      <c r="A569" s="1" t="s">
        <v>2492</v>
      </c>
      <c r="B569" s="1" t="s">
        <v>13</v>
      </c>
      <c r="C569" s="4" t="s">
        <v>2493</v>
      </c>
      <c r="D569" s="1" t="s">
        <v>2494</v>
      </c>
      <c r="E569" s="1" t="s">
        <v>2147</v>
      </c>
      <c r="F569" s="4" t="s">
        <v>17</v>
      </c>
      <c r="G569" s="1" t="s">
        <v>18</v>
      </c>
      <c r="H569" s="1" t="s">
        <v>19</v>
      </c>
      <c r="I569" s="1" t="s">
        <v>20</v>
      </c>
      <c r="J569" s="1" t="s">
        <v>2495</v>
      </c>
      <c r="K569" s="1" t="s">
        <v>22</v>
      </c>
      <c r="L569" s="1" t="str">
        <f>HYPERLINK("https://files.afu.se/Downloads/Transcripts/0%20-%20Government/USA%20-%20NASA%20Johnson/2018 09 28 - NASA Johnson - Space to Ground  Kounotori 7  09 28 2018_N7v4hnzA9e0 - transcript (automated).pdf","Transcript Link")</f>
        <v>Transcript Link</v>
      </c>
      <c r="M569" s="2" t="str">
        <f>HYPERLINK("https://files.afu.se/Downloads/Transcripts/0%20-%20Government/USA%20-%20NASA%20Johnson/2018 09 28 - NASA Johnson - Space to Ground  Kounotori 7  09 28 2018_N7v4hnzA9e0 - transcript (automated).pdf","Transcript Link")</f>
        <v>Transcript Link</v>
      </c>
    </row>
    <row r="570" ht="255" spans="1:13">
      <c r="A570" s="1" t="s">
        <v>2496</v>
      </c>
      <c r="B570" s="1" t="s">
        <v>13</v>
      </c>
      <c r="C570" s="4" t="s">
        <v>2497</v>
      </c>
      <c r="D570" s="1" t="s">
        <v>2498</v>
      </c>
      <c r="E570" s="1" t="s">
        <v>2499</v>
      </c>
      <c r="F570" s="4" t="s">
        <v>17</v>
      </c>
      <c r="G570" s="1" t="s">
        <v>18</v>
      </c>
      <c r="H570" s="1" t="s">
        <v>19</v>
      </c>
      <c r="I570" s="1" t="s">
        <v>20</v>
      </c>
      <c r="J570" s="1" t="s">
        <v>2500</v>
      </c>
      <c r="K570" s="1" t="s">
        <v>22</v>
      </c>
      <c r="L570" s="1" t="str">
        <f>HYPERLINK("https://files.afu.se/Downloads/Transcripts/0%20-%20Government/USA%20-%20NASA%20Johnson/2018 09 21 - NASA Johnson - Houston We Have a Podcast  Reach New Heights and Reveal the Unknown_ddXdeNTYq_U - transcript (automated).pdf","Transcript Link")</f>
        <v>Transcript Link</v>
      </c>
      <c r="M570" s="2" t="str">
        <f>HYPERLINK("https://files.afu.se/Downloads/Transcripts/0%20-%20Government/USA%20-%20NASA%20Johnson/2018 09 21 - NASA Johnson - Houston We Have a Podcast  Reach New Heights and Reveal the Unknown_ddXdeNTYq_U - transcript (automated).pdf","Transcript Link")</f>
        <v>Transcript Link</v>
      </c>
    </row>
    <row r="571" ht="270" spans="1:13">
      <c r="A571" s="1" t="s">
        <v>2496</v>
      </c>
      <c r="B571" s="1" t="s">
        <v>13</v>
      </c>
      <c r="C571" s="4" t="s">
        <v>2501</v>
      </c>
      <c r="D571" s="1" t="s">
        <v>2502</v>
      </c>
      <c r="E571" s="1" t="s">
        <v>2147</v>
      </c>
      <c r="F571" s="4" t="s">
        <v>17</v>
      </c>
      <c r="G571" s="1" t="s">
        <v>18</v>
      </c>
      <c r="H571" s="1" t="s">
        <v>19</v>
      </c>
      <c r="I571" s="1" t="s">
        <v>20</v>
      </c>
      <c r="J571" s="1" t="s">
        <v>2503</v>
      </c>
      <c r="K571" s="1" t="s">
        <v>22</v>
      </c>
      <c r="L571" s="1" t="str">
        <f>HYPERLINK("https://files.afu.se/Downloads/Transcripts/0%20-%20Government/USA%20-%20NASA%20Johnson/2018 09 21 - NASA Johnson - Space to Ground  Long Distance Call  09 21 2018_AzEVBAJlaKE - transcript (automated).pdf","Transcript Link")</f>
        <v>Transcript Link</v>
      </c>
      <c r="M571" s="2" t="str">
        <f>HYPERLINK("https://files.afu.se/Downloads/Transcripts/0%20-%20Government/USA%20-%20NASA%20Johnson/2018 09 21 - NASA Johnson - Space to Ground  Long Distance Call  09 21 2018_AzEVBAJlaKE - transcript (automated).pdf","Transcript Link")</f>
        <v>Transcript Link</v>
      </c>
    </row>
    <row r="572" ht="180" spans="1:13">
      <c r="A572" s="1" t="s">
        <v>2504</v>
      </c>
      <c r="B572" s="1" t="s">
        <v>13</v>
      </c>
      <c r="C572" s="4" t="s">
        <v>2505</v>
      </c>
      <c r="D572" s="1" t="s">
        <v>2506</v>
      </c>
      <c r="E572" s="1" t="s">
        <v>2507</v>
      </c>
      <c r="F572" s="4" t="s">
        <v>17</v>
      </c>
      <c r="G572" s="1" t="s">
        <v>18</v>
      </c>
      <c r="H572" s="1" t="s">
        <v>19</v>
      </c>
      <c r="I572" s="1" t="s">
        <v>20</v>
      </c>
      <c r="J572" s="1" t="s">
        <v>2508</v>
      </c>
      <c r="K572" s="1" t="s">
        <v>22</v>
      </c>
      <c r="L572" s="1" t="str">
        <f>HYPERLINK("https://files.afu.se/Downloads/Transcripts/0%20-%20Government/USA%20-%20NASA%20Johnson/2018 09 20 - NASA Johnson - ADVISOR TO THE PRESIDENT IVANKA TRUMP SPEAKS WITH SPACE STATION CREW MEMBERS_sXudYIkkyE0 - transcript (automated).pdf","Transcript Link")</f>
        <v>Transcript Link</v>
      </c>
      <c r="M572" s="2" t="str">
        <f>HYPERLINK("https://files.afu.se/Downloads/Transcripts/0%20-%20Government/USA%20-%20NASA%20Johnson/2018 09 20 - NASA Johnson - ADVISOR TO THE PRESIDENT IVANKA TRUMP SPEAKS WITH SPACE STATION CREW MEMBERS_sXudYIkkyE0 - transcript (automated).pdf","Transcript Link")</f>
        <v>Transcript Link</v>
      </c>
    </row>
    <row r="573" ht="405" spans="1:13">
      <c r="A573" s="1" t="s">
        <v>2509</v>
      </c>
      <c r="B573" s="1" t="s">
        <v>13</v>
      </c>
      <c r="C573" s="4" t="s">
        <v>2510</v>
      </c>
      <c r="D573" s="1" t="s">
        <v>2511</v>
      </c>
      <c r="E573" s="1" t="s">
        <v>2512</v>
      </c>
      <c r="F573" s="4" t="s">
        <v>17</v>
      </c>
      <c r="G573" s="1" t="s">
        <v>18</v>
      </c>
      <c r="H573" s="1" t="s">
        <v>19</v>
      </c>
      <c r="I573" s="1" t="s">
        <v>20</v>
      </c>
      <c r="J573" s="1" t="s">
        <v>2513</v>
      </c>
      <c r="K573" s="1" t="s">
        <v>22</v>
      </c>
      <c r="L573" s="1" t="str">
        <f>HYPERLINK("https://files.afu.se/Downloads/Transcripts/0%20-%20Government/USA%20-%20NASA%20Johnson/2018 09 19 - NASA Johnson - Studying Sediments in Space_NjMuWXZgtQs - transcript (automated).pdf","Transcript Link")</f>
        <v>Transcript Link</v>
      </c>
      <c r="M573" s="2" t="str">
        <f>HYPERLINK("https://files.afu.se/Downloads/Transcripts/0%20-%20Government/USA%20-%20NASA%20Johnson/2018 09 19 - NASA Johnson - Studying Sediments in Space_NjMuWXZgtQs - transcript (automated).pdf","Transcript Link")</f>
        <v>Transcript Link</v>
      </c>
    </row>
    <row r="574" ht="270" spans="1:13">
      <c r="A574" s="1" t="s">
        <v>2514</v>
      </c>
      <c r="B574" s="1" t="s">
        <v>13</v>
      </c>
      <c r="C574" s="4" t="s">
        <v>2515</v>
      </c>
      <c r="D574" s="1" t="s">
        <v>2516</v>
      </c>
      <c r="E574" s="1" t="s">
        <v>2147</v>
      </c>
      <c r="F574" s="4" t="s">
        <v>17</v>
      </c>
      <c r="G574" s="1" t="s">
        <v>18</v>
      </c>
      <c r="H574" s="1" t="s">
        <v>19</v>
      </c>
      <c r="I574" s="1" t="s">
        <v>20</v>
      </c>
      <c r="J574" s="1" t="s">
        <v>2517</v>
      </c>
      <c r="K574" s="1" t="s">
        <v>22</v>
      </c>
      <c r="L574" s="1" t="str">
        <f>HYPERLINK("https://files.afu.se/Downloads/Transcripts/0%20-%20Government/USA%20-%20NASA%20Johnson/2018 09 14 - NASA Johnson - Space to Ground  Above the Storm  09 14 2018_sdqkw2zL_0w - transcript (automated).pdf","Transcript Link")</f>
        <v>Transcript Link</v>
      </c>
      <c r="M574" s="2" t="str">
        <f>HYPERLINK("https://files.afu.se/Downloads/Transcripts/0%20-%20Government/USA%20-%20NASA%20Johnson/2018 09 14 - NASA Johnson - Space to Ground  Above the Storm  09 14 2018_sdqkw2zL_0w - transcript (automated).pdf","Transcript Link")</f>
        <v>Transcript Link</v>
      </c>
    </row>
    <row r="575" ht="180" spans="1:13">
      <c r="A575" s="1" t="s">
        <v>2514</v>
      </c>
      <c r="B575" s="1" t="s">
        <v>13</v>
      </c>
      <c r="C575" s="4" t="s">
        <v>2518</v>
      </c>
      <c r="D575" s="1" t="s">
        <v>2519</v>
      </c>
      <c r="E575" s="1" t="s">
        <v>2520</v>
      </c>
      <c r="F575" s="4" t="s">
        <v>17</v>
      </c>
      <c r="G575" s="1" t="s">
        <v>18</v>
      </c>
      <c r="H575" s="1" t="s">
        <v>19</v>
      </c>
      <c r="I575" s="1" t="s">
        <v>20</v>
      </c>
      <c r="J575" s="1" t="s">
        <v>2521</v>
      </c>
      <c r="K575" s="1" t="s">
        <v>22</v>
      </c>
      <c r="L575" s="1" t="str">
        <f>HYPERLINK("https://files.afu.se/Downloads/Transcripts/0%20-%20Government/USA%20-%20NASA%20Johnson/2018 09 14 - NASA Johnson - Views of Hurricane Florence at Landfall_z_3BOpVOPTY - transcript (automated).pdf","Transcript Link")</f>
        <v>Transcript Link</v>
      </c>
      <c r="M575" s="2" t="str">
        <f>HYPERLINK("https://files.afu.se/Downloads/Transcripts/0%20-%20Government/USA%20-%20NASA%20Johnson/2018 09 14 - NASA Johnson - Views of Hurricane Florence at Landfall_z_3BOpVOPTY - transcript (automated).pdf","Transcript Link")</f>
        <v>Transcript Link</v>
      </c>
    </row>
    <row r="576" ht="195" spans="1:13">
      <c r="A576" s="1" t="s">
        <v>2522</v>
      </c>
      <c r="B576" s="1" t="s">
        <v>13</v>
      </c>
      <c r="C576" s="4" t="s">
        <v>2523</v>
      </c>
      <c r="D576" s="1" t="s">
        <v>2524</v>
      </c>
      <c r="E576" s="1" t="s">
        <v>2525</v>
      </c>
      <c r="F576" s="4" t="s">
        <v>17</v>
      </c>
      <c r="G576" s="1" t="s">
        <v>18</v>
      </c>
      <c r="H576" s="1" t="s">
        <v>19</v>
      </c>
      <c r="I576" s="1" t="s">
        <v>20</v>
      </c>
      <c r="J576" s="1" t="s">
        <v>2526</v>
      </c>
      <c r="K576" s="1" t="s">
        <v>22</v>
      </c>
      <c r="L576" s="1" t="str">
        <f>HYPERLINK("https://files.afu.se/Downloads/Transcripts/0%20-%20Government/USA%20-%20NASA%20Johnson/2018 09 13 - NASA Johnson - New Views of Hurricane Florence_6x34twf7mOs - transcript (automated).pdf","Transcript Link")</f>
        <v>Transcript Link</v>
      </c>
      <c r="M576" s="2" t="str">
        <f>HYPERLINK("https://files.afu.se/Downloads/Transcripts/0%20-%20Government/USA%20-%20NASA%20Johnson/2018 09 13 - NASA Johnson - New Views of Hurricane Florence_6x34twf7mOs - transcript (automated).pdf","Transcript Link")</f>
        <v>Transcript Link</v>
      </c>
    </row>
    <row r="577" ht="210" spans="1:13">
      <c r="A577" s="1" t="s">
        <v>2522</v>
      </c>
      <c r="B577" s="1" t="s">
        <v>13</v>
      </c>
      <c r="C577" s="4" t="s">
        <v>2527</v>
      </c>
      <c r="D577" s="1" t="s">
        <v>2528</v>
      </c>
      <c r="E577" s="1" t="s">
        <v>2529</v>
      </c>
      <c r="F577" s="4" t="s">
        <v>17</v>
      </c>
      <c r="G577" s="1" t="s">
        <v>18</v>
      </c>
      <c r="H577" s="1" t="s">
        <v>19</v>
      </c>
      <c r="I577" s="1" t="s">
        <v>20</v>
      </c>
      <c r="J577" s="1" t="s">
        <v>2530</v>
      </c>
      <c r="K577" s="1" t="s">
        <v>22</v>
      </c>
      <c r="L577" s="1" t="str">
        <f>HYPERLINK("https://files.afu.se/Downloads/Transcripts/0%20-%20Government/USA%20-%20NASA%20Johnson/2018 09 13 - NASA Johnson - Final Orion Parachute Test for Missions with Astronauts (Aerial views)_qPiT-Q4kaBE - transcript (automated).pdf","Transcript Link")</f>
        <v>Transcript Link</v>
      </c>
      <c r="M577" s="2" t="str">
        <f>HYPERLINK("https://files.afu.se/Downloads/Transcripts/0%20-%20Government/USA%20-%20NASA%20Johnson/2018 09 13 - NASA Johnson - Final Orion Parachute Test for Missions with Astronauts (Aerial views)_qPiT-Q4kaBE - transcript (automated).pdf","Transcript Link")</f>
        <v>Transcript Link</v>
      </c>
    </row>
    <row r="578" ht="180" spans="1:13">
      <c r="A578" s="1" t="s">
        <v>2531</v>
      </c>
      <c r="B578" s="1" t="s">
        <v>13</v>
      </c>
      <c r="C578" s="4" t="s">
        <v>2532</v>
      </c>
      <c r="D578" s="1" t="s">
        <v>2533</v>
      </c>
      <c r="E578" s="1" t="s">
        <v>2534</v>
      </c>
      <c r="F578" s="4" t="s">
        <v>17</v>
      </c>
      <c r="G578" s="1" t="s">
        <v>18</v>
      </c>
      <c r="H578" s="1" t="s">
        <v>19</v>
      </c>
      <c r="I578" s="1" t="s">
        <v>20</v>
      </c>
      <c r="J578" s="1" t="s">
        <v>2535</v>
      </c>
      <c r="K578" s="1" t="s">
        <v>22</v>
      </c>
      <c r="L578" s="1" t="str">
        <f>HYPERLINK("https://files.afu.se/Downloads/Transcripts/0%20-%20Government/USA%20-%20NASA%20Johnson/2018 09 12 - NASA Johnson - Final Orion Parachute Test for Missions with Astronauts_YlEZ8Idogps - transcript (automated).pdf","Transcript Link")</f>
        <v>Transcript Link</v>
      </c>
      <c r="M578" s="2" t="str">
        <f>HYPERLINK("https://files.afu.se/Downloads/Transcripts/0%20-%20Government/USA%20-%20NASA%20Johnson/2018 09 12 - NASA Johnson - Final Orion Parachute Test for Missions with Astronauts_YlEZ8Idogps - transcript (automated).pdf","Transcript Link")</f>
        <v>Transcript Link</v>
      </c>
    </row>
    <row r="579" ht="180" spans="1:13">
      <c r="A579" s="1" t="s">
        <v>2531</v>
      </c>
      <c r="B579" s="1" t="s">
        <v>13</v>
      </c>
      <c r="C579" s="4" t="s">
        <v>2536</v>
      </c>
      <c r="D579" s="1" t="s">
        <v>2537</v>
      </c>
      <c r="E579" s="1" t="s">
        <v>2538</v>
      </c>
      <c r="F579" s="4" t="s">
        <v>17</v>
      </c>
      <c r="G579" s="1" t="s">
        <v>18</v>
      </c>
      <c r="H579" s="1" t="s">
        <v>19</v>
      </c>
      <c r="I579" s="1" t="s">
        <v>20</v>
      </c>
      <c r="J579" s="1" t="s">
        <v>2539</v>
      </c>
      <c r="K579" s="1" t="s">
        <v>22</v>
      </c>
      <c r="L579" s="1" t="str">
        <f>HYPERLINK("https://files.afu.se/Downloads/Transcripts/0%20-%20Government/USA%20-%20NASA%20Johnson/2018 09 12 - NASA Johnson - Stark View of Hurricane Florence from ISS_uyitOTGCCYo - transcript (automated).pdf","Transcript Link")</f>
        <v>Transcript Link</v>
      </c>
      <c r="M579" s="2" t="str">
        <f>HYPERLINK("https://files.afu.se/Downloads/Transcripts/0%20-%20Government/USA%20-%20NASA%20Johnson/2018 09 12 - NASA Johnson - Stark View of Hurricane Florence from ISS_uyitOTGCCYo - transcript (automated).pdf","Transcript Link")</f>
        <v>Transcript Link</v>
      </c>
    </row>
    <row r="580" ht="195" spans="1:13">
      <c r="A580" s="1" t="s">
        <v>2540</v>
      </c>
      <c r="B580" s="1" t="s">
        <v>13</v>
      </c>
      <c r="C580" s="4" t="s">
        <v>2541</v>
      </c>
      <c r="D580" s="1" t="s">
        <v>2542</v>
      </c>
      <c r="E580" s="1" t="s">
        <v>2543</v>
      </c>
      <c r="F580" s="4" t="s">
        <v>17</v>
      </c>
      <c r="G580" s="1" t="s">
        <v>18</v>
      </c>
      <c r="H580" s="1" t="s">
        <v>19</v>
      </c>
      <c r="I580" s="1" t="s">
        <v>20</v>
      </c>
      <c r="J580" s="1" t="s">
        <v>2544</v>
      </c>
      <c r="K580" s="1" t="s">
        <v>22</v>
      </c>
      <c r="L580" s="1" t="str">
        <f>HYPERLINK("https://files.afu.se/Downloads/Transcripts/0%20-%20Government/USA%20-%20NASA%20Johnson/2018 09 10 - NASA Johnson - Dramatic Views of Hurricane Florence_IJ2HKIoYln0 - transcript (automated).pdf","Transcript Link")</f>
        <v>Transcript Link</v>
      </c>
      <c r="M580" s="2" t="str">
        <f>HYPERLINK("https://files.afu.se/Downloads/Transcripts/0%20-%20Government/USA%20-%20NASA%20Johnson/2018 09 10 - NASA Johnson - Dramatic Views of Hurricane Florence_IJ2HKIoYln0 - transcript (automated).pdf","Transcript Link")</f>
        <v>Transcript Link</v>
      </c>
    </row>
    <row r="581" ht="270" spans="1:13">
      <c r="A581" s="1" t="s">
        <v>2545</v>
      </c>
      <c r="B581" s="1" t="s">
        <v>13</v>
      </c>
      <c r="C581" s="4" t="s">
        <v>2546</v>
      </c>
      <c r="D581" s="1" t="s">
        <v>2547</v>
      </c>
      <c r="E581" s="1" t="s">
        <v>2147</v>
      </c>
      <c r="F581" s="4" t="s">
        <v>17</v>
      </c>
      <c r="G581" s="1" t="s">
        <v>18</v>
      </c>
      <c r="H581" s="1" t="s">
        <v>19</v>
      </c>
      <c r="I581" s="1" t="s">
        <v>20</v>
      </c>
      <c r="J581" s="1" t="s">
        <v>2548</v>
      </c>
      <c r="K581" s="1" t="s">
        <v>22</v>
      </c>
      <c r="L581" s="1" t="str">
        <f>HYPERLINK("https://files.afu.se/Downloads/Transcripts/0%20-%20Government/USA%20-%20NASA%20Johnson/2018 09 07 - NASA Johnson - Space to Ground  Batteries Included  09 07 2018_l8lGfUV3_ZQ - transcript (automated).pdf","Transcript Link")</f>
        <v>Transcript Link</v>
      </c>
      <c r="M581" s="2" t="str">
        <f>HYPERLINK("https://files.afu.se/Downloads/Transcripts/0%20-%20Government/USA%20-%20NASA%20Johnson/2018 09 07 - NASA Johnson - Space to Ground  Batteries Included  09 07 2018_l8lGfUV3_ZQ - transcript (automated).pdf","Transcript Link")</f>
        <v>Transcript Link</v>
      </c>
    </row>
    <row r="582" ht="180" spans="1:13">
      <c r="A582" s="1" t="s">
        <v>2549</v>
      </c>
      <c r="B582" s="1" t="s">
        <v>13</v>
      </c>
      <c r="C582" s="4" t="s">
        <v>2550</v>
      </c>
      <c r="D582" s="1" t="s">
        <v>2551</v>
      </c>
      <c r="E582" s="1" t="s">
        <v>2552</v>
      </c>
      <c r="F582" s="4" t="s">
        <v>17</v>
      </c>
      <c r="G582" s="1" t="s">
        <v>18</v>
      </c>
      <c r="H582" s="1" t="s">
        <v>19</v>
      </c>
      <c r="I582" s="1" t="s">
        <v>20</v>
      </c>
      <c r="J582" s="1" t="s">
        <v>2553</v>
      </c>
      <c r="K582" s="1" t="s">
        <v>22</v>
      </c>
      <c r="L582" s="1" t="str">
        <f>HYPERLINK("https://files.afu.se/Downloads/Transcripts/0%20-%20Government/USA%20-%20NASA%20Johnson/2018 09 04 - NASA Johnson - Space Station Cameras Capture Views of Tropical Storm Gordon_WsTOhOYqq4w - transcript (automated).pdf","Transcript Link")</f>
        <v>Transcript Link</v>
      </c>
      <c r="M582" s="2" t="str">
        <f>HYPERLINK("https://files.afu.se/Downloads/Transcripts/0%20-%20Government/USA%20-%20NASA%20Johnson/2018 09 04 - NASA Johnson - Space Station Cameras Capture Views of Tropical Storm Gordon_WsTOhOYqq4w - transcript (automated).pdf","Transcript Link")</f>
        <v>Transcript Link</v>
      </c>
    </row>
    <row r="583" ht="270" spans="1:13">
      <c r="A583" s="1" t="s">
        <v>2554</v>
      </c>
      <c r="B583" s="1" t="s">
        <v>13</v>
      </c>
      <c r="C583" s="4" t="s">
        <v>2555</v>
      </c>
      <c r="D583" s="1" t="s">
        <v>2556</v>
      </c>
      <c r="E583" s="1" t="s">
        <v>2147</v>
      </c>
      <c r="F583" s="4" t="s">
        <v>17</v>
      </c>
      <c r="G583" s="1" t="s">
        <v>18</v>
      </c>
      <c r="H583" s="1" t="s">
        <v>19</v>
      </c>
      <c r="I583" s="1" t="s">
        <v>20</v>
      </c>
      <c r="J583" s="1" t="s">
        <v>2557</v>
      </c>
      <c r="K583" s="1" t="s">
        <v>22</v>
      </c>
      <c r="L583" s="1" t="str">
        <f>HYPERLINK("https://files.afu.se/Downloads/Transcripts/0%20-%20Government/USA%20-%20NASA%20Johnson/2018 08 31 - NASA Johnson - Space to Ground  Potential Game Changer  08 31 2018_sGuTEaR4h_g - transcript (automated).pdf","Transcript Link")</f>
        <v>Transcript Link</v>
      </c>
      <c r="M583" s="2" t="str">
        <f>HYPERLINK("https://files.afu.se/Downloads/Transcripts/0%20-%20Government/USA%20-%20NASA%20Johnson/2018 08 31 - NASA Johnson - Space to Ground  Potential Game Changer  08 31 2018_sGuTEaR4h_g - transcript (automated).pdf","Transcript Link")</f>
        <v>Transcript Link</v>
      </c>
    </row>
    <row r="584" ht="345" spans="1:13">
      <c r="A584" s="1" t="s">
        <v>2554</v>
      </c>
      <c r="B584" s="1" t="s">
        <v>13</v>
      </c>
      <c r="C584" s="4" t="s">
        <v>2558</v>
      </c>
      <c r="D584" s="1" t="s">
        <v>2559</v>
      </c>
      <c r="E584" s="1" t="s">
        <v>2560</v>
      </c>
      <c r="F584" s="4" t="s">
        <v>17</v>
      </c>
      <c r="G584" s="1" t="s">
        <v>18</v>
      </c>
      <c r="H584" s="1" t="s">
        <v>19</v>
      </c>
      <c r="I584" s="1" t="s">
        <v>20</v>
      </c>
      <c r="J584" s="1" t="s">
        <v>2561</v>
      </c>
      <c r="K584" s="1" t="s">
        <v>22</v>
      </c>
      <c r="L584" s="1" t="str">
        <f>HYPERLINK("https://files.afu.se/Downloads/Transcripts/0%20-%20Government/USA%20-%20NASA%20Johnson/2018 08 31 - NASA Johnson - Preparing America for Deep Space Episode 18 On The Move_ezhKIPfEZII - transcript (automated).pdf","Transcript Link")</f>
        <v>Transcript Link</v>
      </c>
      <c r="M584" s="2" t="str">
        <f>HYPERLINK("https://files.afu.se/Downloads/Transcripts/0%20-%20Government/USA%20-%20NASA%20Johnson/2018 08 31 - NASA Johnson - Preparing America for Deep Space Episode 18 On The Move_ezhKIPfEZII - transcript (automated).pdf","Transcript Link")</f>
        <v>Transcript Link</v>
      </c>
    </row>
    <row r="585" ht="255" spans="1:13">
      <c r="A585" s="1" t="s">
        <v>2562</v>
      </c>
      <c r="B585" s="1" t="s">
        <v>13</v>
      </c>
      <c r="C585" s="4" t="s">
        <v>2563</v>
      </c>
      <c r="D585" s="1" t="s">
        <v>2564</v>
      </c>
      <c r="E585" s="1" t="s">
        <v>2565</v>
      </c>
      <c r="F585" s="4" t="s">
        <v>17</v>
      </c>
      <c r="G585" s="1" t="s">
        <v>18</v>
      </c>
      <c r="H585" s="1" t="s">
        <v>19</v>
      </c>
      <c r="I585" s="1" t="s">
        <v>20</v>
      </c>
      <c r="J585" s="1" t="s">
        <v>2566</v>
      </c>
      <c r="K585" s="1" t="s">
        <v>22</v>
      </c>
      <c r="L585" s="1" t="str">
        <f>HYPERLINK("https://files.afu.se/Downloads/Transcripts/0%20-%20Government/USA%20-%20NASA%20Johnson/2018 08 29 - NASA Johnson - STEMonstrations  Water Filtration_v1Bej_a2tgM - transcript (automated).pdf","Transcript Link")</f>
        <v>Transcript Link</v>
      </c>
      <c r="M585" s="2" t="str">
        <f>HYPERLINK("https://files.afu.se/Downloads/Transcripts/0%20-%20Government/USA%20-%20NASA%20Johnson/2018 08 29 - NASA Johnson - STEMonstrations  Water Filtration_v1Bej_a2tgM - transcript (automated).pdf","Transcript Link")</f>
        <v>Transcript Link</v>
      </c>
    </row>
    <row r="586" ht="270" spans="1:13">
      <c r="A586" s="1" t="s">
        <v>2567</v>
      </c>
      <c r="B586" s="1" t="s">
        <v>13</v>
      </c>
      <c r="C586" s="4" t="s">
        <v>2568</v>
      </c>
      <c r="D586" s="1" t="s">
        <v>2569</v>
      </c>
      <c r="E586" s="1" t="s">
        <v>2570</v>
      </c>
      <c r="F586" s="4" t="s">
        <v>17</v>
      </c>
      <c r="G586" s="1" t="s">
        <v>18</v>
      </c>
      <c r="H586" s="1" t="s">
        <v>19</v>
      </c>
      <c r="I586" s="1" t="s">
        <v>20</v>
      </c>
      <c r="J586" s="1" t="s">
        <v>2571</v>
      </c>
      <c r="K586" s="1" t="s">
        <v>22</v>
      </c>
      <c r="L586" s="1" t="str">
        <f>HYPERLINK("https://files.afu.se/Downloads/Transcripts/0%20-%20Government/USA%20-%20NASA%20Johnson/2018 08 22 - NASA Johnson - Dangerous Hurricane Lane approaches Hawaii_fNHRGK3pILU - transcript (automated).pdf","Transcript Link")</f>
        <v>Transcript Link</v>
      </c>
      <c r="M586" s="2" t="str">
        <f>HYPERLINK("https://files.afu.se/Downloads/Transcripts/0%20-%20Government/USA%20-%20NASA%20Johnson/2018 08 22 - NASA Johnson - Dangerous Hurricane Lane approaches Hawaii_fNHRGK3pILU - transcript (automated).pdf","Transcript Link")</f>
        <v>Transcript Link</v>
      </c>
    </row>
    <row r="587" ht="180" spans="1:13">
      <c r="A587" s="1" t="s">
        <v>2567</v>
      </c>
      <c r="B587" s="1" t="s">
        <v>13</v>
      </c>
      <c r="C587" s="4" t="s">
        <v>2572</v>
      </c>
      <c r="D587" s="1" t="s">
        <v>2573</v>
      </c>
      <c r="E587" s="1" t="s">
        <v>2574</v>
      </c>
      <c r="F587" s="4" t="s">
        <v>17</v>
      </c>
      <c r="G587" s="1" t="s">
        <v>18</v>
      </c>
      <c r="H587" s="1" t="s">
        <v>19</v>
      </c>
      <c r="I587" s="1" t="s">
        <v>20</v>
      </c>
      <c r="J587" s="1" t="s">
        <v>2575</v>
      </c>
      <c r="K587" s="1" t="s">
        <v>22</v>
      </c>
      <c r="L587" s="1" t="str">
        <f>HYPERLINK("https://files.afu.se/Downloads/Transcripts/0%20-%20Government/USA%20-%20NASA%20Johnson/2018 08 22 - NASA Johnson - Astronaut Moment  Serena Auñón-Chancellor_erGhIf55IVE - transcript (automated).pdf","Transcript Link")</f>
        <v>Transcript Link</v>
      </c>
      <c r="M587" s="2" t="str">
        <f>HYPERLINK("https://files.afu.se/Downloads/Transcripts/0%20-%20Government/USA%20-%20NASA%20Johnson/2018 08 22 - NASA Johnson - Astronaut Moment  Serena Auñón-Chancellor_erGhIf55IVE - transcript (automated).pdf","Transcript Link")</f>
        <v>Transcript Link</v>
      </c>
    </row>
    <row r="588" ht="409.5" spans="1:13">
      <c r="A588" s="1" t="s">
        <v>2576</v>
      </c>
      <c r="B588" s="1" t="s">
        <v>13</v>
      </c>
      <c r="C588" s="4" t="s">
        <v>2577</v>
      </c>
      <c r="D588" s="1" t="s">
        <v>2578</v>
      </c>
      <c r="E588" s="1" t="s">
        <v>2579</v>
      </c>
      <c r="F588" s="4" t="s">
        <v>17</v>
      </c>
      <c r="G588" s="1" t="s">
        <v>18</v>
      </c>
      <c r="H588" s="1" t="s">
        <v>19</v>
      </c>
      <c r="I588" s="1" t="s">
        <v>20</v>
      </c>
      <c r="J588" s="1" t="s">
        <v>2580</v>
      </c>
      <c r="K588" s="1" t="s">
        <v>22</v>
      </c>
      <c r="L588" s="1" t="str">
        <f>HYPERLINK("https://files.afu.se/Downloads/Transcripts/0%20-%20Government/USA%20-%20NASA%20Johnson/2018 08 21 - NASA Johnson - Angiex Cancer Therapy in Space_AyfMCNfcWSc - transcript (automated).pdf","Transcript Link")</f>
        <v>Transcript Link</v>
      </c>
      <c r="M588" s="2" t="str">
        <f>HYPERLINK("https://files.afu.se/Downloads/Transcripts/0%20-%20Government/USA%20-%20NASA%20Johnson/2018 08 21 - NASA Johnson - Angiex Cancer Therapy in Space_AyfMCNfcWSc - transcript (automated).pdf","Transcript Link")</f>
        <v>Transcript Link</v>
      </c>
    </row>
    <row r="589" ht="270" spans="1:13">
      <c r="A589" s="1" t="s">
        <v>2581</v>
      </c>
      <c r="B589" s="1" t="s">
        <v>13</v>
      </c>
      <c r="C589" s="4" t="s">
        <v>2582</v>
      </c>
      <c r="D589" s="1" t="s">
        <v>2583</v>
      </c>
      <c r="E589" s="1" t="s">
        <v>2147</v>
      </c>
      <c r="F589" s="4" t="s">
        <v>17</v>
      </c>
      <c r="G589" s="1" t="s">
        <v>18</v>
      </c>
      <c r="H589" s="1" t="s">
        <v>19</v>
      </c>
      <c r="I589" s="1" t="s">
        <v>20</v>
      </c>
      <c r="J589" s="1" t="s">
        <v>2584</v>
      </c>
      <c r="K589" s="1" t="s">
        <v>22</v>
      </c>
      <c r="L589" s="1" t="str">
        <f>HYPERLINK("https://files.afu.se/Downloads/Transcripts/0%20-%20Government/USA%20-%20NASA%20Johnson/2018 08 17 - NASA Johnson - Space to Ground  ICARUS Ascending  08 17 2018_-DyKl307xKY - transcript (automated).pdf","Transcript Link")</f>
        <v>Transcript Link</v>
      </c>
      <c r="M589" s="2" t="str">
        <f>HYPERLINK("https://files.afu.se/Downloads/Transcripts/0%20-%20Government/USA%20-%20NASA%20Johnson/2018 08 17 - NASA Johnson - Space to Ground  ICARUS Ascending  08 17 2018_-DyKl307xKY - transcript (automated).pdf","Transcript Link")</f>
        <v>Transcript Link</v>
      </c>
    </row>
    <row r="590" ht="270" spans="1:13">
      <c r="A590" s="1" t="s">
        <v>2585</v>
      </c>
      <c r="B590" s="1" t="s">
        <v>13</v>
      </c>
      <c r="C590" s="4" t="s">
        <v>2586</v>
      </c>
      <c r="D590" s="1" t="s">
        <v>2587</v>
      </c>
      <c r="E590" s="1" t="s">
        <v>2147</v>
      </c>
      <c r="F590" s="4" t="s">
        <v>17</v>
      </c>
      <c r="G590" s="1" t="s">
        <v>18</v>
      </c>
      <c r="H590" s="1" t="s">
        <v>19</v>
      </c>
      <c r="I590" s="1" t="s">
        <v>20</v>
      </c>
      <c r="J590" s="1" t="s">
        <v>2588</v>
      </c>
      <c r="K590" s="1" t="s">
        <v>22</v>
      </c>
      <c r="L590" s="1" t="str">
        <f>HYPERLINK("https://files.afu.se/Downloads/Transcripts/0%20-%20Government/USA%20-%20NASA%20Johnson/2018 08 10 - NASA Johnson - Space to Ground  A Star to Steer By  08 10 2018_Csq8aAg5Y78 - transcript (automated).pdf","Transcript Link")</f>
        <v>Transcript Link</v>
      </c>
      <c r="M590" s="2" t="str">
        <f>HYPERLINK("https://files.afu.se/Downloads/Transcripts/0%20-%20Government/USA%20-%20NASA%20Johnson/2018 08 10 - NASA Johnson - Space to Ground  A Star to Steer By  08 10 2018_Csq8aAg5Y78 - transcript (automated).pdf","Transcript Link")</f>
        <v>Transcript Link</v>
      </c>
    </row>
    <row r="591" ht="409.5" spans="1:13">
      <c r="A591" s="1" t="s">
        <v>2589</v>
      </c>
      <c r="B591" s="1" t="s">
        <v>13</v>
      </c>
      <c r="C591" s="4" t="s">
        <v>2590</v>
      </c>
      <c r="D591" s="1" t="s">
        <v>2591</v>
      </c>
      <c r="E591" s="1" t="s">
        <v>2592</v>
      </c>
      <c r="F591" s="4" t="s">
        <v>17</v>
      </c>
      <c r="G591" s="1" t="s">
        <v>18</v>
      </c>
      <c r="H591" s="1" t="s">
        <v>19</v>
      </c>
      <c r="I591" s="1" t="s">
        <v>20</v>
      </c>
      <c r="J591" s="1" t="s">
        <v>2593</v>
      </c>
      <c r="K591" s="1" t="s">
        <v>22</v>
      </c>
      <c r="L591" s="1" t="str">
        <f>HYPERLINK("https://files.afu.se/Downloads/Transcripts/0%20-%20Government/USA%20-%20NASA%20Johnson/2018 08 09 - NASA Johnson - A Day In The Life Of A NASA Intern_HxiQwo5IFTA - transcript (automated).pdf","Transcript Link")</f>
        <v>Transcript Link</v>
      </c>
      <c r="M591" s="2" t="str">
        <f>HYPERLINK("https://files.afu.se/Downloads/Transcripts/0%20-%20Government/USA%20-%20NASA%20Johnson/2018 08 09 - NASA Johnson - A Day In The Life Of A NASA Intern_HxiQwo5IFTA - transcript (automated).pdf","Transcript Link")</f>
        <v>Transcript Link</v>
      </c>
    </row>
    <row r="592" ht="180" spans="1:13">
      <c r="A592" s="1" t="s">
        <v>2594</v>
      </c>
      <c r="B592" s="1" t="s">
        <v>13</v>
      </c>
      <c r="C592" s="4" t="s">
        <v>2595</v>
      </c>
      <c r="D592" s="1" t="s">
        <v>2596</v>
      </c>
      <c r="E592" s="1" t="s">
        <v>2597</v>
      </c>
      <c r="F592" s="4" t="s">
        <v>17</v>
      </c>
      <c r="G592" s="1" t="s">
        <v>18</v>
      </c>
      <c r="H592" s="1" t="s">
        <v>19</v>
      </c>
      <c r="I592" s="1" t="s">
        <v>20</v>
      </c>
      <c r="J592" s="1" t="s">
        <v>2598</v>
      </c>
      <c r="K592" s="1" t="s">
        <v>22</v>
      </c>
      <c r="L592" s="1" t="str">
        <f>HYPERLINK("https://files.afu.se/Downloads/Transcripts/0%20-%20Government/USA%20-%20NASA%20Johnson/2018 08 05 - NASA Johnson - Live Interviews with Starliner and Crew Dragon Astronauts 8.3.18 1__SYlObhyDqI - transcript (automated).pdf","Transcript Link")</f>
        <v>Transcript Link</v>
      </c>
      <c r="M592" s="2" t="str">
        <f>HYPERLINK("https://files.afu.se/Downloads/Transcripts/0%20-%20Government/USA%20-%20NASA%20Johnson/2018 08 05 - NASA Johnson - Live Interviews with Starliner and Crew Dragon Astronauts 8.3.18 1__SYlObhyDqI - transcript (automated).pdf","Transcript Link")</f>
        <v>Transcript Link</v>
      </c>
    </row>
    <row r="593" ht="180" spans="1:13">
      <c r="A593" s="1" t="s">
        <v>2599</v>
      </c>
      <c r="B593" s="1" t="s">
        <v>13</v>
      </c>
      <c r="C593" s="4" t="s">
        <v>2600</v>
      </c>
      <c r="D593" s="1" t="s">
        <v>2601</v>
      </c>
      <c r="E593" s="1" t="s">
        <v>2602</v>
      </c>
      <c r="F593" s="4" t="s">
        <v>17</v>
      </c>
      <c r="G593" s="1" t="s">
        <v>18</v>
      </c>
      <c r="H593" s="1" t="s">
        <v>19</v>
      </c>
      <c r="I593" s="1" t="s">
        <v>20</v>
      </c>
      <c r="J593" s="1" t="s">
        <v>2603</v>
      </c>
      <c r="K593" s="1" t="s">
        <v>22</v>
      </c>
      <c r="L593" s="1" t="str">
        <f>HYPERLINK("https://files.afu.se/Downloads/Transcripts/0%20-%20Government/USA%20-%20NASA%20Johnson/2018 08 04 - NASA Johnson - Live_Interviews_with_Starliner_and_Crew_Dragon_Astronauts_8.3.18_2_r38UygZMc0o - transcript (automated).pdf","Transcript Link")</f>
        <v>Transcript Link</v>
      </c>
      <c r="M593" s="2" t="str">
        <f>HYPERLINK("https://files.afu.se/Downloads/Transcripts/0%20-%20Government/USA%20-%20NASA%20Johnson/2018 08 04 - NASA Johnson - Live_Interviews_with_Starliner_and_Crew_Dragon_Astronauts_8.3.18_2_r38UygZMc0o - transcript (automated).pdf","Transcript Link")</f>
        <v>Transcript Link</v>
      </c>
    </row>
    <row r="594" ht="270" spans="1:13">
      <c r="A594" s="1" t="s">
        <v>2604</v>
      </c>
      <c r="B594" s="1" t="s">
        <v>13</v>
      </c>
      <c r="C594" s="4" t="s">
        <v>2605</v>
      </c>
      <c r="D594" s="1" t="s">
        <v>2606</v>
      </c>
      <c r="E594" s="1" t="s">
        <v>2147</v>
      </c>
      <c r="F594" s="4" t="s">
        <v>17</v>
      </c>
      <c r="G594" s="1" t="s">
        <v>18</v>
      </c>
      <c r="H594" s="1" t="s">
        <v>19</v>
      </c>
      <c r="I594" s="1" t="s">
        <v>20</v>
      </c>
      <c r="J594" s="1" t="s">
        <v>2607</v>
      </c>
      <c r="K594" s="1" t="s">
        <v>22</v>
      </c>
      <c r="L594" s="1" t="str">
        <f>HYPERLINK("https://files.afu.se/Downloads/Transcripts/0%20-%20Government/USA%20-%20NASA%20Johnson/2018 08 03 - NASA Johnson - Space to Ground  From American Soil  08 03 2018_Tmn9SiZZUmA - transcript (automated).pdf","Transcript Link")</f>
        <v>Transcript Link</v>
      </c>
      <c r="M594" s="2" t="str">
        <f>HYPERLINK("https://files.afu.se/Downloads/Transcripts/0%20-%20Government/USA%20-%20NASA%20Johnson/2018 08 03 - NASA Johnson - Space to Ground  From American Soil  08 03 2018_Tmn9SiZZUmA - transcript (automated).pdf","Transcript Link")</f>
        <v>Transcript Link</v>
      </c>
    </row>
    <row r="595" ht="345" spans="1:13">
      <c r="A595" s="1" t="s">
        <v>2604</v>
      </c>
      <c r="B595" s="1" t="s">
        <v>13</v>
      </c>
      <c r="C595" s="4" t="s">
        <v>2608</v>
      </c>
      <c r="D595" s="1" t="s">
        <v>2609</v>
      </c>
      <c r="E595" s="1" t="s">
        <v>2610</v>
      </c>
      <c r="F595" s="4" t="s">
        <v>17</v>
      </c>
      <c r="G595" s="1" t="s">
        <v>18</v>
      </c>
      <c r="H595" s="1" t="s">
        <v>19</v>
      </c>
      <c r="I595" s="1" t="s">
        <v>20</v>
      </c>
      <c r="J595" s="1" t="s">
        <v>2611</v>
      </c>
      <c r="K595" s="1" t="s">
        <v>22</v>
      </c>
      <c r="L595" s="1" t="str">
        <f>HYPERLINK("https://files.afu.se/Downloads/Transcripts/0%20-%20Government/USA%20-%20NASA%20Johnson/2018 08 03 - NASA Johnson - NASA Announces Crews for First Commercial Vehicle Flights_uwWLPW7ZG0Y - transcript (automated).pdf","Transcript Link")</f>
        <v>Transcript Link</v>
      </c>
      <c r="M595" s="2" t="str">
        <f>HYPERLINK("https://files.afu.se/Downloads/Transcripts/0%20-%20Government/USA%20-%20NASA%20Johnson/2018 08 03 - NASA Johnson - NASA Announces Crews for First Commercial Vehicle Flights_uwWLPW7ZG0Y - transcript (automated).pdf","Transcript Link")</f>
        <v>Transcript Link</v>
      </c>
    </row>
    <row r="596" ht="390" spans="1:13">
      <c r="A596" s="1" t="s">
        <v>2612</v>
      </c>
      <c r="B596" s="1" t="s">
        <v>13</v>
      </c>
      <c r="C596" s="4" t="s">
        <v>2613</v>
      </c>
      <c r="D596" s="1" t="s">
        <v>2614</v>
      </c>
      <c r="E596" s="1" t="s">
        <v>2615</v>
      </c>
      <c r="F596" s="4" t="s">
        <v>17</v>
      </c>
      <c r="G596" s="1" t="s">
        <v>18</v>
      </c>
      <c r="H596" s="1" t="s">
        <v>19</v>
      </c>
      <c r="I596" s="1" t="s">
        <v>20</v>
      </c>
      <c r="J596" s="1" t="s">
        <v>2616</v>
      </c>
      <c r="K596" s="1" t="s">
        <v>22</v>
      </c>
      <c r="L596" s="1" t="str">
        <f>HYPERLINK("https://files.afu.se/Downloads/Transcripts/0%20-%20Government/USA%20-%20NASA%20Johnson/2018 08 01 - NASA Johnson - Tiny Organisms, Big Impact_LlFCvOzdpoI - transcript (automated).pdf","Transcript Link")</f>
        <v>Transcript Link</v>
      </c>
      <c r="M596" s="2" t="str">
        <f>HYPERLINK("https://files.afu.se/Downloads/Transcripts/0%20-%20Government/USA%20-%20NASA%20Johnson/2018 08 01 - NASA Johnson - Tiny Organisms, Big Impact_LlFCvOzdpoI - transcript (automated).pdf","Transcript Link")</f>
        <v>Transcript Link</v>
      </c>
    </row>
    <row r="597" ht="240" spans="1:13">
      <c r="A597" s="1" t="s">
        <v>2617</v>
      </c>
      <c r="B597" s="1" t="s">
        <v>13</v>
      </c>
      <c r="C597" s="4" t="s">
        <v>2618</v>
      </c>
      <c r="D597" s="1" t="s">
        <v>2619</v>
      </c>
      <c r="E597" s="1" t="s">
        <v>2620</v>
      </c>
      <c r="F597" s="4" t="s">
        <v>17</v>
      </c>
      <c r="G597" s="1" t="s">
        <v>18</v>
      </c>
      <c r="H597" s="1" t="s">
        <v>19</v>
      </c>
      <c r="I597" s="1" t="s">
        <v>20</v>
      </c>
      <c r="J597" s="1" t="s">
        <v>2621</v>
      </c>
      <c r="K597" s="1" t="s">
        <v>22</v>
      </c>
      <c r="L597" s="1" t="str">
        <f>HYPERLINK("https://files.afu.se/Downloads/Transcripts/0%20-%20Government/USA%20-%20NASA%20Johnson/2018 07 31 - NASA Johnson - The Battle for Space Breakfast_1uCs2MKyYek - transcript (automated).pdf","Transcript Link")</f>
        <v>Transcript Link</v>
      </c>
      <c r="M597" s="2" t="str">
        <f>HYPERLINK("https://files.afu.se/Downloads/Transcripts/0%20-%20Government/USA%20-%20NASA%20Johnson/2018 07 31 - NASA Johnson - The Battle for Space Breakfast_1uCs2MKyYek - transcript (automated).pdf","Transcript Link")</f>
        <v>Transcript Link</v>
      </c>
    </row>
    <row r="598" ht="270" spans="1:13">
      <c r="A598" s="1" t="s">
        <v>2622</v>
      </c>
      <c r="B598" s="1" t="s">
        <v>13</v>
      </c>
      <c r="C598" s="4" t="s">
        <v>2623</v>
      </c>
      <c r="D598" s="1" t="s">
        <v>2624</v>
      </c>
      <c r="E598" s="1" t="s">
        <v>2147</v>
      </c>
      <c r="F598" s="4" t="s">
        <v>17</v>
      </c>
      <c r="G598" s="1" t="s">
        <v>18</v>
      </c>
      <c r="H598" s="1" t="s">
        <v>19</v>
      </c>
      <c r="I598" s="1" t="s">
        <v>20</v>
      </c>
      <c r="J598" s="1" t="s">
        <v>2625</v>
      </c>
      <c r="K598" s="1" t="s">
        <v>22</v>
      </c>
      <c r="L598" s="1" t="str">
        <f>HYPERLINK("https://files.afu.se/Downloads/Transcripts/0%20-%20Government/USA%20-%20NASA%20Johnson/2018 07 27 - NASA Johnson - Space to Ground  Locally Grown  07 27 2018_ofNkfSdpOzM - transcript (automated).pdf","Transcript Link")</f>
        <v>Transcript Link</v>
      </c>
      <c r="M598" s="2" t="str">
        <f>HYPERLINK("https://files.afu.se/Downloads/Transcripts/0%20-%20Government/USA%20-%20NASA%20Johnson/2018 07 27 - NASA Johnson - Space to Ground  Locally Grown  07 27 2018_ofNkfSdpOzM - transcript (automated).pdf","Transcript Link")</f>
        <v>Transcript Link</v>
      </c>
    </row>
    <row r="599" ht="409.5" spans="1:13">
      <c r="A599" s="1" t="s">
        <v>2626</v>
      </c>
      <c r="B599" s="1" t="s">
        <v>13</v>
      </c>
      <c r="C599" s="4" t="s">
        <v>2627</v>
      </c>
      <c r="D599" s="1" t="s">
        <v>2628</v>
      </c>
      <c r="E599" s="1" t="s">
        <v>2629</v>
      </c>
      <c r="F599" s="4" t="s">
        <v>17</v>
      </c>
      <c r="G599" s="1" t="s">
        <v>18</v>
      </c>
      <c r="H599" s="1" t="s">
        <v>19</v>
      </c>
      <c r="I599" s="1" t="s">
        <v>20</v>
      </c>
      <c r="J599" s="1" t="s">
        <v>2630</v>
      </c>
      <c r="K599" s="1" t="s">
        <v>22</v>
      </c>
      <c r="L599" s="1" t="str">
        <f>HYPERLINK("https://files.afu.se/Downloads/Transcripts/0%20-%20Government/USA%20-%20NASA%20Johnson/2018 07 20 - NASA Johnson - Space to Ground  Concrete Science  07 20 2018_l9G1vfIpM5Y - transcript (automated).pdf","Transcript Link")</f>
        <v>Transcript Link</v>
      </c>
      <c r="M599" s="2" t="str">
        <f>HYPERLINK("https://files.afu.se/Downloads/Transcripts/0%20-%20Government/USA%20-%20NASA%20Johnson/2018 07 20 - NASA Johnson - Space to Ground  Concrete Science  07 20 2018_l9G1vfIpM5Y - transcript (automated).pdf","Transcript Link")</f>
        <v>Transcript Link</v>
      </c>
    </row>
    <row r="600" ht="180" spans="1:13">
      <c r="A600" s="1" t="s">
        <v>2631</v>
      </c>
      <c r="B600" s="1" t="s">
        <v>13</v>
      </c>
      <c r="C600" s="4" t="s">
        <v>2632</v>
      </c>
      <c r="D600" s="1" t="s">
        <v>2633</v>
      </c>
      <c r="E600" s="1" t="s">
        <v>2634</v>
      </c>
      <c r="F600" s="4" t="s">
        <v>17</v>
      </c>
      <c r="G600" s="1" t="s">
        <v>18</v>
      </c>
      <c r="H600" s="1" t="s">
        <v>19</v>
      </c>
      <c r="I600" s="1" t="s">
        <v>20</v>
      </c>
      <c r="J600" s="1" t="s">
        <v>2635</v>
      </c>
      <c r="K600" s="1" t="s">
        <v>22</v>
      </c>
      <c r="L600" s="1" t="str">
        <f>HYPERLINK("https://files.afu.se/Downloads/Transcripts/0%20-%20Government/USA%20-%20NASA%20Johnson/2018 07 17 - NASA Johnson - So You Want to Go to Mars   Episode 2   What Does it Take to be a NASA Hero _TGQx5todiHM - transcript (automated).pdf","Transcript Link")</f>
        <v>Transcript Link</v>
      </c>
      <c r="M600" s="2" t="str">
        <f>HYPERLINK("https://files.afu.se/Downloads/Transcripts/0%20-%20Government/USA%20-%20NASA%20Johnson/2018 07 17 - NASA Johnson - So You Want to Go to Mars   Episode 2   What Does it Take to be a NASA Hero _TGQx5todiHM - transcript (automated).pdf","Transcript Link")</f>
        <v>Transcript Link</v>
      </c>
    </row>
    <row r="601" ht="270" spans="1:13">
      <c r="A601" s="1" t="s">
        <v>2636</v>
      </c>
      <c r="B601" s="1" t="s">
        <v>13</v>
      </c>
      <c r="C601" s="4" t="s">
        <v>2637</v>
      </c>
      <c r="D601" s="1" t="s">
        <v>2638</v>
      </c>
      <c r="E601" s="1" t="s">
        <v>2147</v>
      </c>
      <c r="F601" s="4" t="s">
        <v>17</v>
      </c>
      <c r="G601" s="1" t="s">
        <v>18</v>
      </c>
      <c r="H601" s="1" t="s">
        <v>19</v>
      </c>
      <c r="I601" s="1" t="s">
        <v>20</v>
      </c>
      <c r="J601" s="1" t="s">
        <v>2639</v>
      </c>
      <c r="K601" s="1" t="s">
        <v>22</v>
      </c>
      <c r="L601" s="1" t="str">
        <f>HYPERLINK("https://files.afu.se/Downloads/Transcripts/0%20-%20Government/USA%20-%20NASA%20Johnson/2018 07 13 - NASA Johnson - Space to Ground  Same Day Delivery  07 13 2018_ymxzfJmUO0w - transcript (automated).pdf","Transcript Link")</f>
        <v>Transcript Link</v>
      </c>
      <c r="M601" s="2" t="str">
        <f>HYPERLINK("https://files.afu.se/Downloads/Transcripts/0%20-%20Government/USA%20-%20NASA%20Johnson/2018 07 13 - NASA Johnson - Space to Ground  Same Day Delivery  07 13 2018_ymxzfJmUO0w - transcript (automated).pdf","Transcript Link")</f>
        <v>Transcript Link</v>
      </c>
    </row>
    <row r="602" ht="240" spans="1:13">
      <c r="A602" s="1" t="s">
        <v>2640</v>
      </c>
      <c r="B602" s="1" t="s">
        <v>13</v>
      </c>
      <c r="C602" s="4" t="s">
        <v>2641</v>
      </c>
      <c r="D602" s="1" t="s">
        <v>2642</v>
      </c>
      <c r="E602" s="1" t="s">
        <v>2643</v>
      </c>
      <c r="F602" s="4" t="s">
        <v>17</v>
      </c>
      <c r="G602" s="1" t="s">
        <v>18</v>
      </c>
      <c r="H602" s="1" t="s">
        <v>19</v>
      </c>
      <c r="I602" s="1" t="s">
        <v>20</v>
      </c>
      <c r="J602" s="1" t="s">
        <v>2644</v>
      </c>
      <c r="K602" s="1" t="s">
        <v>22</v>
      </c>
      <c r="L602" s="1" t="str">
        <f>HYPERLINK("https://files.afu.se/Downloads/Transcripts/0%20-%20Government/USA%20-%20NASA%20Johnson/2018 07 10 - NASA Johnson - NASA's New Flight Directors 2018_ul3f5xP0_bI - transcript (automated).pdf","Transcript Link")</f>
        <v>Transcript Link</v>
      </c>
      <c r="M602" s="2" t="str">
        <f>HYPERLINK("https://files.afu.se/Downloads/Transcripts/0%20-%20Government/USA%20-%20NASA%20Johnson/2018 07 10 - NASA Johnson - NASA's New Flight Directors 2018_ul3f5xP0_bI - transcript (automated).pdf","Transcript Link")</f>
        <v>Transcript Link</v>
      </c>
    </row>
    <row r="603" ht="300" spans="1:13">
      <c r="A603" s="1" t="s">
        <v>2645</v>
      </c>
      <c r="B603" s="1" t="s">
        <v>13</v>
      </c>
      <c r="C603" s="4" t="s">
        <v>2646</v>
      </c>
      <c r="D603" s="1" t="s">
        <v>2647</v>
      </c>
      <c r="E603" s="1" t="s">
        <v>2648</v>
      </c>
      <c r="F603" s="4" t="s">
        <v>17</v>
      </c>
      <c r="G603" s="1" t="s">
        <v>18</v>
      </c>
      <c r="H603" s="1" t="s">
        <v>19</v>
      </c>
      <c r="I603" s="1" t="s">
        <v>20</v>
      </c>
      <c r="J603" s="1" t="s">
        <v>2649</v>
      </c>
      <c r="K603" s="1" t="s">
        <v>22</v>
      </c>
      <c r="L603" s="1" t="str">
        <f>HYPERLINK("https://files.afu.se/Downloads/Transcripts/0%20-%20Government/USA%20-%20NASA%20Johnson/2018 07 06 - NASA Johnson - Preparing America for Deep Space Episode 17  Building the Future_pGpWuKaZKac - transcript (automated).pdf","Transcript Link")</f>
        <v>Transcript Link</v>
      </c>
      <c r="M603" s="2" t="str">
        <f>HYPERLINK("https://files.afu.se/Downloads/Transcripts/0%20-%20Government/USA%20-%20NASA%20Johnson/2018 07 06 - NASA Johnson - Preparing America for Deep Space Episode 17  Building the Future_pGpWuKaZKac - transcript (automated).pdf","Transcript Link")</f>
        <v>Transcript Link</v>
      </c>
    </row>
    <row r="604" ht="270" spans="1:13">
      <c r="A604" s="1" t="s">
        <v>2645</v>
      </c>
      <c r="B604" s="1" t="s">
        <v>13</v>
      </c>
      <c r="C604" s="4" t="s">
        <v>2650</v>
      </c>
      <c r="D604" s="1" t="s">
        <v>2651</v>
      </c>
      <c r="E604" s="1" t="s">
        <v>2147</v>
      </c>
      <c r="F604" s="4" t="s">
        <v>17</v>
      </c>
      <c r="G604" s="1" t="s">
        <v>18</v>
      </c>
      <c r="H604" s="1" t="s">
        <v>19</v>
      </c>
      <c r="I604" s="1" t="s">
        <v>20</v>
      </c>
      <c r="J604" s="1" t="s">
        <v>2652</v>
      </c>
      <c r="K604" s="1" t="s">
        <v>22</v>
      </c>
      <c r="L604" s="1" t="str">
        <f>HYPERLINK("https://files.afu.se/Downloads/Transcripts/0%20-%20Government/USA%20-%20NASA%20Johnson/2018 07 06 - NASA Johnson - Space to Ground  Meet CIMON  07 06 2018_zqVE_3Z6IiQ - transcript (automated).pdf","Transcript Link")</f>
        <v>Transcript Link</v>
      </c>
      <c r="M604" s="2" t="str">
        <f>HYPERLINK("https://files.afu.se/Downloads/Transcripts/0%20-%20Government/USA%20-%20NASA%20Johnson/2018 07 06 - NASA Johnson - Space to Ground  Meet CIMON  07 06 2018_zqVE_3Z6IiQ - transcript (automated).pdf","Transcript Link")</f>
        <v>Transcript Link</v>
      </c>
    </row>
    <row r="605" ht="330" spans="1:13">
      <c r="A605" s="1" t="s">
        <v>2653</v>
      </c>
      <c r="B605" s="1" t="s">
        <v>13</v>
      </c>
      <c r="C605" s="4" t="s">
        <v>2654</v>
      </c>
      <c r="D605" s="1" t="s">
        <v>2655</v>
      </c>
      <c r="E605" s="1" t="s">
        <v>2656</v>
      </c>
      <c r="F605" s="4" t="s">
        <v>17</v>
      </c>
      <c r="G605" s="1" t="s">
        <v>18</v>
      </c>
      <c r="H605" s="1" t="s">
        <v>19</v>
      </c>
      <c r="I605" s="1" t="s">
        <v>20</v>
      </c>
      <c r="J605" s="1" t="s">
        <v>2657</v>
      </c>
      <c r="K605" s="1" t="s">
        <v>22</v>
      </c>
      <c r="L605" s="1" t="str">
        <f>HYPERLINK("https://files.afu.se/Downloads/Transcripts/0%20-%20Government/USA%20-%20NASA%20Johnson/2018 07 01 - NASA Johnson - Benefits for Humanity  Fighting Cancer from Space_NMc-5QGBPp8 - transcript (automated).pdf","Transcript Link")</f>
        <v>Transcript Link</v>
      </c>
      <c r="M605" s="2" t="str">
        <f>HYPERLINK("https://files.afu.se/Downloads/Transcripts/0%20-%20Government/USA%20-%20NASA%20Johnson/2018 07 01 - NASA Johnson - Benefits for Humanity  Fighting Cancer from Space_NMc-5QGBPp8 - transcript (automated).pdf","Transcript Link")</f>
        <v>Transcript Link</v>
      </c>
    </row>
    <row r="606" ht="270" spans="1:13">
      <c r="A606" s="1" t="s">
        <v>2658</v>
      </c>
      <c r="B606" s="1" t="s">
        <v>13</v>
      </c>
      <c r="C606" s="4" t="s">
        <v>2659</v>
      </c>
      <c r="D606" s="1" t="s">
        <v>2660</v>
      </c>
      <c r="E606" s="1" t="s">
        <v>2147</v>
      </c>
      <c r="F606" s="4" t="s">
        <v>17</v>
      </c>
      <c r="G606" s="1" t="s">
        <v>18</v>
      </c>
      <c r="H606" s="1" t="s">
        <v>19</v>
      </c>
      <c r="I606" s="1" t="s">
        <v>20</v>
      </c>
      <c r="J606" s="1" t="s">
        <v>2661</v>
      </c>
      <c r="K606" s="1" t="s">
        <v>22</v>
      </c>
      <c r="L606" s="1" t="str">
        <f>HYPERLINK("https://files.afu.se/Downloads/Transcripts/0%20-%20Government/USA%20-%20NASA%20Johnson/2018 06 29 - NASA Johnson - Space to Ground  Rocket's Red Glare  06 29 2018_wL13Ti3aV_E - transcript (automated).pdf","Transcript Link")</f>
        <v>Transcript Link</v>
      </c>
      <c r="M606" s="2" t="str">
        <f>HYPERLINK("https://files.afu.se/Downloads/Transcripts/0%20-%20Government/USA%20-%20NASA%20Johnson/2018 06 29 - NASA Johnson - Space to Ground  Rocket's Red Glare  06 29 2018_wL13Ti3aV_E - transcript (automated).pdf","Transcript Link")</f>
        <v>Transcript Link</v>
      </c>
    </row>
    <row r="607" ht="255" spans="1:13">
      <c r="A607" s="1" t="s">
        <v>2662</v>
      </c>
      <c r="B607" s="1" t="s">
        <v>13</v>
      </c>
      <c r="C607" s="4" t="s">
        <v>2663</v>
      </c>
      <c r="D607" s="1" t="s">
        <v>2664</v>
      </c>
      <c r="E607" s="1" t="s">
        <v>2665</v>
      </c>
      <c r="F607" s="4" t="s">
        <v>17</v>
      </c>
      <c r="G607" s="1" t="s">
        <v>18</v>
      </c>
      <c r="H607" s="1" t="s">
        <v>19</v>
      </c>
      <c r="I607" s="1" t="s">
        <v>20</v>
      </c>
      <c r="J607" s="1" t="s">
        <v>2666</v>
      </c>
      <c r="K607" s="1" t="s">
        <v>22</v>
      </c>
      <c r="L607" s="1" t="str">
        <f>HYPERLINK("https://files.afu.se/Downloads/Transcripts/0%20-%20Government/USA%20-%20NASA%20Johnson/2018 06 27 - NASA Johnson - STEMonstrations  Surface Tension_34bFgA3H3hQ - transcript (automated).pdf","Transcript Link")</f>
        <v>Transcript Link</v>
      </c>
      <c r="M607" s="2" t="str">
        <f>HYPERLINK("https://files.afu.se/Downloads/Transcripts/0%20-%20Government/USA%20-%20NASA%20Johnson/2018 06 27 - NASA Johnson - STEMonstrations  Surface Tension_34bFgA3H3hQ - transcript (automated).pdf","Transcript Link")</f>
        <v>Transcript Link</v>
      </c>
    </row>
    <row r="608" ht="409.5" spans="1:13">
      <c r="A608" s="1" t="s">
        <v>2662</v>
      </c>
      <c r="B608" s="1" t="s">
        <v>13</v>
      </c>
      <c r="C608" s="4" t="s">
        <v>2667</v>
      </c>
      <c r="D608" s="1" t="s">
        <v>2668</v>
      </c>
      <c r="E608" s="1" t="s">
        <v>2669</v>
      </c>
      <c r="F608" s="4" t="s">
        <v>17</v>
      </c>
      <c r="G608" s="1" t="s">
        <v>18</v>
      </c>
      <c r="H608" s="1" t="s">
        <v>19</v>
      </c>
      <c r="I608" s="1" t="s">
        <v>20</v>
      </c>
      <c r="J608" s="1" t="s">
        <v>2670</v>
      </c>
      <c r="K608" s="1" t="s">
        <v>22</v>
      </c>
      <c r="L608" s="1" t="str">
        <f>HYPERLINK("https://files.afu.se/Downloads/Transcripts/0%20-%20Government/USA%20-%20NASA%20Johnson/2018 06 27 - NASA Johnson - Highlights of Science Launching on SpaceX CRS-15_2SLlLAMIMLk - transcript (automated).pdf","Transcript Link")</f>
        <v>Transcript Link</v>
      </c>
      <c r="M608" s="2" t="str">
        <f>HYPERLINK("https://files.afu.se/Downloads/Transcripts/0%20-%20Government/USA%20-%20NASA%20Johnson/2018 06 27 - NASA Johnson - Highlights of Science Launching on SpaceX CRS-15_2SLlLAMIMLk - transcript (automated).pdf","Transcript Link")</f>
        <v>Transcript Link</v>
      </c>
    </row>
    <row r="609" ht="270" spans="1:13">
      <c r="A609" s="1" t="s">
        <v>2671</v>
      </c>
      <c r="B609" s="1" t="s">
        <v>13</v>
      </c>
      <c r="C609" s="4" t="s">
        <v>2672</v>
      </c>
      <c r="D609" s="1" t="s">
        <v>2673</v>
      </c>
      <c r="E609" s="1" t="s">
        <v>2147</v>
      </c>
      <c r="F609" s="4" t="s">
        <v>17</v>
      </c>
      <c r="G609" s="1" t="s">
        <v>18</v>
      </c>
      <c r="H609" s="1" t="s">
        <v>19</v>
      </c>
      <c r="I609" s="1" t="s">
        <v>20</v>
      </c>
      <c r="J609" s="1" t="s">
        <v>2674</v>
      </c>
      <c r="K609" s="1" t="s">
        <v>22</v>
      </c>
      <c r="L609" s="1" t="str">
        <f>HYPERLINK("https://files.afu.se/Downloads/Transcripts/0%20-%20Government/USA%20-%20NASA%20Johnson/2018 06 22 - NASA Johnson - Space to Ground  Clearing the Cosmos  06 22 2018_X-9eIyWyGYU - transcript (automated).pdf","Transcript Link")</f>
        <v>Transcript Link</v>
      </c>
      <c r="M609" s="2" t="str">
        <f>HYPERLINK("https://files.afu.se/Downloads/Transcripts/0%20-%20Government/USA%20-%20NASA%20Johnson/2018 06 22 - NASA Johnson - Space to Ground  Clearing the Cosmos  06 22 2018_X-9eIyWyGYU - transcript (automated).pdf","Transcript Link")</f>
        <v>Transcript Link</v>
      </c>
    </row>
    <row r="610" ht="285" spans="1:13">
      <c r="A610" s="1" t="s">
        <v>2675</v>
      </c>
      <c r="B610" s="1" t="s">
        <v>13</v>
      </c>
      <c r="C610" s="4" t="s">
        <v>2676</v>
      </c>
      <c r="D610" s="1" t="s">
        <v>2677</v>
      </c>
      <c r="E610" s="1" t="s">
        <v>2678</v>
      </c>
      <c r="F610" s="4" t="s">
        <v>17</v>
      </c>
      <c r="G610" s="1" t="s">
        <v>18</v>
      </c>
      <c r="H610" s="1" t="s">
        <v>19</v>
      </c>
      <c r="I610" s="1" t="s">
        <v>20</v>
      </c>
      <c r="J610" s="1" t="s">
        <v>2679</v>
      </c>
      <c r="K610" s="1" t="s">
        <v>22</v>
      </c>
      <c r="L610" s="1" t="str">
        <f>HYPERLINK("https://files.afu.se/Downloads/Transcripts/0%20-%20Government/USA%20-%20NASA%20Johnson/2018 06 20 - NASA Johnson - Eat Like an Astronaut_AGR3FiEkBwA - transcript (automated).pdf","Transcript Link")</f>
        <v>Transcript Link</v>
      </c>
      <c r="M610" s="2" t="str">
        <f>HYPERLINK("https://files.afu.se/Downloads/Transcripts/0%20-%20Government/USA%20-%20NASA%20Johnson/2018 06 20 - NASA Johnson - Eat Like an Astronaut_AGR3FiEkBwA - transcript (automated).pdf","Transcript Link")</f>
        <v>Transcript Link</v>
      </c>
    </row>
    <row r="611" ht="390" spans="1:13">
      <c r="A611" s="1" t="s">
        <v>2680</v>
      </c>
      <c r="B611" s="1" t="s">
        <v>13</v>
      </c>
      <c r="C611" s="4" t="s">
        <v>2681</v>
      </c>
      <c r="D611" s="1" t="s">
        <v>2682</v>
      </c>
      <c r="E611" s="1" t="s">
        <v>2683</v>
      </c>
      <c r="F611" s="4" t="s">
        <v>17</v>
      </c>
      <c r="G611" s="1" t="s">
        <v>18</v>
      </c>
      <c r="H611" s="1" t="s">
        <v>19</v>
      </c>
      <c r="I611" s="1" t="s">
        <v>20</v>
      </c>
      <c r="J611" s="1" t="s">
        <v>2684</v>
      </c>
      <c r="K611" s="1" t="s">
        <v>22</v>
      </c>
      <c r="L611" s="1" t="str">
        <f>HYPERLINK("https://files.afu.se/Downloads/Transcripts/0%20-%20Government/USA%20-%20NASA%20Johnson/2018 06 19 - NASA Johnson - Navigating Space by the Stars_LVqjvvLO5XY - transcript (automated).pdf","Transcript Link")</f>
        <v>Transcript Link</v>
      </c>
      <c r="M611" s="2" t="str">
        <f>HYPERLINK("https://files.afu.se/Downloads/Transcripts/0%20-%20Government/USA%20-%20NASA%20Johnson/2018 06 19 - NASA Johnson - Navigating Space by the Stars_LVqjvvLO5XY - transcript (automated).pdf","Transcript Link")</f>
        <v>Transcript Link</v>
      </c>
    </row>
    <row r="612" ht="330" spans="1:13">
      <c r="A612" s="1" t="s">
        <v>2685</v>
      </c>
      <c r="B612" s="1" t="s">
        <v>13</v>
      </c>
      <c r="C612" s="4" t="s">
        <v>2686</v>
      </c>
      <c r="D612" s="1" t="s">
        <v>2687</v>
      </c>
      <c r="E612" s="1" t="s">
        <v>2688</v>
      </c>
      <c r="F612" s="4" t="s">
        <v>17</v>
      </c>
      <c r="G612" s="1" t="s">
        <v>18</v>
      </c>
      <c r="H612" s="1" t="s">
        <v>19</v>
      </c>
      <c r="I612" s="1" t="s">
        <v>20</v>
      </c>
      <c r="J612" s="1" t="s">
        <v>2689</v>
      </c>
      <c r="K612" s="1" t="s">
        <v>22</v>
      </c>
      <c r="L612" s="1" t="str">
        <f>HYPERLINK("https://files.afu.se/Downloads/Transcripts/0%20-%20Government/USA%20-%20NASA%20Johnson/2018 06 15 - NASA Johnson - To Touch the Stars_9WFP8rDXVp0 - transcript (automated).pdf","Transcript Link")</f>
        <v>Transcript Link</v>
      </c>
      <c r="M612" s="2" t="str">
        <f>HYPERLINK("https://files.afu.se/Downloads/Transcripts/0%20-%20Government/USA%20-%20NASA%20Johnson/2018 06 15 - NASA Johnson - To Touch the Stars_9WFP8rDXVp0 - transcript (automated).pdf","Transcript Link")</f>
        <v>Transcript Link</v>
      </c>
    </row>
    <row r="613" ht="270" spans="1:13">
      <c r="A613" s="1" t="s">
        <v>2685</v>
      </c>
      <c r="B613" s="1" t="s">
        <v>13</v>
      </c>
      <c r="C613" s="4" t="s">
        <v>2690</v>
      </c>
      <c r="D613" s="1" t="s">
        <v>2691</v>
      </c>
      <c r="E613" s="1" t="s">
        <v>2147</v>
      </c>
      <c r="F613" s="4" t="s">
        <v>17</v>
      </c>
      <c r="G613" s="1" t="s">
        <v>18</v>
      </c>
      <c r="H613" s="1" t="s">
        <v>19</v>
      </c>
      <c r="I613" s="1" t="s">
        <v>20</v>
      </c>
      <c r="J613" s="1" t="s">
        <v>2692</v>
      </c>
      <c r="K613" s="1" t="s">
        <v>22</v>
      </c>
      <c r="L613" s="1" t="str">
        <f>HYPERLINK("https://files.afu.se/Downloads/Transcripts/0%20-%20Government/USA%20-%20NASA%20Johnson/2018 06 15 - NASA Johnson - Space to Ground  Enhancing the View  06 15 2018_ksQSSuhovh8 - transcript (automated).pdf","Transcript Link")</f>
        <v>Transcript Link</v>
      </c>
      <c r="M613" s="2" t="str">
        <f>HYPERLINK("https://files.afu.se/Downloads/Transcripts/0%20-%20Government/USA%20-%20NASA%20Johnson/2018 06 15 - NASA Johnson - Space to Ground  Enhancing the View  06 15 2018_ksQSSuhovh8 - transcript (automated).pdf","Transcript Link")</f>
        <v>Transcript Link</v>
      </c>
    </row>
    <row r="614" ht="180" spans="1:13">
      <c r="A614" s="1" t="s">
        <v>2693</v>
      </c>
      <c r="B614" s="1" t="s">
        <v>13</v>
      </c>
      <c r="C614" s="4" t="s">
        <v>2694</v>
      </c>
      <c r="D614" s="1" t="s">
        <v>2695</v>
      </c>
      <c r="E614" s="1" t="s">
        <v>2696</v>
      </c>
      <c r="F614" s="4" t="s">
        <v>17</v>
      </c>
      <c r="G614" s="1" t="s">
        <v>18</v>
      </c>
      <c r="H614" s="1" t="s">
        <v>19</v>
      </c>
      <c r="I614" s="1" t="s">
        <v>20</v>
      </c>
      <c r="J614" s="1" t="s">
        <v>2697</v>
      </c>
      <c r="K614" s="1" t="s">
        <v>22</v>
      </c>
      <c r="L614" s="1" t="str">
        <f>HYPERLINK("https://files.afu.se/Downloads/Transcripts/0%20-%20Government/USA%20-%20NASA%20Johnson/2018 06 13 - NASA Johnson - STEMonstrations  Orbits_J8dL7_obPwc - transcript (automated).pdf","Transcript Link")</f>
        <v>Transcript Link</v>
      </c>
      <c r="M614" s="2" t="str">
        <f>HYPERLINK("https://files.afu.se/Downloads/Transcripts/0%20-%20Government/USA%20-%20NASA%20Johnson/2018 06 13 - NASA Johnson - STEMonstrations  Orbits_J8dL7_obPwc - transcript (automated).pdf","Transcript Link")</f>
        <v>Transcript Link</v>
      </c>
    </row>
    <row r="615" ht="270" spans="1:13">
      <c r="A615" s="1" t="s">
        <v>2698</v>
      </c>
      <c r="B615" s="1" t="s">
        <v>13</v>
      </c>
      <c r="C615" s="4" t="s">
        <v>2699</v>
      </c>
      <c r="D615" s="1" t="s">
        <v>2700</v>
      </c>
      <c r="E615" s="1" t="s">
        <v>2147</v>
      </c>
      <c r="F615" s="4" t="s">
        <v>17</v>
      </c>
      <c r="G615" s="1" t="s">
        <v>18</v>
      </c>
      <c r="H615" s="1" t="s">
        <v>19</v>
      </c>
      <c r="I615" s="1" t="s">
        <v>20</v>
      </c>
      <c r="J615" s="1" t="s">
        <v>2701</v>
      </c>
      <c r="K615" s="1" t="s">
        <v>22</v>
      </c>
      <c r="L615" s="1" t="str">
        <f>HYPERLINK("https://files.afu.se/Downloads/Transcripts/0%20-%20Government/USA%20-%20NASA%20Johnson/2018 06 08 - NASA Johnson - Space to Ground  Launches and Landings  06 08 2018_Rg0wfmvtax4 - transcript (automated).pdf","Transcript Link")</f>
        <v>Transcript Link</v>
      </c>
      <c r="M615" s="2" t="str">
        <f>HYPERLINK("https://files.afu.se/Downloads/Transcripts/0%20-%20Government/USA%20-%20NASA%20Johnson/2018 06 08 - NASA Johnson - Space to Ground  Launches and Landings  06 08 2018_Rg0wfmvtax4 - transcript (automated).pdf","Transcript Link")</f>
        <v>Transcript Link</v>
      </c>
    </row>
    <row r="616" ht="210" spans="1:13">
      <c r="A616" s="1" t="s">
        <v>2702</v>
      </c>
      <c r="B616" s="1" t="s">
        <v>13</v>
      </c>
      <c r="C616" s="4" t="s">
        <v>2703</v>
      </c>
      <c r="D616" s="1" t="s">
        <v>2704</v>
      </c>
      <c r="E616" s="1" t="s">
        <v>2705</v>
      </c>
      <c r="F616" s="4" t="s">
        <v>17</v>
      </c>
      <c r="G616" s="1" t="s">
        <v>18</v>
      </c>
      <c r="H616" s="1" t="s">
        <v>19</v>
      </c>
      <c r="I616" s="1" t="s">
        <v>20</v>
      </c>
      <c r="J616" s="1" t="s">
        <v>2706</v>
      </c>
      <c r="K616" s="1" t="s">
        <v>22</v>
      </c>
      <c r="L616" s="1" t="str">
        <f>HYPERLINK("https://files.afu.se/Downloads/Transcripts/0%20-%20Government/USA%20-%20NASA%20Johnson/2018 06 05 - NASA Johnson - 5 Things You Didn’t Know About Astronaut Serena Auñón-Chancellor_8xiScHgbsd8 - transcript (automated).pdf","Transcript Link")</f>
        <v>Transcript Link</v>
      </c>
      <c r="M616" s="2" t="str">
        <f>HYPERLINK("https://files.afu.se/Downloads/Transcripts/0%20-%20Government/USA%20-%20NASA%20Johnson/2018 06 05 - NASA Johnson - 5 Things You Didn’t Know About Astronaut Serena Auñón-Chancellor_8xiScHgbsd8 - transcript (automated).pdf","Transcript Link")</f>
        <v>Transcript Link</v>
      </c>
    </row>
    <row r="617" ht="270" spans="1:13">
      <c r="A617" s="1" t="s">
        <v>2707</v>
      </c>
      <c r="B617" s="1" t="s">
        <v>13</v>
      </c>
      <c r="C617" s="4" t="s">
        <v>2708</v>
      </c>
      <c r="D617" s="1" t="s">
        <v>2709</v>
      </c>
      <c r="E617" s="1" t="s">
        <v>2147</v>
      </c>
      <c r="F617" s="4" t="s">
        <v>17</v>
      </c>
      <c r="G617" s="1" t="s">
        <v>18</v>
      </c>
      <c r="H617" s="1" t="s">
        <v>19</v>
      </c>
      <c r="I617" s="1" t="s">
        <v>20</v>
      </c>
      <c r="J617" s="1" t="s">
        <v>2710</v>
      </c>
      <c r="K617" s="1" t="s">
        <v>22</v>
      </c>
      <c r="L617" s="1" t="str">
        <f>HYPERLINK("https://files.afu.se/Downloads/Transcripts/0%20-%20Government/USA%20-%20NASA%20Johnson/2018 06 01 - NASA Johnson - Space to Ground  Handoff  06 01 2018_MTZKlEr8fVw - transcript (automated).pdf","Transcript Link")</f>
        <v>Transcript Link</v>
      </c>
      <c r="M617" s="2" t="str">
        <f>HYPERLINK("https://files.afu.se/Downloads/Transcripts/0%20-%20Government/USA%20-%20NASA%20Johnson/2018 06 01 - NASA Johnson - Space to Ground  Handoff  06 01 2018_MTZKlEr8fVw - transcript (automated).pdf","Transcript Link")</f>
        <v>Transcript Link</v>
      </c>
    </row>
    <row r="618" ht="345" spans="1:13">
      <c r="A618" s="1" t="s">
        <v>2711</v>
      </c>
      <c r="B618" s="1" t="s">
        <v>13</v>
      </c>
      <c r="C618" s="4" t="s">
        <v>2712</v>
      </c>
      <c r="D618" s="1" t="s">
        <v>2713</v>
      </c>
      <c r="E618" s="1" t="s">
        <v>2714</v>
      </c>
      <c r="F618" s="4" t="s">
        <v>17</v>
      </c>
      <c r="G618" s="1" t="s">
        <v>18</v>
      </c>
      <c r="H618" s="1" t="s">
        <v>19</v>
      </c>
      <c r="I618" s="1" t="s">
        <v>20</v>
      </c>
      <c r="J618" s="1" t="s">
        <v>2715</v>
      </c>
      <c r="K618" s="1" t="s">
        <v>22</v>
      </c>
      <c r="L618" s="1" t="str">
        <f>HYPERLINK("https://files.afu.se/Downloads/Transcripts/0%20-%20Government/USA%20-%20NASA%20Johnson/2018 05 31 - NASA Johnson - Welcome Home  Soyuz Landing In 360 VR_lg3JIG8jk5M - transcript (automated).pdf","Transcript Link")</f>
        <v>Transcript Link</v>
      </c>
      <c r="M618" s="2" t="str">
        <f>HYPERLINK("https://files.afu.se/Downloads/Transcripts/0%20-%20Government/USA%20-%20NASA%20Johnson/2018 05 31 - NASA Johnson - Welcome Home  Soyuz Landing In 360 VR_lg3JIG8jk5M - transcript (automated).pdf","Transcript Link")</f>
        <v>Transcript Link</v>
      </c>
    </row>
    <row r="619" ht="270" spans="1:13">
      <c r="A619" s="1" t="s">
        <v>2716</v>
      </c>
      <c r="B619" s="1" t="s">
        <v>13</v>
      </c>
      <c r="C619" s="4" t="s">
        <v>2717</v>
      </c>
      <c r="D619" s="1" t="s">
        <v>2718</v>
      </c>
      <c r="E619" s="1" t="s">
        <v>2147</v>
      </c>
      <c r="F619" s="4" t="s">
        <v>17</v>
      </c>
      <c r="G619" s="1" t="s">
        <v>18</v>
      </c>
      <c r="H619" s="1" t="s">
        <v>19</v>
      </c>
      <c r="I619" s="1" t="s">
        <v>20</v>
      </c>
      <c r="J619" s="1" t="s">
        <v>2719</v>
      </c>
      <c r="K619" s="1" t="s">
        <v>22</v>
      </c>
      <c r="L619" s="1" t="str">
        <f>HYPERLINK("https://files.afu.se/Downloads/Transcripts/0%20-%20Government/USA%20-%20NASA%20Johnson/2018 05 25 - NASA Johnson - Space to Ground  Cold Hard Science  05 25 2018_Do-Q3dUjLoo - transcript (automated).pdf","Transcript Link")</f>
        <v>Transcript Link</v>
      </c>
      <c r="M619" s="2" t="str">
        <f>HYPERLINK("https://files.afu.se/Downloads/Transcripts/0%20-%20Government/USA%20-%20NASA%20Johnson/2018 05 25 - NASA Johnson - Space to Ground  Cold Hard Science  05 25 2018_Do-Q3dUjLoo - transcript (automated).pdf","Transcript Link")</f>
        <v>Transcript Link</v>
      </c>
    </row>
    <row r="620" ht="210" spans="1:13">
      <c r="A620" s="1" t="s">
        <v>2720</v>
      </c>
      <c r="B620" s="1" t="s">
        <v>13</v>
      </c>
      <c r="C620" s="4" t="s">
        <v>2721</v>
      </c>
      <c r="D620" s="1" t="s">
        <v>2722</v>
      </c>
      <c r="E620" s="1" t="s">
        <v>2723</v>
      </c>
      <c r="F620" s="4" t="s">
        <v>17</v>
      </c>
      <c r="G620" s="1" t="s">
        <v>18</v>
      </c>
      <c r="H620" s="1" t="s">
        <v>19</v>
      </c>
      <c r="I620" s="1" t="s">
        <v>20</v>
      </c>
      <c r="J620" s="1" t="s">
        <v>2724</v>
      </c>
      <c r="K620" s="1" t="s">
        <v>22</v>
      </c>
      <c r="L620" s="1" t="str">
        <f>HYPERLINK("https://files.afu.se/Downloads/Transcripts/0%20-%20Government/USA%20-%20NASA%20Johnson/2018 05 18 - NASA Johnson - Space to Ground  Kilauea Volcano  05 18 2018_9TeGPKAhJNc - transcript (automated).pdf","Transcript Link")</f>
        <v>Transcript Link</v>
      </c>
      <c r="M620" s="2" t="str">
        <f>HYPERLINK("https://files.afu.se/Downloads/Transcripts/0%20-%20Government/USA%20-%20NASA%20Johnson/2018 05 18 - NASA Johnson - Space to Ground  Kilauea Volcano  05 18 2018_9TeGPKAhJNc - transcript (automated).pdf","Transcript Link")</f>
        <v>Transcript Link</v>
      </c>
    </row>
    <row r="621" ht="270" spans="1:13">
      <c r="A621" s="1" t="s">
        <v>2725</v>
      </c>
      <c r="B621" s="1" t="s">
        <v>13</v>
      </c>
      <c r="C621" s="4" t="s">
        <v>2726</v>
      </c>
      <c r="D621" s="1" t="s">
        <v>2727</v>
      </c>
      <c r="E621" s="1" t="s">
        <v>2728</v>
      </c>
      <c r="F621" s="4" t="s">
        <v>17</v>
      </c>
      <c r="G621" s="1" t="s">
        <v>18</v>
      </c>
      <c r="H621" s="1" t="s">
        <v>19</v>
      </c>
      <c r="I621" s="1" t="s">
        <v>20</v>
      </c>
      <c r="J621" s="1" t="s">
        <v>2729</v>
      </c>
      <c r="K621" s="1" t="s">
        <v>22</v>
      </c>
      <c r="L621" s="1" t="str">
        <f>HYPERLINK("https://files.afu.se/Downloads/Transcripts/0%20-%20Government/USA%20-%20NASA%20Johnson/2018 05 17 - NASA Johnson - When Cool Science Gets Positively COLD_K04oMDygu9Y - transcript (automated).pdf","Transcript Link")</f>
        <v>Transcript Link</v>
      </c>
      <c r="M621" s="2" t="str">
        <f>HYPERLINK("https://files.afu.se/Downloads/Transcripts/0%20-%20Government/USA%20-%20NASA%20Johnson/2018 05 17 - NASA Johnson - When Cool Science Gets Positively COLD_K04oMDygu9Y - transcript (automated).pdf","Transcript Link")</f>
        <v>Transcript Link</v>
      </c>
    </row>
    <row r="622" ht="330" spans="1:13">
      <c r="A622" s="1" t="s">
        <v>2730</v>
      </c>
      <c r="B622" s="1" t="s">
        <v>13</v>
      </c>
      <c r="C622" s="4" t="s">
        <v>2731</v>
      </c>
      <c r="D622" s="1" t="s">
        <v>2732</v>
      </c>
      <c r="E622" s="1" t="s">
        <v>2733</v>
      </c>
      <c r="F622" s="4" t="s">
        <v>17</v>
      </c>
      <c r="G622" s="1" t="s">
        <v>18</v>
      </c>
      <c r="H622" s="1" t="s">
        <v>19</v>
      </c>
      <c r="I622" s="1" t="s">
        <v>20</v>
      </c>
      <c r="J622" s="1" t="s">
        <v>2734</v>
      </c>
      <c r="K622" s="1" t="s">
        <v>22</v>
      </c>
      <c r="L622" s="1" t="str">
        <f>HYPERLINK("https://files.afu.se/Downloads/Transcripts/0%20-%20Government/USA%20-%20NASA%20Johnson/2018 05 15 - NASA Johnson - Science Launching to Space Station Looks Forward and Back_aKMqYhlnnyQ - transcript (automated).pdf","Transcript Link")</f>
        <v>Transcript Link</v>
      </c>
      <c r="M622" s="2" t="str">
        <f>HYPERLINK("https://files.afu.se/Downloads/Transcripts/0%20-%20Government/USA%20-%20NASA%20Johnson/2018 05 15 - NASA Johnson - Science Launching to Space Station Looks Forward and Back_aKMqYhlnnyQ - transcript (automated).pdf","Transcript Link")</f>
        <v>Transcript Link</v>
      </c>
    </row>
    <row r="623" ht="285" spans="1:13">
      <c r="A623" s="1" t="s">
        <v>2735</v>
      </c>
      <c r="B623" s="1" t="s">
        <v>13</v>
      </c>
      <c r="C623" s="4" t="s">
        <v>2736</v>
      </c>
      <c r="D623" s="1" t="s">
        <v>2737</v>
      </c>
      <c r="E623" s="1" t="s">
        <v>2738</v>
      </c>
      <c r="F623" s="4" t="s">
        <v>17</v>
      </c>
      <c r="G623" s="1" t="s">
        <v>18</v>
      </c>
      <c r="H623" s="1" t="s">
        <v>19</v>
      </c>
      <c r="I623" s="1" t="s">
        <v>20</v>
      </c>
      <c r="J623" s="1" t="s">
        <v>2739</v>
      </c>
      <c r="K623" s="1" t="s">
        <v>22</v>
      </c>
      <c r="L623" s="1" t="str">
        <f>HYPERLINK("https://files.afu.se/Downloads/Transcripts/0%20-%20Government/USA%20-%20NASA%20Johnson/2018 05 14 - NASA Johnson - Investigation Seeks to Create Self-Assembling Materials_Yn1h_D4NpZ4 - transcript (automated).pdf","Transcript Link")</f>
        <v>Transcript Link</v>
      </c>
      <c r="M623" s="2" t="str">
        <f>HYPERLINK("https://files.afu.se/Downloads/Transcripts/0%20-%20Government/USA%20-%20NASA%20Johnson/2018 05 14 - NASA Johnson - Investigation Seeks to Create Self-Assembling Materials_Yn1h_D4NpZ4 - transcript (automated).pdf","Transcript Link")</f>
        <v>Transcript Link</v>
      </c>
    </row>
    <row r="624" ht="409.5" spans="1:13">
      <c r="A624" s="1" t="s">
        <v>2740</v>
      </c>
      <c r="B624" s="1" t="s">
        <v>13</v>
      </c>
      <c r="C624" s="4" t="s">
        <v>2741</v>
      </c>
      <c r="D624" s="1" t="s">
        <v>2742</v>
      </c>
      <c r="E624" s="1" t="s">
        <v>2743</v>
      </c>
      <c r="F624" s="4" t="s">
        <v>17</v>
      </c>
      <c r="G624" s="1" t="s">
        <v>18</v>
      </c>
      <c r="H624" s="1" t="s">
        <v>19</v>
      </c>
      <c r="I624" s="1" t="s">
        <v>20</v>
      </c>
      <c r="J624" s="1" t="s">
        <v>2744</v>
      </c>
      <c r="K624" s="1" t="s">
        <v>22</v>
      </c>
      <c r="L624" s="1" t="str">
        <f>HYPERLINK("https://files.afu.se/Downloads/Transcripts/0%20-%20Government/USA%20-%20NASA%20Johnson/2018 05 11 - NASA Johnson - NASA Johnson Space Center Internship Experience_shZgzWWJkj8 - transcript (automated).pdf","Transcript Link")</f>
        <v>Transcript Link</v>
      </c>
      <c r="M624" s="2" t="str">
        <f>HYPERLINK("https://files.afu.se/Downloads/Transcripts/0%20-%20Government/USA%20-%20NASA%20Johnson/2018 05 11 - NASA Johnson - NASA Johnson Space Center Internship Experience_shZgzWWJkj8 - transcript (automated).pdf","Transcript Link")</f>
        <v>Transcript Link</v>
      </c>
    </row>
    <row r="625" ht="300" spans="1:13">
      <c r="A625" s="1" t="s">
        <v>2740</v>
      </c>
      <c r="B625" s="1" t="s">
        <v>13</v>
      </c>
      <c r="C625" s="4" t="s">
        <v>2745</v>
      </c>
      <c r="D625" s="1" t="s">
        <v>2746</v>
      </c>
      <c r="E625" s="1" t="s">
        <v>2747</v>
      </c>
      <c r="F625" s="4" t="s">
        <v>17</v>
      </c>
      <c r="G625" s="1" t="s">
        <v>18</v>
      </c>
      <c r="H625" s="1" t="s">
        <v>19</v>
      </c>
      <c r="I625" s="1" t="s">
        <v>20</v>
      </c>
      <c r="J625" s="1" t="s">
        <v>2748</v>
      </c>
      <c r="K625" s="1" t="s">
        <v>22</v>
      </c>
      <c r="L625" s="1" t="str">
        <f>HYPERLINK("https://files.afu.se/Downloads/Transcripts/0%20-%20Government/USA%20-%20NASA%20Johnson/2018 05 11 - NASA Johnson - Destination Station_fG_SrFDcyXU - transcript (automated).pdf","Transcript Link")</f>
        <v>Transcript Link</v>
      </c>
      <c r="M625" s="2" t="str">
        <f>HYPERLINK("https://files.afu.se/Downloads/Transcripts/0%20-%20Government/USA%20-%20NASA%20Johnson/2018 05 11 - NASA Johnson - Destination Station_fG_SrFDcyXU - transcript (automated).pdf","Transcript Link")</f>
        <v>Transcript Link</v>
      </c>
    </row>
    <row r="626" ht="210" spans="1:13">
      <c r="A626" s="1" t="s">
        <v>2740</v>
      </c>
      <c r="B626" s="1" t="s">
        <v>13</v>
      </c>
      <c r="C626" s="4" t="s">
        <v>2749</v>
      </c>
      <c r="D626" s="1" t="s">
        <v>2750</v>
      </c>
      <c r="E626" s="1" t="s">
        <v>2723</v>
      </c>
      <c r="F626" s="4" t="s">
        <v>17</v>
      </c>
      <c r="G626" s="1" t="s">
        <v>18</v>
      </c>
      <c r="H626" s="1" t="s">
        <v>19</v>
      </c>
      <c r="I626" s="1" t="s">
        <v>20</v>
      </c>
      <c r="J626" s="1" t="s">
        <v>2751</v>
      </c>
      <c r="K626" s="1" t="s">
        <v>22</v>
      </c>
      <c r="L626" s="1" t="str">
        <f>HYPERLINK("https://files.afu.se/Downloads/Transcripts/0%20-%20Government/USA%20-%20NASA%20Johnson/2018 05 11 - NASA Johnson - Space to Ground  Ready for a Walk  05 11 2018_eE79qxNhkKY - transcript (automated).pdf","Transcript Link")</f>
        <v>Transcript Link</v>
      </c>
      <c r="M626" s="2" t="str">
        <f>HYPERLINK("https://files.afu.se/Downloads/Transcripts/0%20-%20Government/USA%20-%20NASA%20Johnson/2018 05 11 - NASA Johnson - Space to Ground  Ready for a Walk  05 11 2018_eE79qxNhkKY - transcript (automated).pdf","Transcript Link")</f>
        <v>Transcript Link</v>
      </c>
    </row>
    <row r="627" ht="285" spans="1:13">
      <c r="A627" s="1" t="s">
        <v>2752</v>
      </c>
      <c r="B627" s="1" t="s">
        <v>13</v>
      </c>
      <c r="C627" s="4" t="s">
        <v>2753</v>
      </c>
      <c r="D627" s="1" t="s">
        <v>2754</v>
      </c>
      <c r="E627" s="1" t="s">
        <v>2755</v>
      </c>
      <c r="F627" s="4" t="s">
        <v>17</v>
      </c>
      <c r="G627" s="1" t="s">
        <v>18</v>
      </c>
      <c r="H627" s="1" t="s">
        <v>19</v>
      </c>
      <c r="I627" s="1" t="s">
        <v>20</v>
      </c>
      <c r="J627" s="1" t="s">
        <v>2756</v>
      </c>
      <c r="K627" s="1" t="s">
        <v>22</v>
      </c>
      <c r="L627" s="1" t="str">
        <f>HYPERLINK("https://files.afu.se/Downloads/Transcripts/0%20-%20Government/USA%20-%20NASA%20Johnson/2018 05 09 - NASA Johnson - Spinning Science  Multi-use Variable-g Platform Arrives at the Space Station_kzUXMrhAY28 - transcript (automated).pdf","Transcript Link")</f>
        <v>Transcript Link</v>
      </c>
      <c r="M627" s="2" t="str">
        <f>HYPERLINK("https://files.afu.se/Downloads/Transcripts/0%20-%20Government/USA%20-%20NASA%20Johnson/2018 05 09 - NASA Johnson - Spinning Science  Multi-use Variable-g Platform Arrives at the Space Station_kzUXMrhAY28 - transcript (automated).pdf","Transcript Link")</f>
        <v>Transcript Link</v>
      </c>
    </row>
    <row r="628" ht="225" spans="1:13">
      <c r="A628" s="1" t="s">
        <v>2752</v>
      </c>
      <c r="B628" s="1" t="s">
        <v>13</v>
      </c>
      <c r="C628" s="4" t="s">
        <v>2757</v>
      </c>
      <c r="D628" s="1" t="s">
        <v>2758</v>
      </c>
      <c r="E628" s="1" t="s">
        <v>2759</v>
      </c>
      <c r="F628" s="4" t="s">
        <v>17</v>
      </c>
      <c r="G628" s="1" t="s">
        <v>18</v>
      </c>
      <c r="H628" s="1" t="s">
        <v>19</v>
      </c>
      <c r="I628" s="1" t="s">
        <v>20</v>
      </c>
      <c r="J628" s="1" t="s">
        <v>2760</v>
      </c>
      <c r="K628" s="1" t="s">
        <v>22</v>
      </c>
      <c r="L628" s="1" t="str">
        <f>HYPERLINK("https://files.afu.se/Downloads/Transcripts/0%20-%20Government/USA%20-%20NASA%20Johnson/2018 05 09 - NASA Johnson - STEMonstration  Nutrition_n66Q0rlUbxs - transcript (automated).pdf","Transcript Link")</f>
        <v>Transcript Link</v>
      </c>
      <c r="M628" s="2" t="str">
        <f>HYPERLINK("https://files.afu.se/Downloads/Transcripts/0%20-%20Government/USA%20-%20NASA%20Johnson/2018 05 09 - NASA Johnson - STEMonstration  Nutrition_n66Q0rlUbxs - transcript (automated).pdf","Transcript Link")</f>
        <v>Transcript Link</v>
      </c>
    </row>
    <row r="629" ht="210" spans="1:13">
      <c r="A629" s="1" t="s">
        <v>2761</v>
      </c>
      <c r="B629" s="1" t="s">
        <v>13</v>
      </c>
      <c r="C629" s="4" t="s">
        <v>2762</v>
      </c>
      <c r="D629" s="1" t="s">
        <v>2763</v>
      </c>
      <c r="E629" s="1" t="s">
        <v>2723</v>
      </c>
      <c r="F629" s="4" t="s">
        <v>17</v>
      </c>
      <c r="G629" s="1" t="s">
        <v>18</v>
      </c>
      <c r="H629" s="1" t="s">
        <v>19</v>
      </c>
      <c r="I629" s="1" t="s">
        <v>20</v>
      </c>
      <c r="J629" s="1" t="s">
        <v>2764</v>
      </c>
      <c r="K629" s="1" t="s">
        <v>22</v>
      </c>
      <c r="L629" s="1" t="str">
        <f>HYPERLINK("https://files.afu.se/Downloads/Transcripts/0%20-%20Government/USA%20-%20NASA%20Johnson/2018 05 04 - NASA Johnson - Space to Ground  Releasing Dragon  05 04 2018_ogVe90hg2NA - transcript (automated).pdf","Transcript Link")</f>
        <v>Transcript Link</v>
      </c>
      <c r="M629" s="2" t="str">
        <f>HYPERLINK("https://files.afu.se/Downloads/Transcripts/0%20-%20Government/USA%20-%20NASA%20Johnson/2018 05 04 - NASA Johnson - Space to Ground  Releasing Dragon  05 04 2018_ogVe90hg2NA - transcript (automated).pdf","Transcript Link")</f>
        <v>Transcript Link</v>
      </c>
    </row>
    <row r="630" ht="240" spans="1:13">
      <c r="A630" s="1" t="s">
        <v>2765</v>
      </c>
      <c r="B630" s="1" t="s">
        <v>13</v>
      </c>
      <c r="C630" s="4" t="s">
        <v>2766</v>
      </c>
      <c r="D630" s="1" t="s">
        <v>2767</v>
      </c>
      <c r="E630" s="1" t="s">
        <v>2768</v>
      </c>
      <c r="F630" s="4" t="s">
        <v>17</v>
      </c>
      <c r="G630" s="1" t="s">
        <v>18</v>
      </c>
      <c r="H630" s="1" t="s">
        <v>19</v>
      </c>
      <c r="I630" s="1" t="s">
        <v>20</v>
      </c>
      <c r="J630" s="1" t="s">
        <v>2769</v>
      </c>
      <c r="K630" s="1" t="s">
        <v>22</v>
      </c>
      <c r="L630" s="1" t="str">
        <f>HYPERLINK("https://files.afu.se/Downloads/Transcripts/0%20-%20Government/USA%20-%20NASA%20Johnson/2018 05 03 - NASA Johnson - Checking In with the 2017 NASA Astronaut Class, Part 1_XuDUFKaVum0 - transcript (automated).pdf","Transcript Link")</f>
        <v>Transcript Link</v>
      </c>
      <c r="M630" s="2" t="str">
        <f>HYPERLINK("https://files.afu.se/Downloads/Transcripts/0%20-%20Government/USA%20-%20NASA%20Johnson/2018 05 03 - NASA Johnson - Checking In with the 2017 NASA Astronaut Class, Part 1_XuDUFKaVum0 - transcript (automated).pdf","Transcript Link")</f>
        <v>Transcript Link</v>
      </c>
    </row>
    <row r="631" ht="210" spans="1:13">
      <c r="A631" s="1" t="s">
        <v>2770</v>
      </c>
      <c r="B631" s="1" t="s">
        <v>13</v>
      </c>
      <c r="C631" s="4" t="s">
        <v>2771</v>
      </c>
      <c r="D631" s="1" t="s">
        <v>2772</v>
      </c>
      <c r="E631" s="1" t="s">
        <v>2723</v>
      </c>
      <c r="F631" s="4" t="s">
        <v>17</v>
      </c>
      <c r="G631" s="1" t="s">
        <v>18</v>
      </c>
      <c r="H631" s="1" t="s">
        <v>19</v>
      </c>
      <c r="I631" s="1" t="s">
        <v>20</v>
      </c>
      <c r="J631" s="1" t="s">
        <v>2773</v>
      </c>
      <c r="K631" s="1" t="s">
        <v>22</v>
      </c>
      <c r="L631" s="1" t="str">
        <f>HYPERLINK("https://files.afu.se/Downloads/Transcripts/0%20-%20Government/USA%20-%20NASA%20Johnson/2018 04 27 - NASA Johnson - Space to Ground  Color of the Sun  04 27 2018_EWKSx88LYdQ - transcript (automated).pdf","Transcript Link")</f>
        <v>Transcript Link</v>
      </c>
      <c r="M631" s="2" t="str">
        <f>HYPERLINK("https://files.afu.se/Downloads/Transcripts/0%20-%20Government/USA%20-%20NASA%20Johnson/2018 04 27 - NASA Johnson - Space to Ground  Color of the Sun  04 27 2018_EWKSx88LYdQ - transcript (automated).pdf","Transcript Link")</f>
        <v>Transcript Link</v>
      </c>
    </row>
    <row r="632" ht="210" spans="1:13">
      <c r="A632" s="1" t="s">
        <v>2774</v>
      </c>
      <c r="B632" s="1" t="s">
        <v>13</v>
      </c>
      <c r="C632" s="4" t="s">
        <v>2775</v>
      </c>
      <c r="D632" s="1" t="s">
        <v>2776</v>
      </c>
      <c r="E632" s="1" t="s">
        <v>2723</v>
      </c>
      <c r="F632" s="4" t="s">
        <v>17</v>
      </c>
      <c r="G632" s="1" t="s">
        <v>18</v>
      </c>
      <c r="H632" s="1" t="s">
        <v>19</v>
      </c>
      <c r="I632" s="1" t="s">
        <v>20</v>
      </c>
      <c r="J632" s="1" t="s">
        <v>2777</v>
      </c>
      <c r="K632" s="1" t="s">
        <v>22</v>
      </c>
      <c r="L632" s="1" t="str">
        <f>HYPERLINK("https://files.afu.se/Downloads/Transcripts/0%20-%20Government/USA%20-%20NASA%20Johnson/2018 04 20 - NASA Johnson - Space to Ground  Operating an Outpost  04 20 2018_V4qe0bsXFoQ - transcript (automated).pdf","Transcript Link")</f>
        <v>Transcript Link</v>
      </c>
      <c r="M632" s="2" t="str">
        <f>HYPERLINK("https://files.afu.se/Downloads/Transcripts/0%20-%20Government/USA%20-%20NASA%20Johnson/2018 04 20 - NASA Johnson - Space to Ground  Operating an Outpost  04 20 2018_V4qe0bsXFoQ - transcript (automated).pdf","Transcript Link")</f>
        <v>Transcript Link</v>
      </c>
    </row>
    <row r="633" ht="240" spans="1:13">
      <c r="A633" s="1" t="s">
        <v>2778</v>
      </c>
      <c r="B633" s="1" t="s">
        <v>13</v>
      </c>
      <c r="C633" s="4" t="s">
        <v>2779</v>
      </c>
      <c r="D633" s="1" t="s">
        <v>2780</v>
      </c>
      <c r="E633" s="1" t="s">
        <v>2781</v>
      </c>
      <c r="F633" s="4" t="s">
        <v>17</v>
      </c>
      <c r="G633" s="1" t="s">
        <v>18</v>
      </c>
      <c r="H633" s="1" t="s">
        <v>19</v>
      </c>
      <c r="I633" s="1" t="s">
        <v>20</v>
      </c>
      <c r="J633" s="1" t="s">
        <v>2782</v>
      </c>
      <c r="K633" s="1" t="s">
        <v>22</v>
      </c>
      <c r="L633" s="1" t="str">
        <f>HYPERLINK("https://files.afu.se/Downloads/Transcripts/0%20-%20Government/USA%20-%20NASA%20Johnson/2018 04 18 - NASA Johnson - Go For Launch  The Story of Your Science_xEd2BENQ-kE - transcript (automated).pdf","Transcript Link")</f>
        <v>Transcript Link</v>
      </c>
      <c r="M633" s="2" t="str">
        <f>HYPERLINK("https://files.afu.se/Downloads/Transcripts/0%20-%20Government/USA%20-%20NASA%20Johnson/2018 04 18 - NASA Johnson - Go For Launch  The Story of Your Science_xEd2BENQ-kE - transcript (automated).pdf","Transcript Link")</f>
        <v>Transcript Link</v>
      </c>
    </row>
    <row r="634" ht="210" spans="1:13">
      <c r="A634" s="1" t="s">
        <v>2783</v>
      </c>
      <c r="B634" s="1" t="s">
        <v>13</v>
      </c>
      <c r="C634" s="4" t="s">
        <v>2784</v>
      </c>
      <c r="D634" s="1" t="s">
        <v>2785</v>
      </c>
      <c r="E634" s="1" t="s">
        <v>2723</v>
      </c>
      <c r="F634" s="4" t="s">
        <v>17</v>
      </c>
      <c r="G634" s="1" t="s">
        <v>18</v>
      </c>
      <c r="H634" s="1" t="s">
        <v>19</v>
      </c>
      <c r="I634" s="1" t="s">
        <v>20</v>
      </c>
      <c r="J634" s="1" t="s">
        <v>2786</v>
      </c>
      <c r="K634" s="1" t="s">
        <v>22</v>
      </c>
      <c r="L634" s="1" t="str">
        <f>HYPERLINK("https://files.afu.se/Downloads/Transcripts/0%20-%20Government/USA%20-%20NASA%20Johnson/2018 04 13 - NASA Johnson - Space to Ground  Genes in Space  04 13 2018_7AQ4iDpvtuY - transcript (automated).pdf","Transcript Link")</f>
        <v>Transcript Link</v>
      </c>
      <c r="M634" s="2" t="str">
        <f>HYPERLINK("https://files.afu.se/Downloads/Transcripts/0%20-%20Government/USA%20-%20NASA%20Johnson/2018 04 13 - NASA Johnson - Space to Ground  Genes in Space  04 13 2018_7AQ4iDpvtuY - transcript (automated).pdf","Transcript Link")</f>
        <v>Transcript Link</v>
      </c>
    </row>
    <row r="635" ht="240" spans="1:13">
      <c r="A635" s="1" t="s">
        <v>2787</v>
      </c>
      <c r="B635" s="1" t="s">
        <v>13</v>
      </c>
      <c r="C635" s="4" t="s">
        <v>2788</v>
      </c>
      <c r="D635" s="1" t="s">
        <v>2789</v>
      </c>
      <c r="E635" s="1" t="s">
        <v>2790</v>
      </c>
      <c r="F635" s="4" t="s">
        <v>17</v>
      </c>
      <c r="G635" s="1" t="s">
        <v>18</v>
      </c>
      <c r="H635" s="1" t="s">
        <v>19</v>
      </c>
      <c r="I635" s="1" t="s">
        <v>20</v>
      </c>
      <c r="J635" s="1" t="s">
        <v>2791</v>
      </c>
      <c r="K635" s="1" t="s">
        <v>22</v>
      </c>
      <c r="L635" s="1" t="str">
        <f>HYPERLINK("https://files.afu.se/Downloads/Transcripts/0%20-%20Government/USA%20-%20NASA%20Johnson/2018 04 11 - NASA Johnson - So You Want to Go to Mars   Episode 1  International Space Station_UCNNTwlu9kE - transcript (automated).pdf","Transcript Link")</f>
        <v>Transcript Link</v>
      </c>
      <c r="M635" s="2" t="str">
        <f>HYPERLINK("https://files.afu.se/Downloads/Transcripts/0%20-%20Government/USA%20-%20NASA%20Johnson/2018 04 11 - NASA Johnson - So You Want to Go to Mars   Episode 1  International Space Station_UCNNTwlu9kE - transcript (automated).pdf","Transcript Link")</f>
        <v>Transcript Link</v>
      </c>
    </row>
    <row r="636" ht="210" spans="1:13">
      <c r="A636" s="1" t="s">
        <v>2792</v>
      </c>
      <c r="B636" s="1" t="s">
        <v>13</v>
      </c>
      <c r="C636" s="4" t="s">
        <v>2793</v>
      </c>
      <c r="D636" s="1" t="s">
        <v>2794</v>
      </c>
      <c r="E636" s="1" t="s">
        <v>2723</v>
      </c>
      <c r="F636" s="4" t="s">
        <v>17</v>
      </c>
      <c r="G636" s="1" t="s">
        <v>18</v>
      </c>
      <c r="H636" s="1" t="s">
        <v>19</v>
      </c>
      <c r="I636" s="1" t="s">
        <v>20</v>
      </c>
      <c r="J636" s="1" t="s">
        <v>2795</v>
      </c>
      <c r="K636" s="1" t="s">
        <v>22</v>
      </c>
      <c r="L636" s="1" t="str">
        <f>HYPERLINK("https://files.afu.se/Downloads/Transcripts/0%20-%20Government/USA%20-%20NASA%20Johnson/2018 04 06 - NASA Johnson - Space to Ground  A Learning Doubleheader  04 06 2018_OM1WXFZq3kk - transcript (automated).pdf","Transcript Link")</f>
        <v>Transcript Link</v>
      </c>
      <c r="M636" s="2" t="str">
        <f>HYPERLINK("https://files.afu.se/Downloads/Transcripts/0%20-%20Government/USA%20-%20NASA%20Johnson/2018 04 06 - NASA Johnson - Space to Ground  A Learning Doubleheader  04 06 2018_OM1WXFZq3kk - transcript (automated).pdf","Transcript Link")</f>
        <v>Transcript Link</v>
      </c>
    </row>
    <row r="637" ht="180" spans="1:13">
      <c r="A637" s="1" t="s">
        <v>2796</v>
      </c>
      <c r="B637" s="1" t="s">
        <v>13</v>
      </c>
      <c r="C637" s="4" t="s">
        <v>2797</v>
      </c>
      <c r="D637" s="1" t="s">
        <v>2798</v>
      </c>
      <c r="E637" s="1" t="s">
        <v>2799</v>
      </c>
      <c r="F637" s="4" t="s">
        <v>17</v>
      </c>
      <c r="G637" s="1" t="s">
        <v>18</v>
      </c>
      <c r="H637" s="1" t="s">
        <v>19</v>
      </c>
      <c r="I637" s="1" t="s">
        <v>20</v>
      </c>
      <c r="J637" s="1" t="s">
        <v>2800</v>
      </c>
      <c r="K637" s="1" t="s">
        <v>22</v>
      </c>
      <c r="L637" s="1" t="str">
        <f>HYPERLINK("https://files.afu.se/Downloads/Transcripts/0%20-%20Government/USA%20-%20NASA%20Johnson/2018 04 03 - NASA Johnson - STEMonstrations  Kinetic and Potential Energy_OpxGp2P48kI - transcript (automated).pdf","Transcript Link")</f>
        <v>Transcript Link</v>
      </c>
      <c r="M637" s="2" t="str">
        <f>HYPERLINK("https://files.afu.se/Downloads/Transcripts/0%20-%20Government/USA%20-%20NASA%20Johnson/2018 04 03 - NASA Johnson - STEMonstrations  Kinetic and Potential Energy_OpxGp2P48kI - transcript (automated).pdf","Transcript Link")</f>
        <v>Transcript Link</v>
      </c>
    </row>
    <row r="638" ht="210" spans="1:13">
      <c r="A638" s="1" t="s">
        <v>2801</v>
      </c>
      <c r="B638" s="1" t="s">
        <v>13</v>
      </c>
      <c r="C638" s="4" t="s">
        <v>2802</v>
      </c>
      <c r="D638" s="1" t="s">
        <v>2803</v>
      </c>
      <c r="E638" s="1" t="s">
        <v>2804</v>
      </c>
      <c r="F638" s="4" t="s">
        <v>17</v>
      </c>
      <c r="G638" s="1" t="s">
        <v>18</v>
      </c>
      <c r="H638" s="1" t="s">
        <v>19</v>
      </c>
      <c r="I638" s="1" t="s">
        <v>20</v>
      </c>
      <c r="J638" s="1" t="s">
        <v>2805</v>
      </c>
      <c r="K638" s="1" t="s">
        <v>22</v>
      </c>
      <c r="L638" s="1" t="str">
        <f>HYPERLINK("https://files.afu.se/Downloads/Transcripts/0%20-%20Government/USA%20-%20NASA%20Johnson/2018 03 30 - NASA Johnson - Alpha Space  Small Business Makes Big Strides_OWxBjIXDQCc - transcript (automated).pdf","Transcript Link")</f>
        <v>Transcript Link</v>
      </c>
      <c r="M638" s="2" t="str">
        <f>HYPERLINK("https://files.afu.se/Downloads/Transcripts/0%20-%20Government/USA%20-%20NASA%20Johnson/2018 03 30 - NASA Johnson - Alpha Space  Small Business Makes Big Strides_OWxBjIXDQCc - transcript (automated).pdf","Transcript Link")</f>
        <v>Transcript Link</v>
      </c>
    </row>
    <row r="639" ht="180" spans="1:13">
      <c r="A639" s="1" t="s">
        <v>2801</v>
      </c>
      <c r="B639" s="1" t="s">
        <v>13</v>
      </c>
      <c r="C639" s="4" t="s">
        <v>2806</v>
      </c>
      <c r="D639" s="1" t="s">
        <v>2807</v>
      </c>
      <c r="E639" s="1" t="s">
        <v>2808</v>
      </c>
      <c r="F639" s="4" t="s">
        <v>17</v>
      </c>
      <c r="G639" s="1" t="s">
        <v>18</v>
      </c>
      <c r="H639" s="1" t="s">
        <v>19</v>
      </c>
      <c r="I639" s="1" t="s">
        <v>20</v>
      </c>
      <c r="J639" s="1" t="s">
        <v>2809</v>
      </c>
      <c r="K639" s="1" t="s">
        <v>22</v>
      </c>
      <c r="L639" s="1" t="str">
        <f>HYPERLINK("https://files.afu.se/Downloads/Transcripts/0%20-%20Government/USA%20-%20NASA%20Johnson/2018 03 30 - NASA Johnson - Space to Ground  Upgrading the Outpost  03 30 2018_FGneUrG2LKs - transcript (automated).pdf","Transcript Link")</f>
        <v>Transcript Link</v>
      </c>
      <c r="M639" s="2" t="str">
        <f>HYPERLINK("https://files.afu.se/Downloads/Transcripts/0%20-%20Government/USA%20-%20NASA%20Johnson/2018 03 30 - NASA Johnson - Space to Ground  Upgrading the Outpost  03 30 2018_FGneUrG2LKs - transcript (automated).pdf","Transcript Link")</f>
        <v>Transcript Link</v>
      </c>
    </row>
    <row r="640" ht="210" spans="1:13">
      <c r="A640" s="1" t="s">
        <v>2810</v>
      </c>
      <c r="B640" s="1" t="s">
        <v>13</v>
      </c>
      <c r="C640" s="4" t="s">
        <v>2811</v>
      </c>
      <c r="D640" s="1" t="s">
        <v>2812</v>
      </c>
      <c r="E640" s="1" t="s">
        <v>2723</v>
      </c>
      <c r="F640" s="4" t="s">
        <v>17</v>
      </c>
      <c r="G640" s="1" t="s">
        <v>18</v>
      </c>
      <c r="H640" s="1" t="s">
        <v>19</v>
      </c>
      <c r="I640" s="1" t="s">
        <v>20</v>
      </c>
      <c r="J640" s="1" t="s">
        <v>2813</v>
      </c>
      <c r="K640" s="1" t="s">
        <v>22</v>
      </c>
      <c r="L640" s="1" t="str">
        <f>HYPERLINK("https://files.afu.se/Downloads/Transcripts/0%20-%20Government/USA%20-%20NASA%20Johnson/2018 03 23 - NASA Johnson - Space to Ground  Night Launch  03 23 2018_9Yl1ryoDwWA - transcript (automated).pdf","Transcript Link")</f>
        <v>Transcript Link</v>
      </c>
      <c r="M640" s="2" t="str">
        <f>HYPERLINK("https://files.afu.se/Downloads/Transcripts/0%20-%20Government/USA%20-%20NASA%20Johnson/2018 03 23 - NASA Johnson - Space to Ground  Night Launch  03 23 2018_9Yl1ryoDwWA - transcript (automated).pdf","Transcript Link")</f>
        <v>Transcript Link</v>
      </c>
    </row>
    <row r="641" ht="195" spans="1:13">
      <c r="A641" s="1" t="s">
        <v>2814</v>
      </c>
      <c r="B641" s="1" t="s">
        <v>13</v>
      </c>
      <c r="C641" s="4" t="s">
        <v>2815</v>
      </c>
      <c r="D641" s="1" t="s">
        <v>2816</v>
      </c>
      <c r="E641" s="1" t="s">
        <v>2817</v>
      </c>
      <c r="F641" s="4" t="s">
        <v>17</v>
      </c>
      <c r="G641" s="1" t="s">
        <v>18</v>
      </c>
      <c r="H641" s="1" t="s">
        <v>19</v>
      </c>
      <c r="I641" s="1" t="s">
        <v>20</v>
      </c>
      <c r="J641" s="1" t="s">
        <v>2818</v>
      </c>
      <c r="K641" s="1" t="s">
        <v>22</v>
      </c>
      <c r="L641" s="1" t="str">
        <f>HYPERLINK("https://files.afu.se/Downloads/Transcripts/0%20-%20Government/USA%20-%20NASA%20Johnson/2018 03 22 - NASA Johnson - Rooting for Answers  Simulating G-Force in Plants_hKrSGGINxT4 - transcript (automated).pdf","Transcript Link")</f>
        <v>Transcript Link</v>
      </c>
      <c r="M641" s="2" t="str">
        <f>HYPERLINK("https://files.afu.se/Downloads/Transcripts/0%20-%20Government/USA%20-%20NASA%20Johnson/2018 03 22 - NASA Johnson - Rooting for Answers  Simulating G-Force in Plants_hKrSGGINxT4 - transcript (automated).pdf","Transcript Link")</f>
        <v>Transcript Link</v>
      </c>
    </row>
    <row r="642" ht="255" spans="1:13">
      <c r="A642" s="1" t="s">
        <v>2819</v>
      </c>
      <c r="B642" s="1" t="s">
        <v>13</v>
      </c>
      <c r="C642" s="4" t="s">
        <v>2820</v>
      </c>
      <c r="D642" s="1" t="s">
        <v>2821</v>
      </c>
      <c r="E642" s="1" t="s">
        <v>2822</v>
      </c>
      <c r="F642" s="4" t="s">
        <v>17</v>
      </c>
      <c r="G642" s="1" t="s">
        <v>18</v>
      </c>
      <c r="H642" s="1" t="s">
        <v>19</v>
      </c>
      <c r="I642" s="1" t="s">
        <v>20</v>
      </c>
      <c r="J642" s="1" t="s">
        <v>2823</v>
      </c>
      <c r="K642" s="1" t="s">
        <v>22</v>
      </c>
      <c r="L642" s="1" t="str">
        <f>HYPERLINK("https://files.afu.se/Downloads/Transcripts/0%20-%20Government/USA%20-%20NASA%20Johnson/2018 03 21 - NASA Johnson - Astronaut Moments with NASA astronaut Drew Feustel_ikAoDONksZc - transcript (automated).pdf","Transcript Link")</f>
        <v>Transcript Link</v>
      </c>
      <c r="M642" s="2" t="str">
        <f>HYPERLINK("https://files.afu.se/Downloads/Transcripts/0%20-%20Government/USA%20-%20NASA%20Johnson/2018 03 21 - NASA Johnson - Astronaut Moments with NASA astronaut Drew Feustel_ikAoDONksZc - transcript (automated).pdf","Transcript Link")</f>
        <v>Transcript Link</v>
      </c>
    </row>
    <row r="643" ht="360" spans="1:13">
      <c r="A643" s="1" t="s">
        <v>2819</v>
      </c>
      <c r="B643" s="1" t="s">
        <v>13</v>
      </c>
      <c r="C643" s="4" t="s">
        <v>2824</v>
      </c>
      <c r="D643" s="1" t="s">
        <v>2825</v>
      </c>
      <c r="E643" s="1" t="s">
        <v>2826</v>
      </c>
      <c r="F643" s="4" t="s">
        <v>17</v>
      </c>
      <c r="G643" s="1" t="s">
        <v>18</v>
      </c>
      <c r="H643" s="1" t="s">
        <v>19</v>
      </c>
      <c r="I643" s="1" t="s">
        <v>20</v>
      </c>
      <c r="J643" s="1" t="s">
        <v>2827</v>
      </c>
      <c r="K643" s="1" t="s">
        <v>22</v>
      </c>
      <c r="L643" s="1" t="str">
        <f>HYPERLINK("https://files.afu.se/Downloads/Transcripts/0%20-%20Government/USA%20-%20NASA%20Johnson/2018 03 21 - NASA Johnson - Astronaut Moments with NASA astronaut Ricky Arnold_QfQi4AqJIMk - transcript (automated).pdf","Transcript Link")</f>
        <v>Transcript Link</v>
      </c>
      <c r="M643" s="2" t="str">
        <f>HYPERLINK("https://files.afu.se/Downloads/Transcripts/0%20-%20Government/USA%20-%20NASA%20Johnson/2018 03 21 - NASA Johnson - Astronaut Moments with NASA astronaut Ricky Arnold_QfQi4AqJIMk - transcript (automated).pdf","Transcript Link")</f>
        <v>Transcript Link</v>
      </c>
    </row>
    <row r="644" ht="330" spans="1:13">
      <c r="A644" s="1" t="s">
        <v>2828</v>
      </c>
      <c r="B644" s="1" t="s">
        <v>13</v>
      </c>
      <c r="C644" s="4" t="s">
        <v>2829</v>
      </c>
      <c r="D644" s="1" t="s">
        <v>2830</v>
      </c>
      <c r="E644" s="1" t="s">
        <v>2831</v>
      </c>
      <c r="F644" s="4" t="s">
        <v>17</v>
      </c>
      <c r="G644" s="1" t="s">
        <v>18</v>
      </c>
      <c r="H644" s="1" t="s">
        <v>19</v>
      </c>
      <c r="I644" s="1" t="s">
        <v>20</v>
      </c>
      <c r="J644" s="1" t="s">
        <v>2832</v>
      </c>
      <c r="K644" s="1" t="s">
        <v>22</v>
      </c>
      <c r="L644" s="1" t="str">
        <f>HYPERLINK("https://files.afu.se/Downloads/Transcripts/0%20-%20Government/USA%20-%20NASA%20Johnson/2018 03 20 - NASA Johnson - 5 Things You Didn't Know About Astronaut Ricky Arnold_tPBXT1zUafo - transcript (automated).pdf","Transcript Link")</f>
        <v>Transcript Link</v>
      </c>
      <c r="M644" s="2" t="str">
        <f>HYPERLINK("https://files.afu.se/Downloads/Transcripts/0%20-%20Government/USA%20-%20NASA%20Johnson/2018 03 20 - NASA Johnson - 5 Things You Didn't Know About Astronaut Ricky Arnold_tPBXT1zUafo - transcript (automated).pdf","Transcript Link")</f>
        <v>Transcript Link</v>
      </c>
    </row>
    <row r="645" ht="330" spans="1:13">
      <c r="A645" s="1" t="s">
        <v>2833</v>
      </c>
      <c r="B645" s="1" t="s">
        <v>13</v>
      </c>
      <c r="C645" s="4" t="s">
        <v>2834</v>
      </c>
      <c r="D645" s="1" t="s">
        <v>2835</v>
      </c>
      <c r="E645" s="1" t="s">
        <v>2836</v>
      </c>
      <c r="F645" s="4" t="s">
        <v>17</v>
      </c>
      <c r="G645" s="1" t="s">
        <v>18</v>
      </c>
      <c r="H645" s="1" t="s">
        <v>19</v>
      </c>
      <c r="I645" s="1" t="s">
        <v>20</v>
      </c>
      <c r="J645" s="1" t="s">
        <v>2837</v>
      </c>
      <c r="K645" s="1" t="s">
        <v>22</v>
      </c>
      <c r="L645" s="1" t="str">
        <f>HYPERLINK("https://files.afu.se/Downloads/Transcripts/0%20-%20Government/USA%20-%20NASA%20Johnson/2018 03 19 - NASA Johnson - 5 Things You Didn't Know About Astronaut Drew Feustel_QVoBLElTO-g - transcript (automated).pdf","Transcript Link")</f>
        <v>Transcript Link</v>
      </c>
      <c r="M645" s="2" t="str">
        <f>HYPERLINK("https://files.afu.se/Downloads/Transcripts/0%20-%20Government/USA%20-%20NASA%20Johnson/2018 03 19 - NASA Johnson - 5 Things You Didn't Know About Astronaut Drew Feustel_QVoBLElTO-g - transcript (automated).pdf","Transcript Link")</f>
        <v>Transcript Link</v>
      </c>
    </row>
    <row r="646" ht="180" spans="1:13">
      <c r="A646" s="1" t="s">
        <v>2838</v>
      </c>
      <c r="B646" s="1" t="s">
        <v>13</v>
      </c>
      <c r="C646" s="4" t="s">
        <v>2839</v>
      </c>
      <c r="D646" s="1" t="s">
        <v>2840</v>
      </c>
      <c r="E646" s="1" t="s">
        <v>2808</v>
      </c>
      <c r="F646" s="4" t="s">
        <v>17</v>
      </c>
      <c r="G646" s="1" t="s">
        <v>18</v>
      </c>
      <c r="H646" s="1" t="s">
        <v>19</v>
      </c>
      <c r="I646" s="1" t="s">
        <v>20</v>
      </c>
      <c r="J646" s="1" t="s">
        <v>2841</v>
      </c>
      <c r="K646" s="1" t="s">
        <v>22</v>
      </c>
      <c r="L646" s="1" t="str">
        <f>HYPERLINK("https://files.afu.se/Downloads/Transcripts/0%20-%20Government/USA%20-%20NASA%20Johnson/2018 03 16 - NASA Johnson - Space to Ground  Neuromapping  03 16 2018_iUd3q4jf-ZE - transcript (automated).pdf","Transcript Link")</f>
        <v>Transcript Link</v>
      </c>
      <c r="M646" s="2" t="str">
        <f>HYPERLINK("https://files.afu.se/Downloads/Transcripts/0%20-%20Government/USA%20-%20NASA%20Johnson/2018 03 16 - NASA Johnson - Space to Ground  Neuromapping  03 16 2018_iUd3q4jf-ZE - transcript (automated).pdf","Transcript Link")</f>
        <v>Transcript Link</v>
      </c>
    </row>
    <row r="647" ht="195" spans="1:13">
      <c r="A647" s="1" t="s">
        <v>2842</v>
      </c>
      <c r="B647" s="1" t="s">
        <v>13</v>
      </c>
      <c r="C647" s="4" t="s">
        <v>2843</v>
      </c>
      <c r="D647" s="1" t="s">
        <v>2844</v>
      </c>
      <c r="E647" s="1" t="s">
        <v>2845</v>
      </c>
      <c r="F647" s="4" t="s">
        <v>17</v>
      </c>
      <c r="G647" s="1" t="s">
        <v>18</v>
      </c>
      <c r="H647" s="1" t="s">
        <v>19</v>
      </c>
      <c r="I647" s="1" t="s">
        <v>20</v>
      </c>
      <c r="J647" s="1" t="s">
        <v>2846</v>
      </c>
      <c r="K647" s="1" t="s">
        <v>22</v>
      </c>
      <c r="L647" s="1" t="str">
        <f>HYPERLINK("https://files.afu.se/Downloads/Transcripts/0%20-%20Government/USA%20-%20NASA%20Johnson/2018 03 15 - NASA Johnson - STEMonstrations  Newton's Third Law of Motion_dCF--YOjiOw - transcript (automated).pdf","Transcript Link")</f>
        <v>Transcript Link</v>
      </c>
      <c r="M647" s="2" t="str">
        <f>HYPERLINK("https://files.afu.se/Downloads/Transcripts/0%20-%20Government/USA%20-%20NASA%20Johnson/2018 03 15 - NASA Johnson - STEMonstrations  Newton's Third Law of Motion_dCF--YOjiOw - transcript (automated).pdf","Transcript Link")</f>
        <v>Transcript Link</v>
      </c>
    </row>
    <row r="648" ht="409.5" spans="1:13">
      <c r="A648" s="1" t="s">
        <v>2847</v>
      </c>
      <c r="B648" s="1" t="s">
        <v>13</v>
      </c>
      <c r="C648" s="4" t="s">
        <v>2848</v>
      </c>
      <c r="D648" s="1" t="s">
        <v>2849</v>
      </c>
      <c r="E648" s="1" t="s">
        <v>2850</v>
      </c>
      <c r="F648" s="4" t="s">
        <v>17</v>
      </c>
      <c r="G648" s="1" t="s">
        <v>18</v>
      </c>
      <c r="H648" s="1" t="s">
        <v>19</v>
      </c>
      <c r="I648" s="1" t="s">
        <v>20</v>
      </c>
      <c r="J648" s="1" t="s">
        <v>2851</v>
      </c>
      <c r="K648" s="1" t="s">
        <v>22</v>
      </c>
      <c r="L648" s="1" t="str">
        <f>HYPERLINK("https://files.afu.se/Downloads/Transcripts/0%20-%20Government/USA%20-%20NASA%20Johnson/2018 03 13 - NASA Johnson - International Space Station as Art_9vYnJ2de-EM - transcript (automated).pdf","Transcript Link")</f>
        <v>Transcript Link</v>
      </c>
      <c r="M648" s="2" t="str">
        <f>HYPERLINK("https://files.afu.se/Downloads/Transcripts/0%20-%20Government/USA%20-%20NASA%20Johnson/2018 03 13 - NASA Johnson - International Space Station as Art_9vYnJ2de-EM - transcript (automated).pdf","Transcript Link")</f>
        <v>Transcript Link</v>
      </c>
    </row>
    <row r="649" ht="375" spans="1:13">
      <c r="A649" s="1" t="s">
        <v>2852</v>
      </c>
      <c r="B649" s="1" t="s">
        <v>13</v>
      </c>
      <c r="C649" s="4" t="s">
        <v>2853</v>
      </c>
      <c r="D649" s="1" t="s">
        <v>2854</v>
      </c>
      <c r="E649" s="1" t="s">
        <v>2855</v>
      </c>
      <c r="F649" s="4" t="s">
        <v>17</v>
      </c>
      <c r="G649" s="1" t="s">
        <v>18</v>
      </c>
      <c r="H649" s="1" t="s">
        <v>19</v>
      </c>
      <c r="I649" s="1" t="s">
        <v>20</v>
      </c>
      <c r="J649" s="1" t="s">
        <v>2856</v>
      </c>
      <c r="K649" s="1" t="s">
        <v>22</v>
      </c>
      <c r="L649" s="1" t="str">
        <f>HYPERLINK("https://files.afu.se/Downloads/Transcripts/0%20-%20Government/USA%20-%20NASA%20Johnson/2018 03 09 - NASA Johnson - Orion Crew Module for Ascent Abort-2 Arrives in Houston_KdPnCWyetyo - transcript (automated).pdf","Transcript Link")</f>
        <v>Transcript Link</v>
      </c>
      <c r="M649" s="2" t="str">
        <f>HYPERLINK("https://files.afu.se/Downloads/Transcripts/0%20-%20Government/USA%20-%20NASA%20Johnson/2018 03 09 - NASA Johnson - Orion Crew Module for Ascent Abort-2 Arrives in Houston_KdPnCWyetyo - transcript (automated).pdf","Transcript Link")</f>
        <v>Transcript Link</v>
      </c>
    </row>
    <row r="650" ht="210" spans="1:13">
      <c r="A650" s="1" t="s">
        <v>2852</v>
      </c>
      <c r="B650" s="1" t="s">
        <v>13</v>
      </c>
      <c r="C650" s="4" t="s">
        <v>2857</v>
      </c>
      <c r="D650" s="1" t="s">
        <v>2858</v>
      </c>
      <c r="E650" s="1" t="s">
        <v>2723</v>
      </c>
      <c r="F650" s="4" t="s">
        <v>17</v>
      </c>
      <c r="G650" s="1" t="s">
        <v>18</v>
      </c>
      <c r="H650" s="1" t="s">
        <v>19</v>
      </c>
      <c r="I650" s="1" t="s">
        <v>20</v>
      </c>
      <c r="J650" s="1" t="s">
        <v>2859</v>
      </c>
      <c r="K650" s="1" t="s">
        <v>22</v>
      </c>
      <c r="L650" s="1" t="str">
        <f>HYPERLINK("https://files.afu.se/Downloads/Transcripts/0%20-%20Government/USA%20-%20NASA%20Johnson/2018 03 09 - NASA Johnson - Space to Ground  A Unique Experience  03 09 2018_SXFpLREdKbs - transcript (automated).pdf","Transcript Link")</f>
        <v>Transcript Link</v>
      </c>
      <c r="M650" s="2" t="str">
        <f>HYPERLINK("https://files.afu.se/Downloads/Transcripts/0%20-%20Government/USA%20-%20NASA%20Johnson/2018 03 09 - NASA Johnson - Space to Ground  A Unique Experience  03 09 2018_SXFpLREdKbs - transcript (automated).pdf","Transcript Link")</f>
        <v>Transcript Link</v>
      </c>
    </row>
    <row r="651" ht="210" spans="1:13">
      <c r="A651" s="1" t="s">
        <v>2860</v>
      </c>
      <c r="B651" s="1" t="s">
        <v>13</v>
      </c>
      <c r="C651" s="4" t="s">
        <v>2861</v>
      </c>
      <c r="D651" s="1" t="s">
        <v>2862</v>
      </c>
      <c r="E651" s="1" t="s">
        <v>2723</v>
      </c>
      <c r="F651" s="4" t="s">
        <v>17</v>
      </c>
      <c r="G651" s="1" t="s">
        <v>18</v>
      </c>
      <c r="H651" s="1" t="s">
        <v>19</v>
      </c>
      <c r="I651" s="1" t="s">
        <v>20</v>
      </c>
      <c r="J651" s="1" t="s">
        <v>2863</v>
      </c>
      <c r="K651" s="1" t="s">
        <v>22</v>
      </c>
      <c r="L651" s="1" t="str">
        <f>HYPERLINK("https://files.afu.se/Downloads/Transcripts/0%20-%20Government/USA%20-%20NASA%20Johnson/2018 03 02 - NASA Johnson - Space to Ground  Home at Last  03 02 2018_qp7IhNV8xfc - transcript (automated).pdf","Transcript Link")</f>
        <v>Transcript Link</v>
      </c>
      <c r="M651" s="2" t="str">
        <f>HYPERLINK("https://files.afu.se/Downloads/Transcripts/0%20-%20Government/USA%20-%20NASA%20Johnson/2018 03 02 - NASA Johnson - Space to Ground  Home at Last  03 02 2018_qp7IhNV8xfc - transcript (automated).pdf","Transcript Link")</f>
        <v>Transcript Link</v>
      </c>
    </row>
    <row r="652" ht="180" spans="1:13">
      <c r="A652" s="1" t="s">
        <v>2864</v>
      </c>
      <c r="B652" s="1" t="s">
        <v>13</v>
      </c>
      <c r="C652" s="4" t="s">
        <v>2865</v>
      </c>
      <c r="D652" s="1" t="s">
        <v>2866</v>
      </c>
      <c r="E652" s="1" t="s">
        <v>2867</v>
      </c>
      <c r="F652" s="4" t="s">
        <v>17</v>
      </c>
      <c r="G652" s="1" t="s">
        <v>18</v>
      </c>
      <c r="H652" s="1" t="s">
        <v>19</v>
      </c>
      <c r="I652" s="1" t="s">
        <v>20</v>
      </c>
      <c r="J652" s="1" t="s">
        <v>2868</v>
      </c>
      <c r="K652" s="1" t="s">
        <v>22</v>
      </c>
      <c r="L652" s="1" t="str">
        <f>HYPERLINK("https://files.afu.se/Downloads/Transcripts/0%20-%20Government/USA%20-%20NASA%20Johnson/2018 02 26 - NASA Johnson - STEMonstrations  Newton's 2nd Law of Motion_sPZ2bjW53c8 - transcript (automated).pdf","Transcript Link")</f>
        <v>Transcript Link</v>
      </c>
      <c r="M652" s="2" t="str">
        <f>HYPERLINK("https://files.afu.se/Downloads/Transcripts/0%20-%20Government/USA%20-%20NASA%20Johnson/2018 02 26 - NASA Johnson - STEMonstrations  Newton's 2nd Law of Motion_sPZ2bjW53c8 - transcript (automated).pdf","Transcript Link")</f>
        <v>Transcript Link</v>
      </c>
    </row>
    <row r="653" ht="255" spans="1:13">
      <c r="A653" s="1" t="s">
        <v>2869</v>
      </c>
      <c r="B653" s="1" t="s">
        <v>13</v>
      </c>
      <c r="C653" s="4" t="s">
        <v>2870</v>
      </c>
      <c r="D653" s="1" t="s">
        <v>2871</v>
      </c>
      <c r="E653" s="1" t="s">
        <v>2872</v>
      </c>
      <c r="F653" s="4" t="s">
        <v>17</v>
      </c>
      <c r="G653" s="1" t="s">
        <v>18</v>
      </c>
      <c r="H653" s="1" t="s">
        <v>19</v>
      </c>
      <c r="I653" s="1" t="s">
        <v>20</v>
      </c>
      <c r="J653" s="1" t="s">
        <v>2873</v>
      </c>
      <c r="K653" s="1" t="s">
        <v>22</v>
      </c>
      <c r="L653" s="1" t="str">
        <f>HYPERLINK("https://files.afu.se/Downloads/Transcripts/0%20-%20Government/USA%20-%20NASA%20Johnson/2018 02 23 - NASA Johnson - Space to Ground  Successful Spacewalk  02 23 2018_0l5y8osoaLk - transcript (automated).pdf","Transcript Link")</f>
        <v>Transcript Link</v>
      </c>
      <c r="M653" s="2" t="str">
        <f>HYPERLINK("https://files.afu.se/Downloads/Transcripts/0%20-%20Government/USA%20-%20NASA%20Johnson/2018 02 23 - NASA Johnson - Space to Ground  Successful Spacewalk  02 23 2018_0l5y8osoaLk - transcript (automated).pdf","Transcript Link")</f>
        <v>Transcript Link</v>
      </c>
    </row>
    <row r="654" ht="285" spans="1:13">
      <c r="A654" s="1" t="s">
        <v>2874</v>
      </c>
      <c r="B654" s="1" t="s">
        <v>13</v>
      </c>
      <c r="C654" s="4" t="s">
        <v>2875</v>
      </c>
      <c r="D654" s="1" t="s">
        <v>2876</v>
      </c>
      <c r="E654" s="1" t="s">
        <v>2877</v>
      </c>
      <c r="F654" s="4" t="s">
        <v>17</v>
      </c>
      <c r="G654" s="1" t="s">
        <v>18</v>
      </c>
      <c r="H654" s="1" t="s">
        <v>19</v>
      </c>
      <c r="I654" s="1" t="s">
        <v>20</v>
      </c>
      <c r="J654" s="1" t="s">
        <v>2878</v>
      </c>
      <c r="K654" s="1" t="s">
        <v>22</v>
      </c>
      <c r="L654" s="1" t="str">
        <f>HYPERLINK("https://files.afu.se/Downloads/Transcripts/0%20-%20Government/USA%20-%20NASA%20Johnson/2018 02 22 - NASA Johnson - Benefits for Humanity  From Space to Surgery_aDSJBG8aDUc - transcript (automated).pdf","Transcript Link")</f>
        <v>Transcript Link</v>
      </c>
      <c r="M654" s="2" t="str">
        <f>HYPERLINK("https://files.afu.se/Downloads/Transcripts/0%20-%20Government/USA%20-%20NASA%20Johnson/2018 02 22 - NASA Johnson - Benefits for Humanity  From Space to Surgery_aDSJBG8aDUc - transcript (automated).pdf","Transcript Link")</f>
        <v>Transcript Link</v>
      </c>
    </row>
    <row r="655" ht="300" spans="1:13">
      <c r="A655" s="1" t="s">
        <v>2874</v>
      </c>
      <c r="B655" s="1" t="s">
        <v>13</v>
      </c>
      <c r="C655" s="4" t="s">
        <v>2879</v>
      </c>
      <c r="D655" s="1" t="s">
        <v>2880</v>
      </c>
      <c r="E655" s="1" t="s">
        <v>2881</v>
      </c>
      <c r="F655" s="4" t="s">
        <v>17</v>
      </c>
      <c r="G655" s="1" t="s">
        <v>18</v>
      </c>
      <c r="H655" s="1" t="s">
        <v>19</v>
      </c>
      <c r="I655" s="1" t="s">
        <v>20</v>
      </c>
      <c r="J655" s="1" t="s">
        <v>2882</v>
      </c>
      <c r="K655" s="1" t="s">
        <v>22</v>
      </c>
      <c r="L655" s="1" t="str">
        <f>HYPERLINK("https://files.afu.se/Downloads/Transcripts/0%20-%20Government/USA%20-%20NASA%20Johnson/2018 02 22 - NASA Johnson - Preparing America for Deep Space Exploration - Episode 16  Exploration On The Move_0-wpj-XdTF8 - transcript (automated).pdf","Transcript Link")</f>
        <v>Transcript Link</v>
      </c>
      <c r="M655" s="2" t="str">
        <f>HYPERLINK("https://files.afu.se/Downloads/Transcripts/0%20-%20Government/USA%20-%20NASA%20Johnson/2018 02 22 - NASA Johnson - Preparing America for Deep Space Exploration - Episode 16  Exploration On The Move_0-wpj-XdTF8 - transcript (automated).pdf","Transcript Link")</f>
        <v>Transcript Link</v>
      </c>
    </row>
    <row r="656" ht="210" spans="1:13">
      <c r="A656" s="1" t="s">
        <v>2883</v>
      </c>
      <c r="B656" s="1" t="s">
        <v>13</v>
      </c>
      <c r="C656" s="4" t="s">
        <v>2884</v>
      </c>
      <c r="D656" s="1" t="s">
        <v>2885</v>
      </c>
      <c r="E656" s="1" t="s">
        <v>2723</v>
      </c>
      <c r="F656" s="4" t="s">
        <v>17</v>
      </c>
      <c r="G656" s="1" t="s">
        <v>18</v>
      </c>
      <c r="H656" s="1" t="s">
        <v>19</v>
      </c>
      <c r="I656" s="1" t="s">
        <v>20</v>
      </c>
      <c r="J656" s="1" t="s">
        <v>2886</v>
      </c>
      <c r="K656" s="1" t="s">
        <v>22</v>
      </c>
      <c r="L656" s="1" t="str">
        <f>HYPERLINK("https://files.afu.se/Downloads/Transcripts/0%20-%20Government/USA%20-%20NASA%20Johnson/2018 02 16 - NASA Johnson - Space to Ground  Light Storm  02 16 2018_GMLi8XfWAg0 - transcript (automated).pdf","Transcript Link")</f>
        <v>Transcript Link</v>
      </c>
      <c r="M656" s="2" t="str">
        <f>HYPERLINK("https://files.afu.se/Downloads/Transcripts/0%20-%20Government/USA%20-%20NASA%20Johnson/2018 02 16 - NASA Johnson - Space to Ground  Light Storm  02 16 2018_GMLi8XfWAg0 - transcript (automated).pdf","Transcript Link")</f>
        <v>Transcript Link</v>
      </c>
    </row>
    <row r="657" ht="225" spans="1:13">
      <c r="A657" s="1" t="s">
        <v>2883</v>
      </c>
      <c r="B657" s="1" t="s">
        <v>13</v>
      </c>
      <c r="C657" s="4" t="s">
        <v>2887</v>
      </c>
      <c r="D657" s="1" t="s">
        <v>2888</v>
      </c>
      <c r="E657" s="1" t="s">
        <v>2889</v>
      </c>
      <c r="F657" s="4" t="s">
        <v>17</v>
      </c>
      <c r="G657" s="1" t="s">
        <v>18</v>
      </c>
      <c r="H657" s="1" t="s">
        <v>19</v>
      </c>
      <c r="I657" s="1" t="s">
        <v>20</v>
      </c>
      <c r="J657" s="1" t="s">
        <v>2890</v>
      </c>
      <c r="K657" s="1" t="s">
        <v>22</v>
      </c>
      <c r="L657" s="1" t="str">
        <f>HYPERLINK("https://files.afu.se/Downloads/Transcripts/0%20-%20Government/USA%20-%20NASA%20Johnson/2018 02 16 - NASA Johnson - U.S. Spacewalk 48 Animation (Feb. 16, 2018)_UKnDXqYZQyc - transcript (automated).pdf","Transcript Link")</f>
        <v>Transcript Link</v>
      </c>
      <c r="M657" s="2" t="str">
        <f>HYPERLINK("https://files.afu.se/Downloads/Transcripts/0%20-%20Government/USA%20-%20NASA%20Johnson/2018 02 16 - NASA Johnson - U.S. Spacewalk 48 Animation (Feb. 16, 2018)_UKnDXqYZQyc - transcript (automated).pdf","Transcript Link")</f>
        <v>Transcript Link</v>
      </c>
    </row>
    <row r="658" ht="210" spans="1:13">
      <c r="A658" s="1" t="s">
        <v>2891</v>
      </c>
      <c r="B658" s="1" t="s">
        <v>13</v>
      </c>
      <c r="C658" s="4" t="s">
        <v>2892</v>
      </c>
      <c r="D658" s="1" t="s">
        <v>2893</v>
      </c>
      <c r="E658" s="1" t="s">
        <v>2723</v>
      </c>
      <c r="F658" s="4" t="s">
        <v>17</v>
      </c>
      <c r="G658" s="1" t="s">
        <v>18</v>
      </c>
      <c r="H658" s="1" t="s">
        <v>19</v>
      </c>
      <c r="I658" s="1" t="s">
        <v>20</v>
      </c>
      <c r="J658" s="1" t="s">
        <v>2894</v>
      </c>
      <c r="K658" s="1" t="s">
        <v>22</v>
      </c>
      <c r="L658" s="1" t="str">
        <f>HYPERLINK("https://files.afu.se/Downloads/Transcripts/0%20-%20Government/USA%20-%20NASA%20Johnson/2018 02 08 - NASA Johnson - Space to Ground  Some Serious Science  02 08 2018_2cFi-n14-dw - transcript (automated).pdf","Transcript Link")</f>
        <v>Transcript Link</v>
      </c>
      <c r="M658" s="2" t="str">
        <f>HYPERLINK("https://files.afu.se/Downloads/Transcripts/0%20-%20Government/USA%20-%20NASA%20Johnson/2018 02 08 - NASA Johnson - Space to Ground  Some Serious Science  02 08 2018_2cFi-n14-dw - transcript (automated).pdf","Transcript Link")</f>
        <v>Transcript Link</v>
      </c>
    </row>
    <row r="659" ht="210" spans="1:13">
      <c r="A659" s="1" t="s">
        <v>2895</v>
      </c>
      <c r="B659" s="1" t="s">
        <v>13</v>
      </c>
      <c r="C659" s="4" t="s">
        <v>2896</v>
      </c>
      <c r="D659" s="1" t="s">
        <v>2897</v>
      </c>
      <c r="E659" s="1" t="s">
        <v>2723</v>
      </c>
      <c r="F659" s="4" t="s">
        <v>17</v>
      </c>
      <c r="G659" s="1" t="s">
        <v>18</v>
      </c>
      <c r="H659" s="1" t="s">
        <v>19</v>
      </c>
      <c r="I659" s="1" t="s">
        <v>20</v>
      </c>
      <c r="J659" s="1" t="s">
        <v>2898</v>
      </c>
      <c r="K659" s="1" t="s">
        <v>22</v>
      </c>
      <c r="L659" s="1" t="str">
        <f>HYPERLINK("https://files.afu.se/Downloads/Transcripts/0%20-%20Government/USA%20-%20NASA%20Johnson/2018 02 03 - NASA Johnson - Space to Ground  Russian Spacewalk  02 02 2018_QkQ4z4QjisA - transcript (automated).pdf","Transcript Link")</f>
        <v>Transcript Link</v>
      </c>
      <c r="M659" s="2" t="str">
        <f>HYPERLINK("https://files.afu.se/Downloads/Transcripts/0%20-%20Government/USA%20-%20NASA%20Johnson/2018 02 03 - NASA Johnson - Space to Ground  Russian Spacewalk  02 02 2018_QkQ4z4QjisA - transcript (automated).pdf","Transcript Link")</f>
        <v>Transcript Link</v>
      </c>
    </row>
    <row r="660" ht="409.5" spans="1:13">
      <c r="A660" s="1" t="s">
        <v>2899</v>
      </c>
      <c r="B660" s="1" t="s">
        <v>13</v>
      </c>
      <c r="C660" s="4" t="s">
        <v>2900</v>
      </c>
      <c r="D660" s="1" t="s">
        <v>2901</v>
      </c>
      <c r="E660" s="1" t="s">
        <v>2902</v>
      </c>
      <c r="F660" s="4" t="s">
        <v>17</v>
      </c>
      <c r="G660" s="1" t="s">
        <v>18</v>
      </c>
      <c r="H660" s="1" t="s">
        <v>19</v>
      </c>
      <c r="I660" s="1" t="s">
        <v>20</v>
      </c>
      <c r="J660" s="1" t="s">
        <v>2903</v>
      </c>
      <c r="K660" s="1" t="s">
        <v>22</v>
      </c>
      <c r="L660" s="1" t="str">
        <f>HYPERLINK("https://files.afu.se/Downloads/Transcripts/0%20-%20Government/USA%20-%20NASA%20Johnson/2018 02 01 - NASA Johnson - One World Many Views__sbRqQ4YDec - transcript (automated).pdf","Transcript Link")</f>
        <v>Transcript Link</v>
      </c>
      <c r="M660" s="2" t="str">
        <f>HYPERLINK("https://files.afu.se/Downloads/Transcripts/0%20-%20Government/USA%20-%20NASA%20Johnson/2018 02 01 - NASA Johnson - One World Many Views__sbRqQ4YDec - transcript (automated).pdf","Transcript Link")</f>
        <v>Transcript Link</v>
      </c>
    </row>
    <row r="661" ht="270" spans="1:13">
      <c r="A661" s="1" t="s">
        <v>2904</v>
      </c>
      <c r="B661" s="1" t="s">
        <v>13</v>
      </c>
      <c r="C661" s="4" t="s">
        <v>2905</v>
      </c>
      <c r="D661" s="1" t="s">
        <v>2906</v>
      </c>
      <c r="E661" s="1" t="s">
        <v>2907</v>
      </c>
      <c r="F661" s="4" t="s">
        <v>17</v>
      </c>
      <c r="G661" s="1" t="s">
        <v>18</v>
      </c>
      <c r="H661" s="1" t="s">
        <v>19</v>
      </c>
      <c r="I661" s="1" t="s">
        <v>20</v>
      </c>
      <c r="J661" s="1" t="s">
        <v>2908</v>
      </c>
      <c r="K661" s="1" t="s">
        <v>22</v>
      </c>
      <c r="L661" s="1" t="str">
        <f>HYPERLINK("https://files.afu.se/Downloads/Transcripts/0%20-%20Government/USA%20-%20NASA%20Johnson/2018 01 26 - NASA Johnson - Fly Me to the Moon_ZvjK-U1R4mc - transcript (automated).pdf","Transcript Link")</f>
        <v>Transcript Link</v>
      </c>
      <c r="M661" s="2" t="str">
        <f>HYPERLINK("https://files.afu.se/Downloads/Transcripts/0%20-%20Government/USA%20-%20NASA%20Johnson/2018 01 26 - NASA Johnson - Fly Me to the Moon_ZvjK-U1R4mc - transcript (automated).pdf","Transcript Link")</f>
        <v>Transcript Link</v>
      </c>
    </row>
    <row r="662" ht="210" spans="1:13">
      <c r="A662" s="1" t="s">
        <v>2904</v>
      </c>
      <c r="B662" s="1" t="s">
        <v>13</v>
      </c>
      <c r="C662" s="4" t="s">
        <v>2909</v>
      </c>
      <c r="D662" s="1" t="s">
        <v>2910</v>
      </c>
      <c r="E662" s="1" t="s">
        <v>2723</v>
      </c>
      <c r="F662" s="4" t="s">
        <v>17</v>
      </c>
      <c r="G662" s="1" t="s">
        <v>18</v>
      </c>
      <c r="H662" s="1" t="s">
        <v>19</v>
      </c>
      <c r="I662" s="1" t="s">
        <v>20</v>
      </c>
      <c r="J662" s="1" t="s">
        <v>2911</v>
      </c>
      <c r="K662" s="1" t="s">
        <v>22</v>
      </c>
      <c r="L662" s="1" t="str">
        <f>HYPERLINK("https://files.afu.se/Downloads/Transcripts/0%20-%20Government/USA%20-%20NASA%20Johnson/2018 01 26 - NASA Johnson - Space to Ground  Christa's Lessons  01 26 2018_HIItDmg5Ww4 - transcript (automated).pdf","Transcript Link")</f>
        <v>Transcript Link</v>
      </c>
      <c r="M662" s="2" t="str">
        <f>HYPERLINK("https://files.afu.se/Downloads/Transcripts/0%20-%20Government/USA%20-%20NASA%20Johnson/2018 01 26 - NASA Johnson - Space to Ground  Christa's Lessons  01 26 2018_HIItDmg5Ww4 - transcript (automated).pdf","Transcript Link")</f>
        <v>Transcript Link</v>
      </c>
    </row>
    <row r="663" ht="225" spans="1:13">
      <c r="A663" s="1" t="s">
        <v>2904</v>
      </c>
      <c r="B663" s="1" t="s">
        <v>13</v>
      </c>
      <c r="C663" s="4" t="s">
        <v>2912</v>
      </c>
      <c r="D663" s="1" t="s">
        <v>2913</v>
      </c>
      <c r="E663" s="1" t="s">
        <v>2914</v>
      </c>
      <c r="F663" s="4" t="s">
        <v>17</v>
      </c>
      <c r="G663" s="1" t="s">
        <v>18</v>
      </c>
      <c r="H663" s="1" t="s">
        <v>19</v>
      </c>
      <c r="I663" s="1" t="s">
        <v>20</v>
      </c>
      <c r="J663" s="1" t="s">
        <v>2915</v>
      </c>
      <c r="K663" s="1" t="s">
        <v>22</v>
      </c>
      <c r="L663" s="1" t="str">
        <f>HYPERLINK("https://files.afu.se/Downloads/Transcripts/0%20-%20Government/USA%20-%20NASA%20Johnson/2018 01 26 - NASA Johnson - Astronaut Moments  Scott Tingle  Guitarist_02QbU89KzWc - transcript (automated).pdf","Transcript Link")</f>
        <v>Transcript Link</v>
      </c>
      <c r="M663" s="2" t="str">
        <f>HYPERLINK("https://files.afu.se/Downloads/Transcripts/0%20-%20Government/USA%20-%20NASA%20Johnson/2018 01 26 - NASA Johnson - Astronaut Moments  Scott Tingle  Guitarist_02QbU89KzWc - transcript (automated).pdf","Transcript Link")</f>
        <v>Transcript Link</v>
      </c>
    </row>
    <row r="664" ht="210" spans="1:13">
      <c r="A664" s="1" t="s">
        <v>2916</v>
      </c>
      <c r="B664" s="1" t="s">
        <v>13</v>
      </c>
      <c r="C664" s="4" t="s">
        <v>2917</v>
      </c>
      <c r="D664" s="1" t="s">
        <v>2918</v>
      </c>
      <c r="E664" s="1" t="s">
        <v>2919</v>
      </c>
      <c r="F664" s="4" t="s">
        <v>17</v>
      </c>
      <c r="G664" s="1" t="s">
        <v>18</v>
      </c>
      <c r="H664" s="1" t="s">
        <v>19</v>
      </c>
      <c r="I664" s="1" t="s">
        <v>20</v>
      </c>
      <c r="J664" s="1" t="s">
        <v>2920</v>
      </c>
      <c r="K664" s="1" t="s">
        <v>22</v>
      </c>
      <c r="L664" s="1" t="str">
        <f>HYPERLINK("https://files.afu.se/Downloads/Transcripts/0%20-%20Government/USA%20-%20NASA%20Johnson/2018 01 19 - NASA Johnson - Space to Ground  Prepping for a Spacewalk  01 19 2018_ZvlbcA9XhPU - transcript (automated).pdf","Transcript Link")</f>
        <v>Transcript Link</v>
      </c>
      <c r="M664" s="2" t="str">
        <f>HYPERLINK("https://files.afu.se/Downloads/Transcripts/0%20-%20Government/USA%20-%20NASA%20Johnson/2018 01 19 - NASA Johnson - Space to Ground  Prepping for a Spacewalk  01 19 2018_ZvlbcA9XhPU - transcript (automated).pdf","Transcript Link")</f>
        <v>Transcript Link</v>
      </c>
    </row>
    <row r="665" ht="315" spans="1:13">
      <c r="A665" s="1" t="s">
        <v>2921</v>
      </c>
      <c r="B665" s="1" t="s">
        <v>13</v>
      </c>
      <c r="C665" s="4" t="s">
        <v>2922</v>
      </c>
      <c r="D665" s="1" t="s">
        <v>2923</v>
      </c>
      <c r="E665" s="1" t="s">
        <v>2924</v>
      </c>
      <c r="F665" s="4" t="s">
        <v>17</v>
      </c>
      <c r="G665" s="1" t="s">
        <v>18</v>
      </c>
      <c r="H665" s="1" t="s">
        <v>19</v>
      </c>
      <c r="I665" s="1" t="s">
        <v>20</v>
      </c>
      <c r="J665" s="1" t="s">
        <v>2925</v>
      </c>
      <c r="K665" s="1" t="s">
        <v>22</v>
      </c>
      <c r="L665" s="1" t="str">
        <f>HYPERLINK("https://files.afu.se/Downloads/Transcripts/0%20-%20Government/USA%20-%20NASA%20Johnson/2018 01 16 - NASA Johnson - Putting the Brakes on Muscle Breakdown_Sc8SDd_5Qfg - transcript (automated).pdf","Transcript Link")</f>
        <v>Transcript Link</v>
      </c>
      <c r="M665" s="2" t="str">
        <f>HYPERLINK("https://files.afu.se/Downloads/Transcripts/0%20-%20Government/USA%20-%20NASA%20Johnson/2018 01 16 - NASA Johnson - Putting the Brakes on Muscle Breakdown_Sc8SDd_5Qfg - transcript (automated).pdf","Transcript Link")</f>
        <v>Transcript Link</v>
      </c>
    </row>
    <row r="666" ht="180" spans="1:13">
      <c r="A666" s="1" t="s">
        <v>2926</v>
      </c>
      <c r="B666" s="1" t="s">
        <v>13</v>
      </c>
      <c r="C666" s="4" t="s">
        <v>2927</v>
      </c>
      <c r="D666" s="1" t="s">
        <v>2928</v>
      </c>
      <c r="E666" s="1" t="s">
        <v>2929</v>
      </c>
      <c r="F666" s="4" t="s">
        <v>17</v>
      </c>
      <c r="G666" s="1" t="s">
        <v>18</v>
      </c>
      <c r="H666" s="1" t="s">
        <v>19</v>
      </c>
      <c r="I666" s="1" t="s">
        <v>20</v>
      </c>
      <c r="J666" s="1" t="s">
        <v>2930</v>
      </c>
      <c r="K666" s="1" t="s">
        <v>22</v>
      </c>
      <c r="L666" s="1" t="str">
        <f>HYPERLINK("https://files.afu.se/Downloads/Transcripts/0%20-%20Government/USA%20-%20NASA%20Johnson/2018 01 12 - NASA Johnson - Space to Ground  Rocket and Groot  01 12 2018_2NqEVwcGawA - transcript (automated).pdf","Transcript Link")</f>
        <v>Transcript Link</v>
      </c>
      <c r="M666" s="2" t="str">
        <f>HYPERLINK("https://files.afu.se/Downloads/Transcripts/0%20-%20Government/USA%20-%20NASA%20Johnson/2018 01 12 - NASA Johnson - Space to Ground  Rocket and Groot  01 12 2018_2NqEVwcGawA - transcript (automated).pdf","Transcript Link")</f>
        <v>Transcript Link</v>
      </c>
    </row>
    <row r="667" ht="180" spans="1:13">
      <c r="A667" s="1" t="s">
        <v>2931</v>
      </c>
      <c r="B667" s="1" t="s">
        <v>13</v>
      </c>
      <c r="C667" s="4" t="s">
        <v>2932</v>
      </c>
      <c r="D667" s="1" t="s">
        <v>2933</v>
      </c>
      <c r="E667" s="1" t="s">
        <v>2934</v>
      </c>
      <c r="F667" s="4" t="s">
        <v>17</v>
      </c>
      <c r="G667" s="1" t="s">
        <v>18</v>
      </c>
      <c r="H667" s="1" t="s">
        <v>19</v>
      </c>
      <c r="I667" s="1" t="s">
        <v>20</v>
      </c>
      <c r="J667" s="1" t="s">
        <v>2935</v>
      </c>
      <c r="K667" s="1" t="s">
        <v>22</v>
      </c>
      <c r="L667" s="1" t="str">
        <f>HYPERLINK("https://files.afu.se/Downloads/Transcripts/0%20-%20Government/USA%20-%20NASA%20Johnson/2018 01 05 - NASA Johnson - Exploration Mission-1 in a Minute_rrf8zhxd2rY - transcript (automated).pdf","Transcript Link")</f>
        <v>Transcript Link</v>
      </c>
      <c r="M667" s="2" t="str">
        <f>HYPERLINK("https://files.afu.se/Downloads/Transcripts/0%20-%20Government/USA%20-%20NASA%20Johnson/2018 01 05 - NASA Johnson - Exploration Mission-1 in a Minute_rrf8zhxd2rY - transcript (automated).pdf","Transcript Link")</f>
        <v>Transcript Link</v>
      </c>
    </row>
    <row r="668" ht="240" spans="1:13">
      <c r="A668" s="1" t="s">
        <v>2936</v>
      </c>
      <c r="B668" s="1" t="s">
        <v>13</v>
      </c>
      <c r="C668" s="4" t="s">
        <v>2937</v>
      </c>
      <c r="D668" s="1" t="s">
        <v>2938</v>
      </c>
      <c r="E668" s="1" t="s">
        <v>2939</v>
      </c>
      <c r="F668" s="4" t="s">
        <v>17</v>
      </c>
      <c r="G668" s="1" t="s">
        <v>18</v>
      </c>
      <c r="H668" s="1" t="s">
        <v>19</v>
      </c>
      <c r="I668" s="1" t="s">
        <v>20</v>
      </c>
      <c r="J668" s="1" t="s">
        <v>2940</v>
      </c>
      <c r="K668" s="1" t="s">
        <v>22</v>
      </c>
      <c r="L668" s="1" t="str">
        <f>HYPERLINK("https://files.afu.se/Downloads/Transcripts/0%20-%20Government/USA%20-%20NASA%20Johnson/2018 01 02 - NASA Johnson - 2017 Space Station Science in Pictures_fna8PqoETVQ - transcript (automated).pdf","Transcript Link")</f>
        <v>Transcript Link</v>
      </c>
      <c r="M668" s="2" t="str">
        <f>HYPERLINK("https://files.afu.se/Downloads/Transcripts/0%20-%20Government/USA%20-%20NASA%20Johnson/2018 01 02 - NASA Johnson - 2017 Space Station Science in Pictures_fna8PqoETVQ - transcript (automated).pdf","Transcript Link")</f>
        <v>Transcript Link</v>
      </c>
    </row>
    <row r="669" ht="180" spans="1:13">
      <c r="A669" s="1" t="s">
        <v>2941</v>
      </c>
      <c r="B669" s="1" t="s">
        <v>13</v>
      </c>
      <c r="C669" s="4" t="s">
        <v>2942</v>
      </c>
      <c r="D669" s="1" t="s">
        <v>2943</v>
      </c>
      <c r="E669" s="1" t="s">
        <v>2944</v>
      </c>
      <c r="F669" s="4" t="s">
        <v>17</v>
      </c>
      <c r="G669" s="1" t="s">
        <v>18</v>
      </c>
      <c r="H669" s="1" t="s">
        <v>19</v>
      </c>
      <c r="I669" s="1" t="s">
        <v>20</v>
      </c>
      <c r="J669" s="1" t="s">
        <v>2945</v>
      </c>
      <c r="K669" s="1" t="s">
        <v>22</v>
      </c>
      <c r="L669" s="1" t="str">
        <f>HYPERLINK("https://files.afu.se/Downloads/Transcripts/0%20-%20Government/USA%20-%20NASA%20Johnson/2017 12 29 - NASA Johnson - Happy New Year from Space!_PEB4-bP2xho - transcript (automated).pdf","Transcript Link")</f>
        <v>Transcript Link</v>
      </c>
      <c r="M669" s="2" t="str">
        <f>HYPERLINK("https://files.afu.se/Downloads/Transcripts/0%20-%20Government/USA%20-%20NASA%20Johnson/2017 12 29 - NASA Johnson - Happy New Year from Space!_PEB4-bP2xho - transcript (automated).pdf","Transcript Link")</f>
        <v>Transcript Link</v>
      </c>
    </row>
    <row r="670" ht="405" spans="1:13">
      <c r="A670" s="1" t="s">
        <v>2946</v>
      </c>
      <c r="B670" s="1" t="s">
        <v>13</v>
      </c>
      <c r="C670" s="4" t="s">
        <v>2947</v>
      </c>
      <c r="D670" s="1" t="s">
        <v>2948</v>
      </c>
      <c r="E670" s="1" t="s">
        <v>2949</v>
      </c>
      <c r="F670" s="4" t="s">
        <v>17</v>
      </c>
      <c r="G670" s="1" t="s">
        <v>18</v>
      </c>
      <c r="H670" s="1" t="s">
        <v>19</v>
      </c>
      <c r="I670" s="1" t="s">
        <v>20</v>
      </c>
      <c r="J670" s="1" t="s">
        <v>2950</v>
      </c>
      <c r="K670" s="1" t="s">
        <v>22</v>
      </c>
      <c r="L670" s="1" t="str">
        <f>HYPERLINK("https://files.afu.se/Downloads/Transcripts/0%20-%20Government/USA%20-%20NASA%20Johnson/2017 12 27 - NASA Johnson - Top 17 Earth Images of 2017_-0Tgdoz3pmg - transcript (automated).pdf","Transcript Link")</f>
        <v>Transcript Link</v>
      </c>
      <c r="M670" s="2" t="str">
        <f>HYPERLINK("https://files.afu.se/Downloads/Transcripts/0%20-%20Government/USA%20-%20NASA%20Johnson/2017 12 27 - NASA Johnson - Top 17 Earth Images of 2017_-0Tgdoz3pmg - transcript (automated).pdf","Transcript Link")</f>
        <v>Transcript Link</v>
      </c>
    </row>
    <row r="671" ht="180" spans="1:13">
      <c r="A671" s="1" t="s">
        <v>2951</v>
      </c>
      <c r="B671" s="1" t="s">
        <v>13</v>
      </c>
      <c r="C671" s="4" t="s">
        <v>2952</v>
      </c>
      <c r="D671" s="1" t="s">
        <v>2953</v>
      </c>
      <c r="E671" s="1" t="s">
        <v>2929</v>
      </c>
      <c r="F671" s="4" t="s">
        <v>17</v>
      </c>
      <c r="G671" s="1" t="s">
        <v>18</v>
      </c>
      <c r="H671" s="1" t="s">
        <v>19</v>
      </c>
      <c r="I671" s="1" t="s">
        <v>20</v>
      </c>
      <c r="J671" s="1" t="s">
        <v>2954</v>
      </c>
      <c r="K671" s="1" t="s">
        <v>22</v>
      </c>
      <c r="L671" s="1" t="str">
        <f>HYPERLINK("https://files.afu.se/Downloads/Transcripts/0%20-%20Government/USA%20-%20NASA%20Johnson/2017 12 22 - NASA Johnson - Space to Ground  2017  12 22 2017_NZagzFCWSCQ - transcript (automated).pdf","Transcript Link")</f>
        <v>Transcript Link</v>
      </c>
      <c r="M671" s="2" t="str">
        <f>HYPERLINK("https://files.afu.se/Downloads/Transcripts/0%20-%20Government/USA%20-%20NASA%20Johnson/2017 12 22 - NASA Johnson - Space to Ground  2017  12 22 2017_NZagzFCWSCQ - transcript (automated).pdf","Transcript Link")</f>
        <v>Transcript Link</v>
      </c>
    </row>
    <row r="672" ht="225" spans="1:13">
      <c r="A672" s="1" t="s">
        <v>2955</v>
      </c>
      <c r="B672" s="1" t="s">
        <v>13</v>
      </c>
      <c r="C672" s="4" t="s">
        <v>2956</v>
      </c>
      <c r="D672" s="1" t="s">
        <v>2957</v>
      </c>
      <c r="E672" s="1" t="s">
        <v>2958</v>
      </c>
      <c r="F672" s="4" t="s">
        <v>17</v>
      </c>
      <c r="G672" s="1" t="s">
        <v>18</v>
      </c>
      <c r="H672" s="1" t="s">
        <v>19</v>
      </c>
      <c r="I672" s="1" t="s">
        <v>20</v>
      </c>
      <c r="J672" s="1" t="s">
        <v>2959</v>
      </c>
      <c r="K672" s="1" t="s">
        <v>22</v>
      </c>
      <c r="L672" s="1" t="str">
        <f>HYPERLINK("https://files.afu.se/Downloads/Transcripts/0%20-%20Government/USA%20-%20NASA%20Johnson/2017 12 21 - NASA Johnson - Christmas  on the International Space Station_DNlwMWYMDng - transcript (automated).pdf","Transcript Link")</f>
        <v>Transcript Link</v>
      </c>
      <c r="M672" s="2" t="str">
        <f>HYPERLINK("https://files.afu.se/Downloads/Transcripts/0%20-%20Government/USA%20-%20NASA%20Johnson/2017 12 21 - NASA Johnson - Christmas  on the International Space Station_DNlwMWYMDng - transcript (automated).pdf","Transcript Link")</f>
        <v>Transcript Link</v>
      </c>
    </row>
    <row r="673" ht="255" spans="1:13">
      <c r="A673" s="1" t="s">
        <v>2960</v>
      </c>
      <c r="B673" s="1" t="s">
        <v>13</v>
      </c>
      <c r="C673" s="4" t="s">
        <v>2961</v>
      </c>
      <c r="D673" s="1" t="s">
        <v>2962</v>
      </c>
      <c r="E673" s="1" t="s">
        <v>2963</v>
      </c>
      <c r="F673" s="4" t="s">
        <v>17</v>
      </c>
      <c r="G673" s="1" t="s">
        <v>18</v>
      </c>
      <c r="H673" s="1" t="s">
        <v>19</v>
      </c>
      <c r="I673" s="1" t="s">
        <v>20</v>
      </c>
      <c r="J673" s="1" t="s">
        <v>2964</v>
      </c>
      <c r="K673" s="1" t="s">
        <v>22</v>
      </c>
      <c r="L673" s="1" t="str">
        <f>HYPERLINK("https://files.afu.se/Downloads/Transcripts/0%20-%20Government/USA%20-%20NASA%20Johnson/2017 12 20 - NASA Johnson - Expedition 54's Christmas Memories_hqbm-FRBoho - transcript (automated).pdf","Transcript Link")</f>
        <v>Transcript Link</v>
      </c>
      <c r="M673" s="2" t="str">
        <f>HYPERLINK("https://files.afu.se/Downloads/Transcripts/0%20-%20Government/USA%20-%20NASA%20Johnson/2017 12 20 - NASA Johnson - Expedition 54's Christmas Memories_hqbm-FRBoho - transcript (automated).pdf","Transcript Link")</f>
        <v>Transcript Link</v>
      </c>
    </row>
    <row r="674" ht="300" spans="1:13">
      <c r="A674" s="1" t="s">
        <v>2965</v>
      </c>
      <c r="B674" s="1" t="s">
        <v>13</v>
      </c>
      <c r="C674" s="4" t="s">
        <v>2966</v>
      </c>
      <c r="D674" s="1" t="s">
        <v>2967</v>
      </c>
      <c r="E674" s="1" t="s">
        <v>2968</v>
      </c>
      <c r="F674" s="4" t="s">
        <v>17</v>
      </c>
      <c r="G674" s="1" t="s">
        <v>18</v>
      </c>
      <c r="H674" s="1" t="s">
        <v>19</v>
      </c>
      <c r="I674" s="1" t="s">
        <v>20</v>
      </c>
      <c r="J674" s="1" t="s">
        <v>2969</v>
      </c>
      <c r="K674" s="1" t="s">
        <v>22</v>
      </c>
      <c r="L674" s="1" t="str">
        <f>HYPERLINK("https://files.afu.se/Downloads/Transcripts/0%20-%20Government/USA%20-%20NASA%20Johnson/2017 12 19 - NASA Johnson - Sequencing the Unknown_sG7qtlZNTsI - transcript (automated).pdf","Transcript Link")</f>
        <v>Transcript Link</v>
      </c>
      <c r="M674" s="2" t="str">
        <f>HYPERLINK("https://files.afu.se/Downloads/Transcripts/0%20-%20Government/USA%20-%20NASA%20Johnson/2017 12 19 - NASA Johnson - Sequencing the Unknown_sG7qtlZNTsI - transcript (automated).pdf","Transcript Link")</f>
        <v>Transcript Link</v>
      </c>
    </row>
    <row r="675" ht="180" spans="1:13">
      <c r="A675" s="1" t="s">
        <v>2965</v>
      </c>
      <c r="B675" s="1" t="s">
        <v>13</v>
      </c>
      <c r="C675" s="4" t="s">
        <v>2970</v>
      </c>
      <c r="D675" s="1" t="s">
        <v>2971</v>
      </c>
      <c r="E675" s="1" t="s">
        <v>2972</v>
      </c>
      <c r="F675" s="4" t="s">
        <v>17</v>
      </c>
      <c r="G675" s="1" t="s">
        <v>18</v>
      </c>
      <c r="H675" s="1" t="s">
        <v>19</v>
      </c>
      <c r="I675" s="1" t="s">
        <v>20</v>
      </c>
      <c r="J675" s="1" t="s">
        <v>2973</v>
      </c>
      <c r="K675" s="1" t="s">
        <v>22</v>
      </c>
      <c r="L675" s="1" t="str">
        <f>HYPERLINK("https://files.afu.se/Downloads/Transcripts/0%20-%20Government/USA%20-%20NASA%20Johnson/2017 12 19 - NASA Johnson - 2017 - Johnson Space Center Year in Review_WO0J_Nwu0fk - transcript (automated).pdf","Transcript Link")</f>
        <v>Transcript Link</v>
      </c>
      <c r="M675" s="2" t="str">
        <f>HYPERLINK("https://files.afu.se/Downloads/Transcripts/0%20-%20Government/USA%20-%20NASA%20Johnson/2017 12 19 - NASA Johnson - 2017 - Johnson Space Center Year in Review_WO0J_Nwu0fk - transcript (automated).pdf","Transcript Link")</f>
        <v>Transcript Link</v>
      </c>
    </row>
    <row r="676" ht="285" spans="1:13">
      <c r="A676" s="1" t="s">
        <v>2974</v>
      </c>
      <c r="B676" s="1" t="s">
        <v>13</v>
      </c>
      <c r="C676" s="4" t="s">
        <v>2975</v>
      </c>
      <c r="D676" s="1" t="s">
        <v>2976</v>
      </c>
      <c r="E676" s="1" t="s">
        <v>2977</v>
      </c>
      <c r="F676" s="4" t="s">
        <v>17</v>
      </c>
      <c r="G676" s="1" t="s">
        <v>18</v>
      </c>
      <c r="H676" s="1" t="s">
        <v>19</v>
      </c>
      <c r="I676" s="1" t="s">
        <v>20</v>
      </c>
      <c r="J676" s="1" t="s">
        <v>2978</v>
      </c>
      <c r="K676" s="1" t="s">
        <v>22</v>
      </c>
      <c r="L676" s="1" t="str">
        <f>HYPERLINK("https://files.afu.se/Downloads/Transcripts/0%20-%20Government/USA%20-%20NASA%20Johnson/2017 12 15 - NASA Johnson - 5 Things You Didnt Know About Astronaut Scott Tingle_sQsT5o6Lp-M - transcript (automated).pdf","Transcript Link")</f>
        <v>Transcript Link</v>
      </c>
      <c r="M676" s="2" t="str">
        <f>HYPERLINK("https://files.afu.se/Downloads/Transcripts/0%20-%20Government/USA%20-%20NASA%20Johnson/2017 12 15 - NASA Johnson - 5 Things You Didnt Know About Astronaut Scott Tingle_sQsT5o6Lp-M - transcript (automated).pdf","Transcript Link")</f>
        <v>Transcript Link</v>
      </c>
    </row>
    <row r="677" ht="180" spans="1:13">
      <c r="A677" s="1" t="s">
        <v>2974</v>
      </c>
      <c r="B677" s="1" t="s">
        <v>13</v>
      </c>
      <c r="C677" s="4" t="s">
        <v>2979</v>
      </c>
      <c r="D677" s="1" t="s">
        <v>2980</v>
      </c>
      <c r="E677" s="1" t="s">
        <v>2929</v>
      </c>
      <c r="F677" s="4" t="s">
        <v>17</v>
      </c>
      <c r="G677" s="1" t="s">
        <v>18</v>
      </c>
      <c r="H677" s="1" t="s">
        <v>19</v>
      </c>
      <c r="I677" s="1" t="s">
        <v>20</v>
      </c>
      <c r="J677" s="1" t="s">
        <v>2981</v>
      </c>
      <c r="K677" s="1" t="s">
        <v>22</v>
      </c>
      <c r="L677" s="1" t="str">
        <f>HYPERLINK("https://files.afu.se/Downloads/Transcripts/0%20-%20Government/USA%20-%20NASA%20Johnson/2017 12 15 - NASA Johnson - Space to Ground  Down to Earth  12 15 2017_VWF7JunZ5tg - transcript (automated).pdf","Transcript Link")</f>
        <v>Transcript Link</v>
      </c>
      <c r="M677" s="2" t="str">
        <f>HYPERLINK("https://files.afu.se/Downloads/Transcripts/0%20-%20Government/USA%20-%20NASA%20Johnson/2017 12 15 - NASA Johnson - Space to Ground  Down to Earth  12 15 2017_VWF7JunZ5tg - transcript (automated).pdf","Transcript Link")</f>
        <v>Transcript Link</v>
      </c>
    </row>
    <row r="678" ht="210" spans="1:13">
      <c r="A678" s="1" t="s">
        <v>2974</v>
      </c>
      <c r="B678" s="1" t="s">
        <v>13</v>
      </c>
      <c r="C678" s="4" t="s">
        <v>2982</v>
      </c>
      <c r="D678" s="1" t="s">
        <v>2983</v>
      </c>
      <c r="E678" s="1" t="s">
        <v>2984</v>
      </c>
      <c r="F678" s="4" t="s">
        <v>17</v>
      </c>
      <c r="G678" s="1" t="s">
        <v>18</v>
      </c>
      <c r="H678" s="1" t="s">
        <v>19</v>
      </c>
      <c r="I678" s="1" t="s">
        <v>20</v>
      </c>
      <c r="J678" s="1" t="s">
        <v>2985</v>
      </c>
      <c r="K678" s="1" t="s">
        <v>22</v>
      </c>
      <c r="L678" s="1" t="str">
        <f>HYPERLINK("https://files.afu.se/Downloads/Transcripts/0%20-%20Government/USA%20-%20NASA%20Johnson/2017 12 15 - NASA Johnson - By the Numbers  Expedition 53_Zgbt5oKrf5I - transcript (automated).pdf","Transcript Link")</f>
        <v>Transcript Link</v>
      </c>
      <c r="M678" s="2" t="str">
        <f>HYPERLINK("https://files.afu.se/Downloads/Transcripts/0%20-%20Government/USA%20-%20NASA%20Johnson/2017 12 15 - NASA Johnson - By the Numbers  Expedition 53_Zgbt5oKrf5I - transcript (automated).pdf","Transcript Link")</f>
        <v>Transcript Link</v>
      </c>
    </row>
    <row r="679" ht="210" spans="1:13">
      <c r="A679" s="1" t="s">
        <v>2974</v>
      </c>
      <c r="B679" s="1" t="s">
        <v>13</v>
      </c>
      <c r="C679" s="4" t="s">
        <v>2986</v>
      </c>
      <c r="D679" s="1" t="s">
        <v>2987</v>
      </c>
      <c r="E679" s="1" t="s">
        <v>2988</v>
      </c>
      <c r="F679" s="4" t="s">
        <v>17</v>
      </c>
      <c r="G679" s="1" t="s">
        <v>18</v>
      </c>
      <c r="H679" s="1" t="s">
        <v>19</v>
      </c>
      <c r="I679" s="1" t="s">
        <v>20</v>
      </c>
      <c r="J679" s="1" t="s">
        <v>2989</v>
      </c>
      <c r="K679" s="1" t="s">
        <v>22</v>
      </c>
      <c r="L679" s="1" t="str">
        <f>HYPERLINK("https://files.afu.se/Downloads/Transcripts/0%20-%20Government/USA%20-%20NASA%20Johnson/2017 12 15 - NASA Johnson - Astronaut Moments  Scott Tingle  Inspiration_8xUOqk2f3vg - transcript (automated).pdf","Transcript Link")</f>
        <v>Transcript Link</v>
      </c>
      <c r="M679" s="2" t="str">
        <f>HYPERLINK("https://files.afu.se/Downloads/Transcripts/0%20-%20Government/USA%20-%20NASA%20Johnson/2017 12 15 - NASA Johnson - Astronaut Moments  Scott Tingle  Inspiration_8xUOqk2f3vg - transcript (automated).pdf","Transcript Link")</f>
        <v>Transcript Link</v>
      </c>
    </row>
    <row r="680" ht="240" spans="1:13">
      <c r="A680" s="1" t="s">
        <v>2990</v>
      </c>
      <c r="B680" s="1" t="s">
        <v>13</v>
      </c>
      <c r="C680" s="4" t="s">
        <v>2991</v>
      </c>
      <c r="D680" s="1" t="s">
        <v>2992</v>
      </c>
      <c r="E680" s="1" t="s">
        <v>2993</v>
      </c>
      <c r="F680" s="4" t="s">
        <v>17</v>
      </c>
      <c r="G680" s="1" t="s">
        <v>18</v>
      </c>
      <c r="H680" s="1" t="s">
        <v>19</v>
      </c>
      <c r="I680" s="1" t="s">
        <v>20</v>
      </c>
      <c r="J680" s="1" t="s">
        <v>2994</v>
      </c>
      <c r="K680" s="1" t="s">
        <v>22</v>
      </c>
      <c r="L680" s="1" t="str">
        <f>HYPERLINK("https://files.afu.se/Downloads/Transcripts/0%20-%20Government/USA%20-%20NASA%20Johnson/2017 12 12 - NASA Johnson - Back in 60 Seconds_EB7fKyIndIQ - transcript (automated).pdf","Transcript Link")</f>
        <v>Transcript Link</v>
      </c>
      <c r="M680" s="2" t="str">
        <f>HYPERLINK("https://files.afu.se/Downloads/Transcripts/0%20-%20Government/USA%20-%20NASA%20Johnson/2017 12 12 - NASA Johnson - Back in 60 Seconds_EB7fKyIndIQ - transcript (automated).pdf","Transcript Link")</f>
        <v>Transcript Link</v>
      </c>
    </row>
    <row r="681" ht="285" spans="1:13">
      <c r="A681" s="1" t="s">
        <v>2995</v>
      </c>
      <c r="B681" s="1" t="s">
        <v>13</v>
      </c>
      <c r="C681" s="4" t="s">
        <v>2996</v>
      </c>
      <c r="D681" s="1" t="s">
        <v>2997</v>
      </c>
      <c r="E681" s="1" t="s">
        <v>2998</v>
      </c>
      <c r="F681" s="4" t="s">
        <v>17</v>
      </c>
      <c r="G681" s="1" t="s">
        <v>18</v>
      </c>
      <c r="H681" s="1" t="s">
        <v>19</v>
      </c>
      <c r="I681" s="1" t="s">
        <v>20</v>
      </c>
      <c r="J681" s="1" t="s">
        <v>2999</v>
      </c>
      <c r="K681" s="1" t="s">
        <v>22</v>
      </c>
      <c r="L681" s="1" t="str">
        <f>HYPERLINK("https://files.afu.se/Downloads/Transcripts/0%20-%20Government/USA%20-%20NASA%20Johnson/2017 12 11 - NASA Johnson - Space Debris Sensor_V7YcSre8O-A - transcript (automated).pdf","Transcript Link")</f>
        <v>Transcript Link</v>
      </c>
      <c r="M681" s="2" t="str">
        <f>HYPERLINK("https://files.afu.se/Downloads/Transcripts/0%20-%20Government/USA%20-%20NASA%20Johnson/2017 12 11 - NASA Johnson - Space Debris Sensor_V7YcSre8O-A - transcript (automated).pdf","Transcript Link")</f>
        <v>Transcript Link</v>
      </c>
    </row>
    <row r="682" ht="180" spans="1:13">
      <c r="A682" s="1" t="s">
        <v>3000</v>
      </c>
      <c r="B682" s="1" t="s">
        <v>13</v>
      </c>
      <c r="C682" s="4" t="s">
        <v>3001</v>
      </c>
      <c r="D682" s="1" t="s">
        <v>3002</v>
      </c>
      <c r="E682" s="1" t="s">
        <v>2929</v>
      </c>
      <c r="F682" s="4" t="s">
        <v>17</v>
      </c>
      <c r="G682" s="1" t="s">
        <v>18</v>
      </c>
      <c r="H682" s="1" t="s">
        <v>19</v>
      </c>
      <c r="I682" s="1" t="s">
        <v>20</v>
      </c>
      <c r="J682" s="1" t="s">
        <v>3003</v>
      </c>
      <c r="K682" s="1" t="s">
        <v>22</v>
      </c>
      <c r="L682" s="1" t="str">
        <f>HYPERLINK("https://files.afu.se/Downloads/Transcripts/0%20-%20Government/USA%20-%20NASA%20Johnson/2017 12 08 - NASA Johnson - Space to Ground  California Wildfires  12 08 2017_aPKAhqy1ex4 - transcript (automated).pdf","Transcript Link")</f>
        <v>Transcript Link</v>
      </c>
      <c r="M682" s="2" t="str">
        <f>HYPERLINK("https://files.afu.se/Downloads/Transcripts/0%20-%20Government/USA%20-%20NASA%20Johnson/2017 12 08 - NASA Johnson - Space to Ground  California Wildfires  12 08 2017_aPKAhqy1ex4 - transcript (automated).pdf","Transcript Link")</f>
        <v>Transcript Link</v>
      </c>
    </row>
    <row r="683" ht="330" spans="1:13">
      <c r="A683" s="1" t="s">
        <v>3004</v>
      </c>
      <c r="B683" s="1" t="s">
        <v>13</v>
      </c>
      <c r="C683" s="4" t="s">
        <v>3005</v>
      </c>
      <c r="D683" s="1" t="s">
        <v>3006</v>
      </c>
      <c r="E683" s="1" t="s">
        <v>3007</v>
      </c>
      <c r="F683" s="4" t="s">
        <v>17</v>
      </c>
      <c r="G683" s="1" t="s">
        <v>18</v>
      </c>
      <c r="H683" s="1" t="s">
        <v>19</v>
      </c>
      <c r="I683" s="1" t="s">
        <v>20</v>
      </c>
      <c r="J683" s="1" t="s">
        <v>3008</v>
      </c>
      <c r="K683" s="1" t="s">
        <v>22</v>
      </c>
      <c r="L683" s="1" t="str">
        <f>HYPERLINK("https://files.afu.se/Downloads/Transcripts/0%20-%20Government/USA%20-%20NASA%20Johnson/2017 12 07 - NASA Johnson - Meet the Expedition 55 56 Crew_OXW1_s0hD_E - transcript (automated).pdf","Transcript Link")</f>
        <v>Transcript Link</v>
      </c>
      <c r="M683" s="2" t="str">
        <f>HYPERLINK("https://files.afu.se/Downloads/Transcripts/0%20-%20Government/USA%20-%20NASA%20Johnson/2017 12 07 - NASA Johnson - Meet the Expedition 55 56 Crew_OXW1_s0hD_E - transcript (automated).pdf","Transcript Link")</f>
        <v>Transcript Link</v>
      </c>
    </row>
    <row r="684" ht="225" spans="1:13">
      <c r="A684" s="1" t="s">
        <v>3004</v>
      </c>
      <c r="B684" s="1" t="s">
        <v>13</v>
      </c>
      <c r="C684" s="4" t="s">
        <v>3009</v>
      </c>
      <c r="D684" s="1" t="s">
        <v>3010</v>
      </c>
      <c r="E684" s="1" t="s">
        <v>3011</v>
      </c>
      <c r="F684" s="4" t="s">
        <v>17</v>
      </c>
      <c r="G684" s="1" t="s">
        <v>18</v>
      </c>
      <c r="H684" s="1" t="s">
        <v>19</v>
      </c>
      <c r="I684" s="1" t="s">
        <v>20</v>
      </c>
      <c r="J684" s="1" t="s">
        <v>3012</v>
      </c>
      <c r="K684" s="1" t="s">
        <v>22</v>
      </c>
      <c r="L684" s="1" t="str">
        <f>HYPERLINK("https://files.afu.se/Downloads/Transcripts/0%20-%20Government/USA%20-%20NASA%20Johnson/2017 12 07 - NASA Johnson - STEMonstrations  Exercise_lssYrWDvv6w - transcript (automated).pdf","Transcript Link")</f>
        <v>Transcript Link</v>
      </c>
      <c r="M684" s="2" t="str">
        <f>HYPERLINK("https://files.afu.se/Downloads/Transcripts/0%20-%20Government/USA%20-%20NASA%20Johnson/2017 12 07 - NASA Johnson - STEMonstrations  Exercise_lssYrWDvv6w - transcript (automated).pdf","Transcript Link")</f>
        <v>Transcript Link</v>
      </c>
    </row>
    <row r="685" ht="330" spans="1:13">
      <c r="A685" s="1" t="s">
        <v>3013</v>
      </c>
      <c r="B685" s="1" t="s">
        <v>13</v>
      </c>
      <c r="C685" s="4" t="s">
        <v>3014</v>
      </c>
      <c r="D685" s="1" t="s">
        <v>3015</v>
      </c>
      <c r="E685" s="1" t="s">
        <v>3016</v>
      </c>
      <c r="F685" s="4" t="s">
        <v>17</v>
      </c>
      <c r="G685" s="1" t="s">
        <v>18</v>
      </c>
      <c r="H685" s="1" t="s">
        <v>19</v>
      </c>
      <c r="I685" s="1" t="s">
        <v>20</v>
      </c>
      <c r="J685" s="1" t="s">
        <v>3017</v>
      </c>
      <c r="K685" s="1" t="s">
        <v>22</v>
      </c>
      <c r="L685" s="1" t="str">
        <f>HYPERLINK("https://files.afu.se/Downloads/Transcripts/0%20-%20Government/USA%20-%20NASA%20Johnson/2017 12 06 - NASA Johnson - Making Fiber Optics in Space_ZnU7y3xIYMM - transcript (automated).pdf","Transcript Link")</f>
        <v>Transcript Link</v>
      </c>
      <c r="M685" s="2" t="str">
        <f>HYPERLINK("https://files.afu.se/Downloads/Transcripts/0%20-%20Government/USA%20-%20NASA%20Johnson/2017 12 06 - NASA Johnson - Making Fiber Optics in Space_ZnU7y3xIYMM - transcript (automated).pdf","Transcript Link")</f>
        <v>Transcript Link</v>
      </c>
    </row>
    <row r="686" ht="315" spans="1:13">
      <c r="A686" s="1" t="s">
        <v>3018</v>
      </c>
      <c r="B686" s="1" t="s">
        <v>13</v>
      </c>
      <c r="C686" s="4" t="s">
        <v>3019</v>
      </c>
      <c r="D686" s="1" t="s">
        <v>3020</v>
      </c>
      <c r="E686" s="1" t="s">
        <v>3021</v>
      </c>
      <c r="F686" s="4" t="s">
        <v>17</v>
      </c>
      <c r="G686" s="1" t="s">
        <v>18</v>
      </c>
      <c r="H686" s="1" t="s">
        <v>19</v>
      </c>
      <c r="I686" s="1" t="s">
        <v>20</v>
      </c>
      <c r="J686" s="1" t="s">
        <v>3022</v>
      </c>
      <c r="K686" s="1" t="s">
        <v>22</v>
      </c>
      <c r="L686" s="1" t="str">
        <f>HYPERLINK("https://files.afu.se/Downloads/Transcripts/0%20-%20Government/USA%20-%20NASA%20Johnson/2017 12 05 - NASA Johnson - NASA Expands BEAM’s Mission_uirXgbTF19o - transcript (automated).pdf","Transcript Link")</f>
        <v>Transcript Link</v>
      </c>
      <c r="M686" s="2" t="str">
        <f>HYPERLINK("https://files.afu.se/Downloads/Transcripts/0%20-%20Government/USA%20-%20NASA%20Johnson/2017 12 05 - NASA Johnson - NASA Expands BEAM’s Mission_uirXgbTF19o - transcript (automated).pdf","Transcript Link")</f>
        <v>Transcript Link</v>
      </c>
    </row>
    <row r="687" ht="315" spans="1:13">
      <c r="A687" s="1" t="s">
        <v>3023</v>
      </c>
      <c r="B687" s="1" t="s">
        <v>13</v>
      </c>
      <c r="C687" s="4" t="s">
        <v>3024</v>
      </c>
      <c r="D687" s="1" t="s">
        <v>3025</v>
      </c>
      <c r="E687" s="1" t="s">
        <v>3026</v>
      </c>
      <c r="F687" s="4" t="s">
        <v>17</v>
      </c>
      <c r="G687" s="1" t="s">
        <v>18</v>
      </c>
      <c r="H687" s="1" t="s">
        <v>19</v>
      </c>
      <c r="I687" s="1" t="s">
        <v>20</v>
      </c>
      <c r="J687" s="1" t="s">
        <v>3027</v>
      </c>
      <c r="K687" s="1" t="s">
        <v>22</v>
      </c>
      <c r="L687" s="1" t="str">
        <f>HYPERLINK("https://files.afu.se/Downloads/Transcripts/0%20-%20Government/USA%20-%20NASA%20Johnson/2017 12 02 - NASA Johnson - Pizza Night!_z74OwRy8o9I - transcript (automated).pdf","Transcript Link")</f>
        <v>Transcript Link</v>
      </c>
      <c r="M687" s="2" t="str">
        <f>HYPERLINK("https://files.afu.se/Downloads/Transcripts/0%20-%20Government/USA%20-%20NASA%20Johnson/2017 12 02 - NASA Johnson - Pizza Night!_z74OwRy8o9I - transcript (automated).pdf","Transcript Link")</f>
        <v>Transcript Link</v>
      </c>
    </row>
    <row r="688" ht="180" spans="1:13">
      <c r="A688" s="1" t="s">
        <v>3028</v>
      </c>
      <c r="B688" s="1" t="s">
        <v>13</v>
      </c>
      <c r="C688" s="4" t="s">
        <v>3029</v>
      </c>
      <c r="D688" s="1" t="s">
        <v>3030</v>
      </c>
      <c r="E688" s="1" t="s">
        <v>2929</v>
      </c>
      <c r="F688" s="4" t="s">
        <v>17</v>
      </c>
      <c r="G688" s="1" t="s">
        <v>18</v>
      </c>
      <c r="H688" s="1" t="s">
        <v>19</v>
      </c>
      <c r="I688" s="1" t="s">
        <v>20</v>
      </c>
      <c r="J688" s="1" t="s">
        <v>3031</v>
      </c>
      <c r="K688" s="1" t="s">
        <v>22</v>
      </c>
      <c r="L688" s="1" t="str">
        <f>HYPERLINK("https://files.afu.se/Downloads/Transcripts/0%20-%20Government/USA%20-%20NASA%20Johnson/2017 12 01 - NASA Johnson - Space to Ground  Packing Up  12 01 2017_CIxP3c1r5jY - transcript (automated).pdf","Transcript Link")</f>
        <v>Transcript Link</v>
      </c>
      <c r="M688" s="2" t="str">
        <f>HYPERLINK("https://files.afu.se/Downloads/Transcripts/0%20-%20Government/USA%20-%20NASA%20Johnson/2017 12 01 - NASA Johnson - Space to Ground  Packing Up  12 01 2017_CIxP3c1r5jY - transcript (automated).pdf","Transcript Link")</f>
        <v>Transcript Link</v>
      </c>
    </row>
    <row r="689" ht="315" spans="1:13">
      <c r="A689" s="1" t="s">
        <v>3032</v>
      </c>
      <c r="B689" s="1" t="s">
        <v>13</v>
      </c>
      <c r="C689" s="4" t="s">
        <v>3033</v>
      </c>
      <c r="D689" s="1" t="s">
        <v>3034</v>
      </c>
      <c r="E689" s="1" t="s">
        <v>3035</v>
      </c>
      <c r="F689" s="4" t="s">
        <v>17</v>
      </c>
      <c r="G689" s="1" t="s">
        <v>18</v>
      </c>
      <c r="H689" s="1" t="s">
        <v>19</v>
      </c>
      <c r="I689" s="1" t="s">
        <v>20</v>
      </c>
      <c r="J689" s="1" t="s">
        <v>3036</v>
      </c>
      <c r="K689" s="1" t="s">
        <v>22</v>
      </c>
      <c r="L689" s="1" t="str">
        <f>HYPERLINK("https://files.afu.se/Downloads/Transcripts/0%20-%20Government/USA%20-%20NASA%20Johnson/2017 11 29 - NASA Johnson - ARISS Enables First Educational Contact in Venezuela_dJDfpxk0OtA - transcript (automated).pdf","Transcript Link")</f>
        <v>Transcript Link</v>
      </c>
      <c r="M689" s="2" t="str">
        <f>HYPERLINK("https://files.afu.se/Downloads/Transcripts/0%20-%20Government/USA%20-%20NASA%20Johnson/2017 11 29 - NASA Johnson - ARISS Enables First Educational Contact in Venezuela_dJDfpxk0OtA - transcript (automated).pdf","Transcript Link")</f>
        <v>Transcript Link</v>
      </c>
    </row>
    <row r="690" ht="180" spans="1:13">
      <c r="A690" s="1" t="s">
        <v>3037</v>
      </c>
      <c r="B690" s="1" t="s">
        <v>13</v>
      </c>
      <c r="C690" s="4" t="s">
        <v>3038</v>
      </c>
      <c r="D690" s="1" t="s">
        <v>3039</v>
      </c>
      <c r="E690" s="1" t="s">
        <v>2929</v>
      </c>
      <c r="F690" s="4" t="s">
        <v>17</v>
      </c>
      <c r="G690" s="1" t="s">
        <v>18</v>
      </c>
      <c r="H690" s="1" t="s">
        <v>19</v>
      </c>
      <c r="I690" s="1" t="s">
        <v>20</v>
      </c>
      <c r="J690" s="1" t="s">
        <v>3040</v>
      </c>
      <c r="K690" s="1" t="s">
        <v>22</v>
      </c>
      <c r="L690" s="1" t="str">
        <f>HYPERLINK("https://files.afu.se/Downloads/Transcripts/0%20-%20Government/USA%20-%20NASA%20Johnson/2017 11 22 - NASA Johnson - Space to Ground  The Big Meal  11 23 2017_GfSYT6PM-3Y - transcript (automated).pdf","Transcript Link")</f>
        <v>Transcript Link</v>
      </c>
      <c r="M690" s="2" t="str">
        <f>HYPERLINK("https://files.afu.se/Downloads/Transcripts/0%20-%20Government/USA%20-%20NASA%20Johnson/2017 11 22 - NASA Johnson - Space to Ground  The Big Meal  11 23 2017_GfSYT6PM-3Y - transcript (automated).pdf","Transcript Link")</f>
        <v>Transcript Link</v>
      </c>
    </row>
    <row r="691" ht="300" spans="1:13">
      <c r="A691" s="1" t="s">
        <v>3041</v>
      </c>
      <c r="B691" s="1" t="s">
        <v>13</v>
      </c>
      <c r="C691" s="4" t="s">
        <v>3042</v>
      </c>
      <c r="D691" s="1" t="s">
        <v>3043</v>
      </c>
      <c r="E691" s="1" t="s">
        <v>3044</v>
      </c>
      <c r="F691" s="4" t="s">
        <v>17</v>
      </c>
      <c r="G691" s="1" t="s">
        <v>18</v>
      </c>
      <c r="H691" s="1" t="s">
        <v>19</v>
      </c>
      <c r="I691" s="1" t="s">
        <v>20</v>
      </c>
      <c r="J691" s="1" t="s">
        <v>3045</v>
      </c>
      <c r="K691" s="1" t="s">
        <v>22</v>
      </c>
      <c r="L691" s="1" t="str">
        <f>HYPERLINK("https://files.afu.se/Downloads/Transcripts/0%20-%20Government/USA%20-%20NASA%20Johnson/2017 11 20 - NASA Johnson - Expedition 53's Thanksgiving Memories_u4m9bJat7BY - transcript (automated).pdf","Transcript Link")</f>
        <v>Transcript Link</v>
      </c>
      <c r="M691" s="2" t="str">
        <f>HYPERLINK("https://files.afu.se/Downloads/Transcripts/0%20-%20Government/USA%20-%20NASA%20Johnson/2017 11 20 - NASA Johnson - Expedition 53's Thanksgiving Memories_u4m9bJat7BY - transcript (automated).pdf","Transcript Link")</f>
        <v>Transcript Link</v>
      </c>
    </row>
    <row r="692" ht="180" spans="1:13">
      <c r="A692" s="1" t="s">
        <v>3046</v>
      </c>
      <c r="B692" s="1" t="s">
        <v>13</v>
      </c>
      <c r="C692" s="4" t="s">
        <v>3047</v>
      </c>
      <c r="D692" s="1" t="s">
        <v>3048</v>
      </c>
      <c r="E692" s="1" t="s">
        <v>3049</v>
      </c>
      <c r="F692" s="4" t="s">
        <v>17</v>
      </c>
      <c r="G692" s="1" t="s">
        <v>18</v>
      </c>
      <c r="H692" s="1" t="s">
        <v>19</v>
      </c>
      <c r="I692" s="1" t="s">
        <v>20</v>
      </c>
      <c r="J692" s="1" t="s">
        <v>3050</v>
      </c>
      <c r="K692" s="1" t="s">
        <v>22</v>
      </c>
      <c r="L692" s="1" t="str">
        <f>HYPERLINK("https://files.afu.se/Downloads/Transcripts/0%20-%20Government/USA%20-%20NASA%20Johnson/2017 11 17 - NASA Johnson - Expedition 53 Thanksgiving Message_qV7Q4vEb8EY - transcript (automated).pdf","Transcript Link")</f>
        <v>Transcript Link</v>
      </c>
      <c r="M692" s="2" t="str">
        <f>HYPERLINK("https://files.afu.se/Downloads/Transcripts/0%20-%20Government/USA%20-%20NASA%20Johnson/2017 11 17 - NASA Johnson - Expedition 53 Thanksgiving Message_qV7Q4vEb8EY - transcript (automated).pdf","Transcript Link")</f>
        <v>Transcript Link</v>
      </c>
    </row>
    <row r="693" ht="180" spans="1:13">
      <c r="A693" s="1" t="s">
        <v>3046</v>
      </c>
      <c r="B693" s="1" t="s">
        <v>13</v>
      </c>
      <c r="C693" s="4" t="s">
        <v>3051</v>
      </c>
      <c r="D693" s="1" t="s">
        <v>3052</v>
      </c>
      <c r="E693" s="1" t="s">
        <v>2929</v>
      </c>
      <c r="F693" s="4" t="s">
        <v>17</v>
      </c>
      <c r="G693" s="1" t="s">
        <v>18</v>
      </c>
      <c r="H693" s="1" t="s">
        <v>19</v>
      </c>
      <c r="I693" s="1" t="s">
        <v>20</v>
      </c>
      <c r="J693" s="1" t="s">
        <v>3053</v>
      </c>
      <c r="K693" s="1" t="s">
        <v>22</v>
      </c>
      <c r="L693" s="1" t="str">
        <f>HYPERLINK("https://files.afu.se/Downloads/Transcripts/0%20-%20Government/USA%20-%20NASA%20Johnson/2017 11 17 - NASA Johnson - Space to Ground  Stuffed with Science  11 17 2017_llhiLkx1-M8 - transcript (automated).pdf","Transcript Link")</f>
        <v>Transcript Link</v>
      </c>
      <c r="M693" s="2" t="str">
        <f>HYPERLINK("https://files.afu.se/Downloads/Transcripts/0%20-%20Government/USA%20-%20NASA%20Johnson/2017 11 17 - NASA Johnson - Space to Ground  Stuffed with Science  11 17 2017_llhiLkx1-M8 - transcript (automated).pdf","Transcript Link")</f>
        <v>Transcript Link</v>
      </c>
    </row>
    <row r="694" ht="180" spans="1:13">
      <c r="A694" s="1" t="s">
        <v>3054</v>
      </c>
      <c r="B694" s="1" t="s">
        <v>13</v>
      </c>
      <c r="C694" s="4" t="s">
        <v>3055</v>
      </c>
      <c r="D694" s="1" t="s">
        <v>3056</v>
      </c>
      <c r="E694" s="1" t="s">
        <v>2929</v>
      </c>
      <c r="F694" s="4" t="s">
        <v>17</v>
      </c>
      <c r="G694" s="1" t="s">
        <v>18</v>
      </c>
      <c r="H694" s="1" t="s">
        <v>19</v>
      </c>
      <c r="I694" s="1" t="s">
        <v>20</v>
      </c>
      <c r="J694" s="1" t="s">
        <v>3057</v>
      </c>
      <c r="K694" s="1" t="s">
        <v>22</v>
      </c>
      <c r="L694" s="1" t="str">
        <f>HYPERLINK("https://files.afu.se/Downloads/Transcripts/0%20-%20Government/USA%20-%20NASA%20Johnson/2017 11 10 - NASA Johnson - Space to Ground  200th Episode  11 10 2017_HB2mbRySGDQ - transcript (automated).pdf","Transcript Link")</f>
        <v>Transcript Link</v>
      </c>
      <c r="M694" s="2" t="str">
        <f>HYPERLINK("https://files.afu.se/Downloads/Transcripts/0%20-%20Government/USA%20-%20NASA%20Johnson/2017 11 10 - NASA Johnson - Space to Ground  200th Episode  11 10 2017_HB2mbRySGDQ - transcript (automated).pdf","Transcript Link")</f>
        <v>Transcript Link</v>
      </c>
    </row>
    <row r="695" ht="195" spans="1:13">
      <c r="A695" s="1" t="s">
        <v>3058</v>
      </c>
      <c r="B695" s="1" t="s">
        <v>13</v>
      </c>
      <c r="C695" s="4" t="s">
        <v>3059</v>
      </c>
      <c r="D695" s="1" t="s">
        <v>3060</v>
      </c>
      <c r="E695" s="1" t="s">
        <v>3061</v>
      </c>
      <c r="F695" s="4" t="s">
        <v>17</v>
      </c>
      <c r="G695" s="1" t="s">
        <v>18</v>
      </c>
      <c r="H695" s="1" t="s">
        <v>19</v>
      </c>
      <c r="I695" s="1" t="s">
        <v>20</v>
      </c>
      <c r="J695" s="1" t="s">
        <v>3062</v>
      </c>
      <c r="K695" s="1" t="s">
        <v>22</v>
      </c>
      <c r="L695" s="1" t="str">
        <f>HYPERLINK("https://files.afu.se/Downloads/Transcripts/0%20-%20Government/USA%20-%20NASA%20Johnson/2017 11 09 - NASA Johnson - NASA’s Ascent Abort-2 Test of Orion_6HK9G7feXEk - transcript (automated).pdf","Transcript Link")</f>
        <v>Transcript Link</v>
      </c>
      <c r="M695" s="2" t="str">
        <f>HYPERLINK("https://files.afu.se/Downloads/Transcripts/0%20-%20Government/USA%20-%20NASA%20Johnson/2017 11 09 - NASA Johnson - NASA’s Ascent Abort-2 Test of Orion_6HK9G7feXEk - transcript (automated).pdf","Transcript Link")</f>
        <v>Transcript Link</v>
      </c>
    </row>
    <row r="696" ht="180" spans="1:13">
      <c r="A696" s="1" t="s">
        <v>3058</v>
      </c>
      <c r="B696" s="1" t="s">
        <v>13</v>
      </c>
      <c r="C696" s="4" t="s">
        <v>3063</v>
      </c>
      <c r="D696" s="1" t="s">
        <v>3064</v>
      </c>
      <c r="E696" s="1" t="s">
        <v>3065</v>
      </c>
      <c r="F696" s="4" t="s">
        <v>17</v>
      </c>
      <c r="G696" s="1" t="s">
        <v>18</v>
      </c>
      <c r="H696" s="1" t="s">
        <v>19</v>
      </c>
      <c r="I696" s="1" t="s">
        <v>20</v>
      </c>
      <c r="J696" s="1" t="s">
        <v>3066</v>
      </c>
      <c r="K696" s="1" t="s">
        <v>22</v>
      </c>
      <c r="L696" s="1" t="str">
        <f>HYPERLINK("https://files.afu.se/Downloads/Transcripts/0%20-%20Government/USA%20-%20NASA%20Johnson/2017 11 09 - NASA Johnson - Expedition 53 - 2017 Veterans Day Message_3xQmcByutm4 - transcript (automated).pdf","Transcript Link")</f>
        <v>Transcript Link</v>
      </c>
      <c r="M696" s="2" t="str">
        <f>HYPERLINK("https://files.afu.se/Downloads/Transcripts/0%20-%20Government/USA%20-%20NASA%20Johnson/2017 11 09 - NASA Johnson - Expedition 53 - 2017 Veterans Day Message_3xQmcByutm4 - transcript (automated).pdf","Transcript Link")</f>
        <v>Transcript Link</v>
      </c>
    </row>
    <row r="697" ht="300" spans="1:13">
      <c r="A697" s="1" t="s">
        <v>3067</v>
      </c>
      <c r="B697" s="1" t="s">
        <v>13</v>
      </c>
      <c r="C697" s="4" t="s">
        <v>3068</v>
      </c>
      <c r="D697" s="1" t="s">
        <v>3069</v>
      </c>
      <c r="E697" s="1" t="s">
        <v>3070</v>
      </c>
      <c r="F697" s="4" t="s">
        <v>17</v>
      </c>
      <c r="G697" s="1" t="s">
        <v>18</v>
      </c>
      <c r="H697" s="1" t="s">
        <v>19</v>
      </c>
      <c r="I697" s="1" t="s">
        <v>20</v>
      </c>
      <c r="J697" s="1" t="s">
        <v>3071</v>
      </c>
      <c r="K697" s="1" t="s">
        <v>22</v>
      </c>
      <c r="L697" s="1" t="str">
        <f>HYPERLINK("https://files.afu.se/Downloads/Transcripts/0%20-%20Government/USA%20-%20NASA%20Johnson/2017 11 08 - NASA Johnson - Orion Evacuation Evaluation_MIYfox8wjPk - transcript (automated).pdf","Transcript Link")</f>
        <v>Transcript Link</v>
      </c>
      <c r="M697" s="2" t="str">
        <f>HYPERLINK("https://files.afu.se/Downloads/Transcripts/0%20-%20Government/USA%20-%20NASA%20Johnson/2017 11 08 - NASA Johnson - Orion Evacuation Evaluation_MIYfox8wjPk - transcript (automated).pdf","Transcript Link")</f>
        <v>Transcript Link</v>
      </c>
    </row>
    <row r="698" ht="240" spans="1:13">
      <c r="A698" s="1" t="s">
        <v>3072</v>
      </c>
      <c r="B698" s="1" t="s">
        <v>13</v>
      </c>
      <c r="C698" s="4" t="s">
        <v>3073</v>
      </c>
      <c r="D698" s="1" t="s">
        <v>3074</v>
      </c>
      <c r="E698" s="1" t="s">
        <v>3075</v>
      </c>
      <c r="F698" s="4" t="s">
        <v>17</v>
      </c>
      <c r="G698" s="1" t="s">
        <v>18</v>
      </c>
      <c r="H698" s="1" t="s">
        <v>19</v>
      </c>
      <c r="I698" s="1" t="s">
        <v>20</v>
      </c>
      <c r="J698" s="1" t="s">
        <v>3076</v>
      </c>
      <c r="K698" s="1" t="s">
        <v>22</v>
      </c>
      <c r="L698" s="1" t="str">
        <f>HYPERLINK("https://files.afu.se/Downloads/Transcripts/0%20-%20Government/USA%20-%20NASA%20Johnson/2017 11 03 - NASA Johnson - Space to Ground  Space Spinners  11 03 2017_X0gxwDTSKw0 - transcript (automated).pdf","Transcript Link")</f>
        <v>Transcript Link</v>
      </c>
      <c r="M698" s="2" t="str">
        <f>HYPERLINK("https://files.afu.se/Downloads/Transcripts/0%20-%20Government/USA%20-%20NASA%20Johnson/2017 11 03 - NASA Johnson - Space to Ground  Space Spinners  11 03 2017_X0gxwDTSKw0 - transcript (automated).pdf","Transcript Link")</f>
        <v>Transcript Link</v>
      </c>
    </row>
    <row r="699" ht="330" spans="1:13">
      <c r="A699" s="1" t="s">
        <v>3077</v>
      </c>
      <c r="B699" s="1" t="s">
        <v>13</v>
      </c>
      <c r="C699" s="4" t="s">
        <v>3078</v>
      </c>
      <c r="D699" s="1" t="s">
        <v>3079</v>
      </c>
      <c r="E699" s="1" t="s">
        <v>3080</v>
      </c>
      <c r="F699" s="4" t="s">
        <v>17</v>
      </c>
      <c r="G699" s="1" t="s">
        <v>18</v>
      </c>
      <c r="H699" s="1" t="s">
        <v>19</v>
      </c>
      <c r="I699" s="1" t="s">
        <v>20</v>
      </c>
      <c r="J699" s="1" t="s">
        <v>3081</v>
      </c>
      <c r="K699" s="1" t="s">
        <v>22</v>
      </c>
      <c r="L699" s="1" t="str">
        <f>HYPERLINK("https://files.afu.se/Downloads/Transcripts/0%20-%20Government/USA%20-%20NASA%20Johnson/2017 10 27 - NASA Johnson - The Sound (&amp; Visions) of Silence_rgBKFEeXfww - transcript (automated).pdf","Transcript Link")</f>
        <v>Transcript Link</v>
      </c>
      <c r="M699" s="2" t="str">
        <f>HYPERLINK("https://files.afu.se/Downloads/Transcripts/0%20-%20Government/USA%20-%20NASA%20Johnson/2017 10 27 - NASA Johnson - The Sound (&amp; Visions) of Silence_rgBKFEeXfww - transcript (automated).pdf","Transcript Link")</f>
        <v>Transcript Link</v>
      </c>
    </row>
    <row r="700" ht="180" spans="1:13">
      <c r="A700" s="1" t="s">
        <v>3077</v>
      </c>
      <c r="B700" s="1" t="s">
        <v>13</v>
      </c>
      <c r="C700" s="4" t="s">
        <v>3082</v>
      </c>
      <c r="D700" s="1" t="s">
        <v>3083</v>
      </c>
      <c r="E700" s="1" t="s">
        <v>2929</v>
      </c>
      <c r="F700" s="4" t="s">
        <v>17</v>
      </c>
      <c r="G700" s="1" t="s">
        <v>18</v>
      </c>
      <c r="H700" s="1" t="s">
        <v>19</v>
      </c>
      <c r="I700" s="1" t="s">
        <v>20</v>
      </c>
      <c r="J700" s="1" t="s">
        <v>3084</v>
      </c>
      <c r="K700" s="1" t="s">
        <v>22</v>
      </c>
      <c r="L700" s="1" t="str">
        <f>HYPERLINK("https://files.afu.se/Downloads/Transcripts/0%20-%20Government/USA%20-%20NASA%20Johnson/2017 10 27 - NASA Johnson - Space to Ground  One Orbit  10 27 2017_IMh1KoC-xKA - transcript (automated).pdf","Transcript Link")</f>
        <v>Transcript Link</v>
      </c>
      <c r="M700" s="2" t="str">
        <f>HYPERLINK("https://files.afu.se/Downloads/Transcripts/0%20-%20Government/USA%20-%20NASA%20Johnson/2017 10 27 - NASA Johnson - Space to Ground  One Orbit  10 27 2017_IMh1KoC-xKA - transcript (automated).pdf","Transcript Link")</f>
        <v>Transcript Link</v>
      </c>
    </row>
    <row r="701" ht="180" spans="1:13">
      <c r="A701" s="1" t="s">
        <v>3085</v>
      </c>
      <c r="B701" s="1" t="s">
        <v>13</v>
      </c>
      <c r="C701" s="4" t="s">
        <v>3086</v>
      </c>
      <c r="D701" s="1" t="s">
        <v>3087</v>
      </c>
      <c r="E701" s="1" t="s">
        <v>3088</v>
      </c>
      <c r="F701" s="4" t="s">
        <v>17</v>
      </c>
      <c r="G701" s="1" t="s">
        <v>18</v>
      </c>
      <c r="H701" s="1" t="s">
        <v>19</v>
      </c>
      <c r="I701" s="1" t="s">
        <v>20</v>
      </c>
      <c r="J701" s="1" t="s">
        <v>3089</v>
      </c>
      <c r="K701" s="1" t="s">
        <v>22</v>
      </c>
      <c r="L701" s="1" t="str">
        <f>HYPERLINK("https://files.afu.se/Downloads/Transcripts/0%20-%20Government/USA%20-%20NASA%20Johnson/2017 10 26 - NASA Johnson - We are the Explorers 2017_oTWnoSuocMo - transcript (automated).pdf","Transcript Link")</f>
        <v>Transcript Link</v>
      </c>
      <c r="M701" s="2" t="str">
        <f>HYPERLINK("https://files.afu.se/Downloads/Transcripts/0%20-%20Government/USA%20-%20NASA%20Johnson/2017 10 26 - NASA Johnson - We are the Explorers 2017_oTWnoSuocMo - transcript (automated).pdf","Transcript Link")</f>
        <v>Transcript Link</v>
      </c>
    </row>
    <row r="702" ht="180" spans="1:13">
      <c r="A702" s="1" t="s">
        <v>3090</v>
      </c>
      <c r="B702" s="1" t="s">
        <v>13</v>
      </c>
      <c r="C702" s="4" t="s">
        <v>3091</v>
      </c>
      <c r="D702" s="1" t="s">
        <v>3092</v>
      </c>
      <c r="E702" s="1" t="s">
        <v>2929</v>
      </c>
      <c r="F702" s="4" t="s">
        <v>17</v>
      </c>
      <c r="G702" s="1" t="s">
        <v>18</v>
      </c>
      <c r="H702" s="1" t="s">
        <v>19</v>
      </c>
      <c r="I702" s="1" t="s">
        <v>20</v>
      </c>
      <c r="J702" s="1" t="s">
        <v>3093</v>
      </c>
      <c r="K702" s="1" t="s">
        <v>22</v>
      </c>
      <c r="L702" s="1" t="str">
        <f>HYPERLINK("https://files.afu.se/Downloads/Transcripts/0%20-%20Government/USA%20-%20NASA%20Johnson/2017 10 20 - NASA Johnson - Space to Ground  Teacher On Board  10 20 2017_05saig9k_qc - transcript (automated).pdf","Transcript Link")</f>
        <v>Transcript Link</v>
      </c>
      <c r="M702" s="2" t="str">
        <f>HYPERLINK("https://files.afu.se/Downloads/Transcripts/0%20-%20Government/USA%20-%20NASA%20Johnson/2017 10 20 - NASA Johnson - Space to Ground  Teacher On Board  10 20 2017_05saig9k_qc - transcript (automated).pdf","Transcript Link")</f>
        <v>Transcript Link</v>
      </c>
    </row>
    <row r="703" ht="270" spans="1:13">
      <c r="A703" s="1" t="s">
        <v>3090</v>
      </c>
      <c r="B703" s="1" t="s">
        <v>13</v>
      </c>
      <c r="C703" s="4" t="s">
        <v>3094</v>
      </c>
      <c r="D703" s="1" t="s">
        <v>3095</v>
      </c>
      <c r="E703" s="1" t="s">
        <v>3096</v>
      </c>
      <c r="F703" s="4" t="s">
        <v>17</v>
      </c>
      <c r="G703" s="1" t="s">
        <v>18</v>
      </c>
      <c r="H703" s="1" t="s">
        <v>19</v>
      </c>
      <c r="I703" s="1" t="s">
        <v>20</v>
      </c>
      <c r="J703" s="1" t="s">
        <v>3097</v>
      </c>
      <c r="K703" s="1" t="s">
        <v>22</v>
      </c>
      <c r="L703" s="1" t="str">
        <f>HYPERLINK("https://files.afu.se/Downloads/Transcripts/0%20-%20Government/USA%20-%20NASA%20Johnson/2017 10 20 - NASA Johnson - Podcast Live from Space  Astronaut Photography_aLmvj6r5f7k - transcript (automated).pdf","Transcript Link")</f>
        <v>Transcript Link</v>
      </c>
      <c r="M703" s="2" t="str">
        <f>HYPERLINK("https://files.afu.se/Downloads/Transcripts/0%20-%20Government/USA%20-%20NASA%20Johnson/2017 10 20 - NASA Johnson - Podcast Live from Space  Astronaut Photography_aLmvj6r5f7k - transcript (automated).pdf","Transcript Link")</f>
        <v>Transcript Link</v>
      </c>
    </row>
    <row r="704" ht="240" spans="1:13">
      <c r="A704" s="1" t="s">
        <v>3098</v>
      </c>
      <c r="B704" s="1" t="s">
        <v>13</v>
      </c>
      <c r="C704" s="4" t="s">
        <v>3099</v>
      </c>
      <c r="D704" s="1" t="s">
        <v>3100</v>
      </c>
      <c r="E704" s="1" t="s">
        <v>3101</v>
      </c>
      <c r="F704" s="4" t="s">
        <v>17</v>
      </c>
      <c r="G704" s="1" t="s">
        <v>18</v>
      </c>
      <c r="H704" s="1" t="s">
        <v>19</v>
      </c>
      <c r="I704" s="1" t="s">
        <v>20</v>
      </c>
      <c r="J704" s="1" t="s">
        <v>3102</v>
      </c>
      <c r="K704" s="1" t="s">
        <v>22</v>
      </c>
      <c r="L704" s="1" t="str">
        <f>HYPERLINK("https://files.afu.se/Downloads/Transcripts/0%20-%20Government/USA%20-%20NASA%20Johnson/2017 10 13 - NASA Johnson - Fidget spinner spinning in space!_82t9Tk9dUHs - transcript (automated).pdf","Transcript Link")</f>
        <v>Transcript Link</v>
      </c>
      <c r="M704" s="2" t="str">
        <f>HYPERLINK("https://files.afu.se/Downloads/Transcripts/0%20-%20Government/USA%20-%20NASA%20Johnson/2017 10 13 - NASA Johnson - Fidget spinner spinning in space!_82t9Tk9dUHs - transcript (automated).pdf","Transcript Link")</f>
        <v>Transcript Link</v>
      </c>
    </row>
    <row r="705" ht="180" spans="1:13">
      <c r="A705" s="1" t="s">
        <v>3098</v>
      </c>
      <c r="B705" s="1" t="s">
        <v>13</v>
      </c>
      <c r="C705" s="4" t="s">
        <v>3103</v>
      </c>
      <c r="D705" s="1" t="s">
        <v>3104</v>
      </c>
      <c r="E705" s="1" t="s">
        <v>2929</v>
      </c>
      <c r="F705" s="4" t="s">
        <v>17</v>
      </c>
      <c r="G705" s="1" t="s">
        <v>18</v>
      </c>
      <c r="H705" s="1" t="s">
        <v>19</v>
      </c>
      <c r="I705" s="1" t="s">
        <v>20</v>
      </c>
      <c r="J705" s="1" t="s">
        <v>3105</v>
      </c>
      <c r="K705" s="1" t="s">
        <v>22</v>
      </c>
      <c r="L705" s="1" t="str">
        <f>HYPERLINK("https://files.afu.se/Downloads/Transcripts/0%20-%20Government/USA%20-%20NASA%20Johnson/2017 10 13 - NASA Johnson - Space to Ground  Quick Work  10 13 2017_rIVEpbD97lQ - transcript (automated).pdf","Transcript Link")</f>
        <v>Transcript Link</v>
      </c>
      <c r="M705" s="2" t="str">
        <f>HYPERLINK("https://files.afu.se/Downloads/Transcripts/0%20-%20Government/USA%20-%20NASA%20Johnson/2017 10 13 - NASA Johnson - Space to Ground  Quick Work  10 13 2017_rIVEpbD97lQ - transcript (automated).pdf","Transcript Link")</f>
        <v>Transcript Link</v>
      </c>
    </row>
    <row r="706" ht="180" spans="1:13">
      <c r="A706" s="1" t="s">
        <v>3106</v>
      </c>
      <c r="B706" s="1" t="s">
        <v>13</v>
      </c>
      <c r="C706" s="4" t="s">
        <v>3107</v>
      </c>
      <c r="D706" s="1" t="s">
        <v>3108</v>
      </c>
      <c r="E706" s="1" t="s">
        <v>2929</v>
      </c>
      <c r="F706" s="4" t="s">
        <v>17</v>
      </c>
      <c r="G706" s="1" t="s">
        <v>18</v>
      </c>
      <c r="H706" s="1" t="s">
        <v>19</v>
      </c>
      <c r="I706" s="1" t="s">
        <v>20</v>
      </c>
      <c r="J706" s="1" t="s">
        <v>3109</v>
      </c>
      <c r="K706" s="1" t="s">
        <v>22</v>
      </c>
      <c r="L706" s="1" t="str">
        <f>HYPERLINK("https://files.afu.se/Downloads/Transcripts/0%20-%20Government/USA%20-%20NASA%20Johnson/2017 10 06 - NASA Johnson - Space to Ground  Out the Door  10 06 2017_GZCJP0To3eQ - transcript (automated).pdf","Transcript Link")</f>
        <v>Transcript Link</v>
      </c>
      <c r="M706" s="2" t="str">
        <f>HYPERLINK("https://files.afu.se/Downloads/Transcripts/0%20-%20Government/USA%20-%20NASA%20Johnson/2017 10 06 - NASA Johnson - Space to Ground  Out the Door  10 06 2017_GZCJP0To3eQ - transcript (automated).pdf","Transcript Link")</f>
        <v>Transcript Link</v>
      </c>
    </row>
    <row r="707" ht="255" spans="1:13">
      <c r="A707" s="1" t="s">
        <v>3110</v>
      </c>
      <c r="B707" s="1" t="s">
        <v>13</v>
      </c>
      <c r="C707" s="4" t="s">
        <v>3111</v>
      </c>
      <c r="D707" s="1" t="s">
        <v>3112</v>
      </c>
      <c r="E707" s="1" t="s">
        <v>3113</v>
      </c>
      <c r="F707" s="4" t="s">
        <v>17</v>
      </c>
      <c r="G707" s="1" t="s">
        <v>18</v>
      </c>
      <c r="H707" s="1" t="s">
        <v>19</v>
      </c>
      <c r="I707" s="1" t="s">
        <v>20</v>
      </c>
      <c r="J707" s="1" t="s">
        <v>3114</v>
      </c>
      <c r="K707" s="1" t="s">
        <v>22</v>
      </c>
      <c r="L707" s="1" t="str">
        <f>HYPERLINK("https://files.afu.se/Downloads/Transcripts/0%20-%20Government/USA%20-%20NASA%20Johnson/2017 10 04 - NASA Johnson - The Essential Canadarm2_dzE_i6h5NeI - transcript (automated).pdf","Transcript Link")</f>
        <v>Transcript Link</v>
      </c>
      <c r="M707" s="2" t="str">
        <f>HYPERLINK("https://files.afu.se/Downloads/Transcripts/0%20-%20Government/USA%20-%20NASA%20Johnson/2017 10 04 - NASA Johnson - The Essential Canadarm2_dzE_i6h5NeI - transcript (automated).pdf","Transcript Link")</f>
        <v>Transcript Link</v>
      </c>
    </row>
    <row r="708" ht="180" spans="1:13">
      <c r="A708" s="1" t="s">
        <v>3115</v>
      </c>
      <c r="B708" s="1" t="s">
        <v>13</v>
      </c>
      <c r="C708" s="4" t="s">
        <v>3116</v>
      </c>
      <c r="D708" s="1" t="s">
        <v>3117</v>
      </c>
      <c r="E708" s="1" t="s">
        <v>2929</v>
      </c>
      <c r="F708" s="4" t="s">
        <v>17</v>
      </c>
      <c r="G708" s="1" t="s">
        <v>18</v>
      </c>
      <c r="H708" s="1" t="s">
        <v>19</v>
      </c>
      <c r="I708" s="1" t="s">
        <v>20</v>
      </c>
      <c r="J708" s="1" t="s">
        <v>3118</v>
      </c>
      <c r="K708" s="1" t="s">
        <v>22</v>
      </c>
      <c r="L708" s="1" t="str">
        <f>HYPERLINK("https://files.afu.se/Downloads/Transcripts/0%20-%20Government/USA%20-%20NASA%20Johnson/2017 09 29 - NASA Johnson - Space to Ground  Triple Spacewalks  09 29 2017_po44cUiQQh8 - transcript (automated).pdf","Transcript Link")</f>
        <v>Transcript Link</v>
      </c>
      <c r="M708" s="2" t="str">
        <f>HYPERLINK("https://files.afu.se/Downloads/Transcripts/0%20-%20Government/USA%20-%20NASA%20Johnson/2017 09 29 - NASA Johnson - Space to Ground  Triple Spacewalks  09 29 2017_po44cUiQQh8 - transcript (automated).pdf","Transcript Link")</f>
        <v>Transcript Link</v>
      </c>
    </row>
    <row r="709" ht="255" spans="1:13">
      <c r="A709" s="1" t="s">
        <v>3119</v>
      </c>
      <c r="B709" s="1" t="s">
        <v>13</v>
      </c>
      <c r="C709" s="4" t="s">
        <v>3120</v>
      </c>
      <c r="D709" s="1" t="s">
        <v>3121</v>
      </c>
      <c r="E709" s="1" t="s">
        <v>3122</v>
      </c>
      <c r="F709" s="4" t="s">
        <v>17</v>
      </c>
      <c r="G709" s="1" t="s">
        <v>18</v>
      </c>
      <c r="H709" s="1" t="s">
        <v>19</v>
      </c>
      <c r="I709" s="1" t="s">
        <v>20</v>
      </c>
      <c r="J709" s="1" t="s">
        <v>3123</v>
      </c>
      <c r="K709" s="1" t="s">
        <v>22</v>
      </c>
      <c r="L709" s="1" t="str">
        <f>HYPERLINK("https://files.afu.se/Downloads/Transcripts/0%20-%20Government/USA%20-%20NASA%20Johnson/2017 09 25 - NASA Johnson - 5 Things You Didn't Know About Astronaut Joe Acaba_HjEZcCZrjq4 - transcript (automated).pdf","Transcript Link")</f>
        <v>Transcript Link</v>
      </c>
      <c r="M709" s="2" t="str">
        <f>HYPERLINK("https://files.afu.se/Downloads/Transcripts/0%20-%20Government/USA%20-%20NASA%20Johnson/2017 09 25 - NASA Johnson - 5 Things You Didn't Know About Astronaut Joe Acaba_HjEZcCZrjq4 - transcript (automated).pdf","Transcript Link")</f>
        <v>Transcript Link</v>
      </c>
    </row>
    <row r="710" ht="180" spans="1:13">
      <c r="A710" s="1" t="s">
        <v>3124</v>
      </c>
      <c r="B710" s="1" t="s">
        <v>13</v>
      </c>
      <c r="C710" s="4" t="s">
        <v>3125</v>
      </c>
      <c r="D710" s="1" t="s">
        <v>3126</v>
      </c>
      <c r="E710" s="1" t="s">
        <v>2929</v>
      </c>
      <c r="F710" s="4" t="s">
        <v>17</v>
      </c>
      <c r="G710" s="1" t="s">
        <v>18</v>
      </c>
      <c r="H710" s="1" t="s">
        <v>19</v>
      </c>
      <c r="I710" s="1" t="s">
        <v>20</v>
      </c>
      <c r="J710" s="1" t="s">
        <v>3127</v>
      </c>
      <c r="K710" s="1" t="s">
        <v>22</v>
      </c>
      <c r="L710" s="1" t="str">
        <f>HYPERLINK("https://files.afu.se/Downloads/Transcripts/0%20-%20Government/USA%20-%20NASA%20Johnson/2017 09 22 - NASA Johnson - Space to Ground  Busy Crew  09 22 2017_zsW9C3k_9mw - transcript (automated).pdf","Transcript Link")</f>
        <v>Transcript Link</v>
      </c>
      <c r="M710" s="2" t="str">
        <f>HYPERLINK("https://files.afu.se/Downloads/Transcripts/0%20-%20Government/USA%20-%20NASA%20Johnson/2017 09 22 - NASA Johnson - Space to Ground  Busy Crew  09 22 2017_zsW9C3k_9mw - transcript (automated).pdf","Transcript Link")</f>
        <v>Transcript Link</v>
      </c>
    </row>
    <row r="711" ht="195" spans="1:13">
      <c r="A711" s="1" t="s">
        <v>3128</v>
      </c>
      <c r="B711" s="1" t="s">
        <v>13</v>
      </c>
      <c r="C711" s="4" t="s">
        <v>3129</v>
      </c>
      <c r="D711" s="1" t="s">
        <v>3130</v>
      </c>
      <c r="E711" s="1" t="s">
        <v>3131</v>
      </c>
      <c r="F711" s="4" t="s">
        <v>17</v>
      </c>
      <c r="G711" s="1" t="s">
        <v>18</v>
      </c>
      <c r="H711" s="1" t="s">
        <v>19</v>
      </c>
      <c r="I711" s="1" t="s">
        <v>20</v>
      </c>
      <c r="J711" s="1" t="s">
        <v>3132</v>
      </c>
      <c r="K711" s="1" t="s">
        <v>22</v>
      </c>
      <c r="L711" s="1" t="str">
        <f>HYPERLINK("https://files.afu.se/Downloads/Transcripts/0%20-%20Government/USA%20-%20NASA%20Johnson/2017 09 19 - NASA Johnson - ISS passes over Hurricane Maria 9 19 17_mS5RlwL90XI - transcript (automated).pdf","Transcript Link")</f>
        <v>Transcript Link</v>
      </c>
      <c r="M711" s="2" t="str">
        <f>HYPERLINK("https://files.afu.se/Downloads/Transcripts/0%20-%20Government/USA%20-%20NASA%20Johnson/2017 09 19 - NASA Johnson - ISS passes over Hurricane Maria 9 19 17_mS5RlwL90XI - transcript (automated).pdf","Transcript Link")</f>
        <v>Transcript Link</v>
      </c>
    </row>
    <row r="712" ht="180" spans="1:13">
      <c r="A712" s="1" t="s">
        <v>3133</v>
      </c>
      <c r="B712" s="1" t="s">
        <v>13</v>
      </c>
      <c r="C712" s="4" t="s">
        <v>3134</v>
      </c>
      <c r="D712" s="1" t="s">
        <v>3135</v>
      </c>
      <c r="E712" s="1" t="s">
        <v>2929</v>
      </c>
      <c r="F712" s="4" t="s">
        <v>17</v>
      </c>
      <c r="G712" s="1" t="s">
        <v>18</v>
      </c>
      <c r="H712" s="1" t="s">
        <v>19</v>
      </c>
      <c r="I712" s="1" t="s">
        <v>20</v>
      </c>
      <c r="J712" s="1" t="s">
        <v>3136</v>
      </c>
      <c r="K712" s="1" t="s">
        <v>22</v>
      </c>
      <c r="L712" s="1" t="str">
        <f>HYPERLINK("https://files.afu.se/Downloads/Transcripts/0%20-%20Government/USA%20-%20NASA%20Johnson/2017 09 15 - NASA Johnson - Space to Ground  Full Strength  09 15 2017_Ra4-PFQ2Hnw - transcript (automated).pdf","Transcript Link")</f>
        <v>Transcript Link</v>
      </c>
      <c r="M712" s="2" t="str">
        <f>HYPERLINK("https://files.afu.se/Downloads/Transcripts/0%20-%20Government/USA%20-%20NASA%20Johnson/2017 09 15 - NASA Johnson - Space to Ground  Full Strength  09 15 2017_Ra4-PFQ2Hnw - transcript (automated).pdf","Transcript Link")</f>
        <v>Transcript Link</v>
      </c>
    </row>
    <row r="713" ht="270" spans="1:13">
      <c r="A713" s="1" t="s">
        <v>3137</v>
      </c>
      <c r="B713" s="1" t="s">
        <v>13</v>
      </c>
      <c r="C713" s="4" t="s">
        <v>3138</v>
      </c>
      <c r="D713" s="1" t="s">
        <v>3139</v>
      </c>
      <c r="E713" s="1" t="s">
        <v>3140</v>
      </c>
      <c r="F713" s="4" t="s">
        <v>17</v>
      </c>
      <c r="G713" s="1" t="s">
        <v>18</v>
      </c>
      <c r="H713" s="1" t="s">
        <v>19</v>
      </c>
      <c r="I713" s="1" t="s">
        <v>20</v>
      </c>
      <c r="J713" s="1" t="s">
        <v>3141</v>
      </c>
      <c r="K713" s="1" t="s">
        <v>22</v>
      </c>
      <c r="L713" s="1" t="str">
        <f>HYPERLINK("https://files.afu.se/Downloads/Transcripts/0%20-%20Government/USA%20-%20NASA%20Johnson/2017 09 12 - NASA Johnson - Astronaut Moments with NASA astronaut Joe Acaba_LPOPNy3_5B8 - transcript (automated).pdf","Transcript Link")</f>
        <v>Transcript Link</v>
      </c>
      <c r="M713" s="2" t="str">
        <f>HYPERLINK("https://files.afu.se/Downloads/Transcripts/0%20-%20Government/USA%20-%20NASA%20Johnson/2017 09 12 - NASA Johnson - Astronaut Moments with NASA astronaut Joe Acaba_LPOPNy3_5B8 - transcript (automated).pdf","Transcript Link")</f>
        <v>Transcript Link</v>
      </c>
    </row>
    <row r="714" ht="300" spans="1:13">
      <c r="A714" s="1" t="s">
        <v>3137</v>
      </c>
      <c r="B714" s="1" t="s">
        <v>13</v>
      </c>
      <c r="C714" s="4" t="s">
        <v>3142</v>
      </c>
      <c r="D714" s="1" t="s">
        <v>3143</v>
      </c>
      <c r="E714" s="1" t="s">
        <v>3144</v>
      </c>
      <c r="F714" s="4" t="s">
        <v>17</v>
      </c>
      <c r="G714" s="1" t="s">
        <v>18</v>
      </c>
      <c r="H714" s="1" t="s">
        <v>19</v>
      </c>
      <c r="I714" s="1" t="s">
        <v>20</v>
      </c>
      <c r="J714" s="1" t="s">
        <v>3145</v>
      </c>
      <c r="K714" s="1" t="s">
        <v>22</v>
      </c>
      <c r="L714" s="1" t="str">
        <f>HYPERLINK("https://files.afu.se/Downloads/Transcripts/0%20-%20Government/USA%20-%20NASA%20Johnson/2017 09 12 - NASA Johnson - Astronaut Moments with NASA Astronaut Mark Vande Hei_9R07-11fyhE - transcript (automated).pdf","Transcript Link")</f>
        <v>Transcript Link</v>
      </c>
      <c r="M714" s="2" t="str">
        <f>HYPERLINK("https://files.afu.se/Downloads/Transcripts/0%20-%20Government/USA%20-%20NASA%20Johnson/2017 09 12 - NASA Johnson - Astronaut Moments with NASA Astronaut Mark Vande Hei_9R07-11fyhE - transcript (automated).pdf","Transcript Link")</f>
        <v>Transcript Link</v>
      </c>
    </row>
    <row r="715" ht="180" spans="1:13">
      <c r="A715" s="1" t="s">
        <v>3146</v>
      </c>
      <c r="B715" s="1" t="s">
        <v>13</v>
      </c>
      <c r="C715" s="4" t="s">
        <v>3147</v>
      </c>
      <c r="D715" s="1" t="s">
        <v>3148</v>
      </c>
      <c r="F715" s="4" t="s">
        <v>17</v>
      </c>
      <c r="G715" s="1" t="s">
        <v>18</v>
      </c>
      <c r="H715" s="1" t="s">
        <v>19</v>
      </c>
      <c r="I715" s="1" t="s">
        <v>20</v>
      </c>
      <c r="J715" s="1" t="s">
        <v>3149</v>
      </c>
      <c r="K715" s="1" t="s">
        <v>22</v>
      </c>
      <c r="L715" s="1" t="str">
        <f>HYPERLINK("https://files.afu.se/Downloads/Transcripts/0%20-%20Government/USA%20-%20NASA%20Johnson/2017 09 11 - NASA Johnson - EISD External Video_pIOLs8PwvOg - transcript (automated).pdf","Transcript Link")</f>
        <v>Transcript Link</v>
      </c>
      <c r="M715" s="2" t="str">
        <f>HYPERLINK("https://files.afu.se/Downloads/Transcripts/0%20-%20Government/USA%20-%20NASA%20Johnson/2017 09 11 - NASA Johnson - EISD External Video_pIOLs8PwvOg - transcript (automated).pdf","Transcript Link")</f>
        <v>Transcript Link</v>
      </c>
    </row>
    <row r="716" ht="315" spans="1:13">
      <c r="A716" s="1" t="s">
        <v>3150</v>
      </c>
      <c r="B716" s="1" t="s">
        <v>13</v>
      </c>
      <c r="C716" s="4" t="s">
        <v>3151</v>
      </c>
      <c r="D716" s="1" t="s">
        <v>3152</v>
      </c>
      <c r="E716" s="1" t="s">
        <v>3153</v>
      </c>
      <c r="F716" s="4" t="s">
        <v>17</v>
      </c>
      <c r="G716" s="1" t="s">
        <v>18</v>
      </c>
      <c r="H716" s="1" t="s">
        <v>19</v>
      </c>
      <c r="I716" s="1" t="s">
        <v>20</v>
      </c>
      <c r="J716" s="1" t="s">
        <v>3154</v>
      </c>
      <c r="K716" s="1" t="s">
        <v>22</v>
      </c>
      <c r="L716" s="1" t="str">
        <f>HYPERLINK("https://files.afu.se/Downloads/Transcripts/0%20-%20Government/USA%20-%20NASA%20Johnson/2017 09 08 - NASA Johnson - ISS Pass Over Hurricane Jose and Hurricane Irma 9 8 17_ODiWspJYaXQ - transcript (automated).pdf","Transcript Link")</f>
        <v>Transcript Link</v>
      </c>
      <c r="M716" s="2" t="str">
        <f>HYPERLINK("https://files.afu.se/Downloads/Transcripts/0%20-%20Government/USA%20-%20NASA%20Johnson/2017 09 08 - NASA Johnson - ISS Pass Over Hurricane Jose and Hurricane Irma 9 8 17_ODiWspJYaXQ - transcript (automated).pdf","Transcript Link")</f>
        <v>Transcript Link</v>
      </c>
    </row>
    <row r="717" ht="210" spans="1:13">
      <c r="A717" s="1" t="s">
        <v>3150</v>
      </c>
      <c r="B717" s="1" t="s">
        <v>13</v>
      </c>
      <c r="C717" s="4" t="s">
        <v>3155</v>
      </c>
      <c r="D717" s="1" t="s">
        <v>3156</v>
      </c>
      <c r="E717" s="1" t="s">
        <v>3157</v>
      </c>
      <c r="F717" s="4" t="s">
        <v>17</v>
      </c>
      <c r="G717" s="1" t="s">
        <v>18</v>
      </c>
      <c r="H717" s="1" t="s">
        <v>19</v>
      </c>
      <c r="I717" s="1" t="s">
        <v>20</v>
      </c>
      <c r="J717" s="1" t="s">
        <v>3158</v>
      </c>
      <c r="K717" s="1" t="s">
        <v>22</v>
      </c>
      <c r="L717" s="1" t="str">
        <f>HYPERLINK("https://files.afu.se/Downloads/Transcripts/0%20-%20Government/USA%20-%20NASA%20Johnson/2017 09 08 - NASA Johnson - By the Numbers  Expedition 52_AZA3LwX0NOw - transcript (automated).pdf","Transcript Link")</f>
        <v>Transcript Link</v>
      </c>
      <c r="M717" s="2" t="str">
        <f>HYPERLINK("https://files.afu.se/Downloads/Transcripts/0%20-%20Government/USA%20-%20NASA%20Johnson/2017 09 08 - NASA Johnson - By the Numbers  Expedition 52_AZA3LwX0NOw - transcript (automated).pdf","Transcript Link")</f>
        <v>Transcript Link</v>
      </c>
    </row>
    <row r="718" ht="180" spans="1:13">
      <c r="A718" s="1" t="s">
        <v>3150</v>
      </c>
      <c r="B718" s="1" t="s">
        <v>13</v>
      </c>
      <c r="C718" s="4" t="s">
        <v>3159</v>
      </c>
      <c r="D718" s="1" t="s">
        <v>3160</v>
      </c>
      <c r="E718" s="1" t="s">
        <v>2929</v>
      </c>
      <c r="F718" s="4" t="s">
        <v>17</v>
      </c>
      <c r="G718" s="1" t="s">
        <v>18</v>
      </c>
      <c r="H718" s="1" t="s">
        <v>19</v>
      </c>
      <c r="I718" s="1" t="s">
        <v>20</v>
      </c>
      <c r="J718" s="1" t="s">
        <v>3161</v>
      </c>
      <c r="K718" s="1" t="s">
        <v>22</v>
      </c>
      <c r="L718" s="1" t="str">
        <f>HYPERLINK("https://files.afu.se/Downloads/Transcripts/0%20-%20Government/USA%20-%20NASA%20Johnson/2017 09 08 - NASA Johnson - Space to Ground  Tracking a Monster  09 08 2017_fVD4BtM9gJM - transcript (automated).pdf","Transcript Link")</f>
        <v>Transcript Link</v>
      </c>
      <c r="M718" s="2" t="str">
        <f>HYPERLINK("https://files.afu.se/Downloads/Transcripts/0%20-%20Government/USA%20-%20NASA%20Johnson/2017 09 08 - NASA Johnson - Space to Ground  Tracking a Monster  09 08 2017_fVD4BtM9gJM - transcript (automated).pdf","Transcript Link")</f>
        <v>Transcript Link</v>
      </c>
    </row>
    <row r="719" ht="300" spans="1:13">
      <c r="A719" s="1" t="s">
        <v>3162</v>
      </c>
      <c r="B719" s="1" t="s">
        <v>13</v>
      </c>
      <c r="C719" s="4" t="s">
        <v>3163</v>
      </c>
      <c r="D719" s="1" t="s">
        <v>3164</v>
      </c>
      <c r="E719" s="1" t="s">
        <v>3165</v>
      </c>
      <c r="F719" s="4" t="s">
        <v>17</v>
      </c>
      <c r="G719" s="1" t="s">
        <v>18</v>
      </c>
      <c r="H719" s="1" t="s">
        <v>19</v>
      </c>
      <c r="I719" s="1" t="s">
        <v>20</v>
      </c>
      <c r="J719" s="1" t="s">
        <v>3166</v>
      </c>
      <c r="K719" s="1" t="s">
        <v>22</v>
      </c>
      <c r="L719" s="1" t="str">
        <f>HYPERLINK("https://files.afu.se/Downloads/Transcripts/0%20-%20Government/USA%20-%20NASA%20Johnson/2017 09 07 - NASA Johnson - ISS Pass Over Hurricane Irma 9 7 2017_C-mBf0rjXpc - transcript (automated).pdf","Transcript Link")</f>
        <v>Transcript Link</v>
      </c>
      <c r="M719" s="2" t="str">
        <f>HYPERLINK("https://files.afu.se/Downloads/Transcripts/0%20-%20Government/USA%20-%20NASA%20Johnson/2017 09 07 - NASA Johnson - ISS Pass Over Hurricane Irma 9 7 2017_C-mBf0rjXpc - transcript (automated).pdf","Transcript Link")</f>
        <v>Transcript Link</v>
      </c>
    </row>
    <row r="720" ht="210" spans="1:13">
      <c r="A720" s="1" t="s">
        <v>3162</v>
      </c>
      <c r="B720" s="1" t="s">
        <v>13</v>
      </c>
      <c r="C720" s="4" t="s">
        <v>3167</v>
      </c>
      <c r="D720" s="1" t="s">
        <v>3168</v>
      </c>
      <c r="E720" s="1" t="s">
        <v>3169</v>
      </c>
      <c r="F720" s="4" t="s">
        <v>17</v>
      </c>
      <c r="G720" s="1" t="s">
        <v>18</v>
      </c>
      <c r="H720" s="1" t="s">
        <v>19</v>
      </c>
      <c r="I720" s="1" t="s">
        <v>20</v>
      </c>
      <c r="J720" s="1" t="s">
        <v>3170</v>
      </c>
      <c r="K720" s="1" t="s">
        <v>22</v>
      </c>
      <c r="L720" s="1" t="str">
        <f>HYPERLINK("https://files.afu.se/Downloads/Transcripts/0%20-%20Government/USA%20-%20NASA%20Johnson/2017 09 07 - NASA Johnson - SpeedyTime 8 - Space Photography_HoryjMs5Vus - transcript (automated).pdf","Transcript Link")</f>
        <v>Transcript Link</v>
      </c>
      <c r="M720" s="2" t="str">
        <f>HYPERLINK("https://files.afu.se/Downloads/Transcripts/0%20-%20Government/USA%20-%20NASA%20Johnson/2017 09 07 - NASA Johnson - SpeedyTime 8 - Space Photography_HoryjMs5Vus - transcript (automated).pdf","Transcript Link")</f>
        <v>Transcript Link</v>
      </c>
    </row>
    <row r="721" ht="180" spans="1:13">
      <c r="A721" s="1" t="s">
        <v>3171</v>
      </c>
      <c r="B721" s="1" t="s">
        <v>13</v>
      </c>
      <c r="C721" s="4" t="s">
        <v>3172</v>
      </c>
      <c r="D721" s="1" t="s">
        <v>3173</v>
      </c>
      <c r="E721" s="1" t="s">
        <v>3174</v>
      </c>
      <c r="F721" s="4" t="s">
        <v>17</v>
      </c>
      <c r="G721" s="1" t="s">
        <v>18</v>
      </c>
      <c r="H721" s="1" t="s">
        <v>19</v>
      </c>
      <c r="I721" s="1" t="s">
        <v>20</v>
      </c>
      <c r="J721" s="1" t="s">
        <v>3175</v>
      </c>
      <c r="K721" s="1" t="s">
        <v>22</v>
      </c>
      <c r="L721" s="1" t="str">
        <f>HYPERLINK("https://files.afu.se/Downloads/Transcripts/0%20-%20Government/USA%20-%20NASA%20Johnson/2017 09 06 - NASA Johnson - ISS Passes Over Hurricane Irma - 9 6 2017_XoMRueJ17Rc - transcript (automated).pdf","Transcript Link")</f>
        <v>Transcript Link</v>
      </c>
      <c r="M721" s="2" t="str">
        <f>HYPERLINK("https://files.afu.se/Downloads/Transcripts/0%20-%20Government/USA%20-%20NASA%20Johnson/2017 09 06 - NASA Johnson - ISS Passes Over Hurricane Irma - 9 6 2017_XoMRueJ17Rc - transcript (automated).pdf","Transcript Link")</f>
        <v>Transcript Link</v>
      </c>
    </row>
    <row r="722" ht="180" spans="1:13">
      <c r="A722" s="1" t="s">
        <v>3176</v>
      </c>
      <c r="B722" s="1" t="s">
        <v>13</v>
      </c>
      <c r="C722" s="4" t="s">
        <v>3177</v>
      </c>
      <c r="D722" s="1" t="s">
        <v>3178</v>
      </c>
      <c r="E722" s="1" t="s">
        <v>3179</v>
      </c>
      <c r="F722" s="4" t="s">
        <v>17</v>
      </c>
      <c r="G722" s="1" t="s">
        <v>18</v>
      </c>
      <c r="H722" s="1" t="s">
        <v>19</v>
      </c>
      <c r="I722" s="1" t="s">
        <v>20</v>
      </c>
      <c r="J722" s="1" t="s">
        <v>3180</v>
      </c>
      <c r="K722" s="1" t="s">
        <v>22</v>
      </c>
      <c r="L722" s="1" t="str">
        <f>HYPERLINK("https://files.afu.se/Downloads/Transcripts/0%20-%20Government/USA%20-%20NASA%20Johnson/2017 09 05 - NASA Johnson - ISS passes over Hurricane Irma, Sept. 5_QBDheVyH8SM - transcript (automated).pdf","Transcript Link")</f>
        <v>Transcript Link</v>
      </c>
      <c r="M722" s="2" t="str">
        <f>HYPERLINK("https://files.afu.se/Downloads/Transcripts/0%20-%20Government/USA%20-%20NASA%20Johnson/2017 09 05 - NASA Johnson - ISS passes over Hurricane Irma, Sept. 5_QBDheVyH8SM - transcript (automated).pdf","Transcript Link")</f>
        <v>Transcript Link</v>
      </c>
    </row>
    <row r="723" ht="300" spans="1:13">
      <c r="A723" s="1" t="s">
        <v>3181</v>
      </c>
      <c r="B723" s="1" t="s">
        <v>13</v>
      </c>
      <c r="C723" s="4" t="s">
        <v>3182</v>
      </c>
      <c r="D723" s="1" t="s">
        <v>3183</v>
      </c>
      <c r="E723" s="1" t="s">
        <v>3184</v>
      </c>
      <c r="F723" s="4" t="s">
        <v>17</v>
      </c>
      <c r="G723" s="1" t="s">
        <v>18</v>
      </c>
      <c r="H723" s="1" t="s">
        <v>19</v>
      </c>
      <c r="I723" s="1" t="s">
        <v>20</v>
      </c>
      <c r="J723" s="1" t="s">
        <v>3185</v>
      </c>
      <c r="K723" s="1" t="s">
        <v>22</v>
      </c>
      <c r="L723" s="1" t="str">
        <f>HYPERLINK("https://files.afu.se/Downloads/Transcripts/0%20-%20Government/USA%20-%20NASA%20Johnson/2017 08 28 - NASA Johnson - Jack and Peggy's Excellent Adventure_-IJ0W5DSFQE - transcript (automated).pdf","Transcript Link")</f>
        <v>Transcript Link</v>
      </c>
      <c r="M723" s="2" t="str">
        <f>HYPERLINK("https://files.afu.se/Downloads/Transcripts/0%20-%20Government/USA%20-%20NASA%20Johnson/2017 08 28 - NASA Johnson - Jack and Peggy's Excellent Adventure_-IJ0W5DSFQE - transcript (automated).pdf","Transcript Link")</f>
        <v>Transcript Link</v>
      </c>
    </row>
    <row r="724" ht="195" spans="1:13">
      <c r="A724" s="1" t="s">
        <v>3186</v>
      </c>
      <c r="B724" s="1" t="s">
        <v>13</v>
      </c>
      <c r="C724" s="4" t="s">
        <v>3187</v>
      </c>
      <c r="D724" s="1" t="s">
        <v>3188</v>
      </c>
      <c r="E724" s="1" t="s">
        <v>3189</v>
      </c>
      <c r="F724" s="4" t="s">
        <v>17</v>
      </c>
      <c r="G724" s="1" t="s">
        <v>18</v>
      </c>
      <c r="H724" s="1" t="s">
        <v>19</v>
      </c>
      <c r="I724" s="1" t="s">
        <v>20</v>
      </c>
      <c r="J724" s="1" t="s">
        <v>3190</v>
      </c>
      <c r="K724" s="1" t="s">
        <v>22</v>
      </c>
      <c r="L724" s="1" t="str">
        <f>HYPERLINK("https://files.afu.se/Downloads/Transcripts/0%20-%20Government/USA%20-%20NASA%20Johnson/2017 08 25 - NASA Johnson - SpeedyTime %237 - Minus Eighty Degrees Laboratory Freezer for ISS_uN2uatjFm5I - transcript (automated).pdf","Transcript Link")</f>
        <v>Transcript Link</v>
      </c>
      <c r="M724" s="2" t="str">
        <f>HYPERLINK("https://files.afu.se/Downloads/Transcripts/0%20-%20Government/USA%20-%20NASA%20Johnson/2017 08 25 - NASA Johnson - SpeedyTime %237 - Minus Eighty Degrees Laboratory Freezer for ISS_uN2uatjFm5I - transcript (automated).pdf","Transcript Link")</f>
        <v>Transcript Link</v>
      </c>
    </row>
    <row r="725" ht="180" spans="1:13">
      <c r="A725" s="1" t="s">
        <v>3186</v>
      </c>
      <c r="B725" s="1" t="s">
        <v>13</v>
      </c>
      <c r="C725" s="4" t="s">
        <v>3191</v>
      </c>
      <c r="D725" s="1" t="s">
        <v>3192</v>
      </c>
      <c r="E725" s="1" t="s">
        <v>2929</v>
      </c>
      <c r="F725" s="4" t="s">
        <v>17</v>
      </c>
      <c r="G725" s="1" t="s">
        <v>18</v>
      </c>
      <c r="H725" s="1" t="s">
        <v>19</v>
      </c>
      <c r="I725" s="1" t="s">
        <v>20</v>
      </c>
      <c r="J725" s="1" t="s">
        <v>3193</v>
      </c>
      <c r="K725" s="1" t="s">
        <v>22</v>
      </c>
      <c r="L725" s="1" t="str">
        <f>HYPERLINK("https://files.afu.se/Downloads/Transcripts/0%20-%20Government/USA%20-%20NASA%20Johnson/2017 08 25 - NASA Johnson - Space to Ground  Totally Stunning!  08 25 2017_akiwa395AIA - transcript (automated).pdf","Transcript Link")</f>
        <v>Transcript Link</v>
      </c>
      <c r="M725" s="2" t="str">
        <f>HYPERLINK("https://files.afu.se/Downloads/Transcripts/0%20-%20Government/USA%20-%20NASA%20Johnson/2017 08 25 - NASA Johnson - Space to Ground  Totally Stunning!  08 25 2017_akiwa395AIA - transcript (automated).pdf","Transcript Link")</f>
        <v>Transcript Link</v>
      </c>
    </row>
    <row r="726" ht="375" spans="1:13">
      <c r="A726" s="1" t="s">
        <v>3194</v>
      </c>
      <c r="B726" s="1" t="s">
        <v>13</v>
      </c>
      <c r="C726" s="4" t="s">
        <v>3195</v>
      </c>
      <c r="D726" s="1" t="s">
        <v>3196</v>
      </c>
      <c r="E726" s="1" t="s">
        <v>3197</v>
      </c>
      <c r="F726" s="4" t="s">
        <v>17</v>
      </c>
      <c r="G726" s="1" t="s">
        <v>18</v>
      </c>
      <c r="H726" s="1" t="s">
        <v>19</v>
      </c>
      <c r="I726" s="1" t="s">
        <v>20</v>
      </c>
      <c r="J726" s="1" t="s">
        <v>3198</v>
      </c>
      <c r="K726" s="1" t="s">
        <v>22</v>
      </c>
      <c r="L726" s="1" t="str">
        <f>HYPERLINK("https://files.afu.se/Downloads/Transcripts/0%20-%20Government/USA%20-%20NASA%20Johnson/2017 08 24 - NASA Johnson - Cardiac Biology In Space_iGH7R1vs5Jk - transcript (automated).pdf","Transcript Link")</f>
        <v>Transcript Link</v>
      </c>
      <c r="M726" s="2" t="str">
        <f>HYPERLINK("https://files.afu.se/Downloads/Transcripts/0%20-%20Government/USA%20-%20NASA%20Johnson/2017 08 24 - NASA Johnson - Cardiac Biology In Space_iGH7R1vs5Jk - transcript (automated).pdf","Transcript Link")</f>
        <v>Transcript Link</v>
      </c>
    </row>
    <row r="727" ht="180" spans="1:13">
      <c r="A727" s="1" t="s">
        <v>3199</v>
      </c>
      <c r="B727" s="1" t="s">
        <v>13</v>
      </c>
      <c r="C727" s="4" t="s">
        <v>3200</v>
      </c>
      <c r="D727" s="1" t="s">
        <v>3201</v>
      </c>
      <c r="E727" s="1" t="s">
        <v>3202</v>
      </c>
      <c r="F727" s="4" t="s">
        <v>17</v>
      </c>
      <c r="G727" s="1" t="s">
        <v>18</v>
      </c>
      <c r="H727" s="1" t="s">
        <v>19</v>
      </c>
      <c r="I727" s="1" t="s">
        <v>20</v>
      </c>
      <c r="J727" s="1" t="s">
        <v>3203</v>
      </c>
      <c r="K727" s="1" t="s">
        <v>22</v>
      </c>
      <c r="L727" s="1" t="str">
        <f>HYPERLINK("https://files.afu.se/Downloads/Transcripts/0%20-%20Government/USA%20-%20NASA%20Johnson/2017 08 22 - NASA Johnson - Zena Cardman NASA 2017 Astronaut Candidate_mIbJLQhV7ow - transcript (automated).pdf","Transcript Link")</f>
        <v>Transcript Link</v>
      </c>
      <c r="M727" s="2" t="str">
        <f>HYPERLINK("https://files.afu.se/Downloads/Transcripts/0%20-%20Government/USA%20-%20NASA%20Johnson/2017 08 22 - NASA Johnson - Zena Cardman NASA 2017 Astronaut Candidate_mIbJLQhV7ow - transcript (automated).pdf","Transcript Link")</f>
        <v>Transcript Link</v>
      </c>
    </row>
    <row r="728" ht="180" spans="1:13">
      <c r="A728" s="1" t="s">
        <v>3199</v>
      </c>
      <c r="B728" s="1" t="s">
        <v>13</v>
      </c>
      <c r="C728" s="4" t="s">
        <v>3204</v>
      </c>
      <c r="D728" s="1" t="s">
        <v>3205</v>
      </c>
      <c r="E728" s="1" t="s">
        <v>3206</v>
      </c>
      <c r="F728" s="4" t="s">
        <v>17</v>
      </c>
      <c r="G728" s="1" t="s">
        <v>18</v>
      </c>
      <c r="H728" s="1" t="s">
        <v>19</v>
      </c>
      <c r="I728" s="1" t="s">
        <v>20</v>
      </c>
      <c r="J728" s="1" t="s">
        <v>3207</v>
      </c>
      <c r="K728" s="1" t="s">
        <v>22</v>
      </c>
      <c r="L728" s="1" t="str">
        <f>HYPERLINK("https://files.afu.se/Downloads/Transcripts/0%20-%20Government/USA%20-%20NASA%20Johnson/2017 08 22 - NASA Johnson - Kayla Barron NASA 2017 Astronaut Candidate_gYqboqIkmmY - transcript (automated).pdf","Transcript Link")</f>
        <v>Transcript Link</v>
      </c>
      <c r="M728" s="2" t="str">
        <f>HYPERLINK("https://files.afu.se/Downloads/Transcripts/0%20-%20Government/USA%20-%20NASA%20Johnson/2017 08 22 - NASA Johnson - Kayla Barron NASA 2017 Astronaut Candidate_gYqboqIkmmY - transcript (automated).pdf","Transcript Link")</f>
        <v>Transcript Link</v>
      </c>
    </row>
    <row r="729" ht="180" spans="1:13">
      <c r="A729" s="1" t="s">
        <v>3199</v>
      </c>
      <c r="B729" s="1" t="s">
        <v>13</v>
      </c>
      <c r="C729" s="4" t="s">
        <v>3208</v>
      </c>
      <c r="D729" s="1" t="s">
        <v>3209</v>
      </c>
      <c r="E729" s="1" t="s">
        <v>3210</v>
      </c>
      <c r="F729" s="4" t="s">
        <v>17</v>
      </c>
      <c r="G729" s="1" t="s">
        <v>18</v>
      </c>
      <c r="H729" s="1" t="s">
        <v>19</v>
      </c>
      <c r="I729" s="1" t="s">
        <v>20</v>
      </c>
      <c r="J729" s="1" t="s">
        <v>3211</v>
      </c>
      <c r="K729" s="1" t="s">
        <v>22</v>
      </c>
      <c r="L729" s="1" t="str">
        <f>HYPERLINK("https://files.afu.se/Downloads/Transcripts/0%20-%20Government/USA%20-%20NASA%20Johnson/2017 08 22 - NASA Johnson - Jasmin Moghbeli NASA 2017 Astronaut Candidate_uiPgmxfbt54 - transcript (automated).pdf","Transcript Link")</f>
        <v>Transcript Link</v>
      </c>
      <c r="M729" s="2" t="str">
        <f>HYPERLINK("https://files.afu.se/Downloads/Transcripts/0%20-%20Government/USA%20-%20NASA%20Johnson/2017 08 22 - NASA Johnson - Jasmin Moghbeli NASA 2017 Astronaut Candidate_uiPgmxfbt54 - transcript (automated).pdf","Transcript Link")</f>
        <v>Transcript Link</v>
      </c>
    </row>
    <row r="730" ht="180" spans="1:13">
      <c r="A730" s="1" t="s">
        <v>3199</v>
      </c>
      <c r="B730" s="1" t="s">
        <v>13</v>
      </c>
      <c r="C730" s="4" t="s">
        <v>3212</v>
      </c>
      <c r="D730" s="1" t="s">
        <v>3213</v>
      </c>
      <c r="E730" s="1" t="s">
        <v>3214</v>
      </c>
      <c r="F730" s="4" t="s">
        <v>17</v>
      </c>
      <c r="G730" s="1" t="s">
        <v>18</v>
      </c>
      <c r="H730" s="1" t="s">
        <v>19</v>
      </c>
      <c r="I730" s="1" t="s">
        <v>20</v>
      </c>
      <c r="J730" s="1" t="s">
        <v>3215</v>
      </c>
      <c r="K730" s="1" t="s">
        <v>22</v>
      </c>
      <c r="L730" s="1" t="str">
        <f>HYPERLINK("https://files.afu.se/Downloads/Transcripts/0%20-%20Government/USA%20-%20NASA%20Johnson/2017 08 22 - NASA Johnson - Loral O’Hara NASA 2017 Astronaut Candidate_lC0w_pnYbb8 - transcript (automated).pdf","Transcript Link")</f>
        <v>Transcript Link</v>
      </c>
      <c r="M730" s="2" t="str">
        <f>HYPERLINK("https://files.afu.se/Downloads/Transcripts/0%20-%20Government/USA%20-%20NASA%20Johnson/2017 08 22 - NASA Johnson - Loral O’Hara NASA 2017 Astronaut Candidate_lC0w_pnYbb8 - transcript (automated).pdf","Transcript Link")</f>
        <v>Transcript Link</v>
      </c>
    </row>
    <row r="731" ht="180" spans="1:13">
      <c r="A731" s="1" t="s">
        <v>3199</v>
      </c>
      <c r="B731" s="1" t="s">
        <v>13</v>
      </c>
      <c r="C731" s="4" t="s">
        <v>3216</v>
      </c>
      <c r="D731" s="1" t="s">
        <v>3217</v>
      </c>
      <c r="E731" s="1" t="s">
        <v>3218</v>
      </c>
      <c r="F731" s="4" t="s">
        <v>17</v>
      </c>
      <c r="G731" s="1" t="s">
        <v>18</v>
      </c>
      <c r="H731" s="1" t="s">
        <v>19</v>
      </c>
      <c r="I731" s="1" t="s">
        <v>20</v>
      </c>
      <c r="J731" s="1" t="s">
        <v>3219</v>
      </c>
      <c r="K731" s="1" t="s">
        <v>22</v>
      </c>
      <c r="L731" s="1" t="str">
        <f>HYPERLINK("https://files.afu.se/Downloads/Transcripts/0%20-%20Government/USA%20-%20NASA%20Johnson/2017 08 22 - NASA Johnson - Raja Chari NASA 2017 Astronaut Candidate_XHKUfy4Tbbw - transcript (automated).pdf","Transcript Link")</f>
        <v>Transcript Link</v>
      </c>
      <c r="M731" s="2" t="str">
        <f>HYPERLINK("https://files.afu.se/Downloads/Transcripts/0%20-%20Government/USA%20-%20NASA%20Johnson/2017 08 22 - NASA Johnson - Raja Chari NASA 2017 Astronaut Candidate_XHKUfy4Tbbw - transcript (automated).pdf","Transcript Link")</f>
        <v>Transcript Link</v>
      </c>
    </row>
    <row r="732" ht="180" spans="1:13">
      <c r="A732" s="1" t="s">
        <v>3199</v>
      </c>
      <c r="B732" s="1" t="s">
        <v>13</v>
      </c>
      <c r="C732" s="4" t="s">
        <v>3220</v>
      </c>
      <c r="D732" s="1" t="s">
        <v>3221</v>
      </c>
      <c r="E732" s="1" t="s">
        <v>3222</v>
      </c>
      <c r="F732" s="4" t="s">
        <v>17</v>
      </c>
      <c r="G732" s="1" t="s">
        <v>18</v>
      </c>
      <c r="H732" s="1" t="s">
        <v>19</v>
      </c>
      <c r="I732" s="1" t="s">
        <v>20</v>
      </c>
      <c r="J732" s="1" t="s">
        <v>3223</v>
      </c>
      <c r="K732" s="1" t="s">
        <v>22</v>
      </c>
      <c r="L732" s="1" t="str">
        <f>HYPERLINK("https://files.afu.se/Downloads/Transcripts/0%20-%20Government/USA%20-%20NASA%20Johnson/2017 08 22 - NASA Johnson - Warren Hoburg NASA 2017 Astronaut Candidate_E9Yipe5QIOI - transcript (automated).pdf","Transcript Link")</f>
        <v>Transcript Link</v>
      </c>
      <c r="M732" s="2" t="str">
        <f>HYPERLINK("https://files.afu.se/Downloads/Transcripts/0%20-%20Government/USA%20-%20NASA%20Johnson/2017 08 22 - NASA Johnson - Warren Hoburg NASA 2017 Astronaut Candidate_E9Yipe5QIOI - transcript (automated).pdf","Transcript Link")</f>
        <v>Transcript Link</v>
      </c>
    </row>
    <row r="733" ht="180" spans="1:13">
      <c r="A733" s="1" t="s">
        <v>3199</v>
      </c>
      <c r="B733" s="1" t="s">
        <v>13</v>
      </c>
      <c r="C733" s="4" t="s">
        <v>3224</v>
      </c>
      <c r="D733" s="1" t="s">
        <v>3225</v>
      </c>
      <c r="E733" s="1" t="s">
        <v>3226</v>
      </c>
      <c r="F733" s="4" t="s">
        <v>17</v>
      </c>
      <c r="G733" s="1" t="s">
        <v>18</v>
      </c>
      <c r="H733" s="1" t="s">
        <v>19</v>
      </c>
      <c r="I733" s="1" t="s">
        <v>20</v>
      </c>
      <c r="J733" s="1" t="s">
        <v>3227</v>
      </c>
      <c r="K733" s="1" t="s">
        <v>22</v>
      </c>
      <c r="L733" s="1" t="str">
        <f>HYPERLINK("https://files.afu.se/Downloads/Transcripts/0%20-%20Government/USA%20-%20NASA%20Johnson/2017 08 22 - NASA Johnson - Frank Rubio  NASA 2017 Astronaut Candidate_LdGZlN1Io5o - transcript (automated).pdf","Transcript Link")</f>
        <v>Transcript Link</v>
      </c>
      <c r="M733" s="2" t="str">
        <f>HYPERLINK("https://files.afu.se/Downloads/Transcripts/0%20-%20Government/USA%20-%20NASA%20Johnson/2017 08 22 - NASA Johnson - Frank Rubio  NASA 2017 Astronaut Candidate_LdGZlN1Io5o - transcript (automated).pdf","Transcript Link")</f>
        <v>Transcript Link</v>
      </c>
    </row>
    <row r="734" ht="180" spans="1:13">
      <c r="A734" s="1" t="s">
        <v>3199</v>
      </c>
      <c r="B734" s="1" t="s">
        <v>13</v>
      </c>
      <c r="C734" s="4" t="s">
        <v>3228</v>
      </c>
      <c r="D734" s="1" t="s">
        <v>3229</v>
      </c>
      <c r="E734" s="1" t="s">
        <v>3230</v>
      </c>
      <c r="F734" s="4" t="s">
        <v>17</v>
      </c>
      <c r="G734" s="1" t="s">
        <v>18</v>
      </c>
      <c r="H734" s="1" t="s">
        <v>19</v>
      </c>
      <c r="I734" s="1" t="s">
        <v>20</v>
      </c>
      <c r="J734" s="1" t="s">
        <v>3231</v>
      </c>
      <c r="K734" s="1" t="s">
        <v>22</v>
      </c>
      <c r="L734" s="1" t="str">
        <f>HYPERLINK("https://files.afu.se/Downloads/Transcripts/0%20-%20Government/USA%20-%20NASA%20Johnson/2017 08 22 - NASA Johnson - Jessica Watkins NASA 2017 Astronaut Candidate_VibnAtGkFrE - transcript (automated).pdf","Transcript Link")</f>
        <v>Transcript Link</v>
      </c>
      <c r="M734" s="2" t="str">
        <f>HYPERLINK("https://files.afu.se/Downloads/Transcripts/0%20-%20Government/USA%20-%20NASA%20Johnson/2017 08 22 - NASA Johnson - Jessica Watkins NASA 2017 Astronaut Candidate_VibnAtGkFrE - transcript (automated).pdf","Transcript Link")</f>
        <v>Transcript Link</v>
      </c>
    </row>
    <row r="735" ht="180" spans="1:13">
      <c r="A735" s="1" t="s">
        <v>3199</v>
      </c>
      <c r="B735" s="1" t="s">
        <v>13</v>
      </c>
      <c r="C735" s="4" t="s">
        <v>3232</v>
      </c>
      <c r="D735" s="1" t="s">
        <v>3233</v>
      </c>
      <c r="E735" s="1" t="s">
        <v>3234</v>
      </c>
      <c r="F735" s="4" t="s">
        <v>17</v>
      </c>
      <c r="G735" s="1" t="s">
        <v>18</v>
      </c>
      <c r="H735" s="1" t="s">
        <v>19</v>
      </c>
      <c r="I735" s="1" t="s">
        <v>20</v>
      </c>
      <c r="J735" s="1" t="s">
        <v>3235</v>
      </c>
      <c r="K735" s="1" t="s">
        <v>22</v>
      </c>
      <c r="L735" s="1" t="str">
        <f>HYPERLINK("https://files.afu.se/Downloads/Transcripts/0%20-%20Government/USA%20-%20NASA%20Johnson/2017 08 22 - NASA Johnson - Jonny Kim NASA 2017 Astronaut Candidate_gfn6Ka6nGYg - transcript (automated).pdf","Transcript Link")</f>
        <v>Transcript Link</v>
      </c>
      <c r="M735" s="2" t="str">
        <f>HYPERLINK("https://files.afu.se/Downloads/Transcripts/0%20-%20Government/USA%20-%20NASA%20Johnson/2017 08 22 - NASA Johnson - Jonny Kim NASA 2017 Astronaut Candidate_gfn6Ka6nGYg - transcript (automated).pdf","Transcript Link")</f>
        <v>Transcript Link</v>
      </c>
    </row>
    <row r="736" ht="180" spans="1:13">
      <c r="A736" s="1" t="s">
        <v>3199</v>
      </c>
      <c r="B736" s="1" t="s">
        <v>13</v>
      </c>
      <c r="C736" s="4" t="s">
        <v>3236</v>
      </c>
      <c r="D736" s="1" t="s">
        <v>3237</v>
      </c>
      <c r="E736" s="1" t="s">
        <v>3238</v>
      </c>
      <c r="F736" s="4" t="s">
        <v>17</v>
      </c>
      <c r="G736" s="1" t="s">
        <v>18</v>
      </c>
      <c r="H736" s="1" t="s">
        <v>19</v>
      </c>
      <c r="I736" s="1" t="s">
        <v>20</v>
      </c>
      <c r="J736" s="1" t="s">
        <v>3239</v>
      </c>
      <c r="K736" s="1" t="s">
        <v>22</v>
      </c>
      <c r="L736" s="1" t="str">
        <f>HYPERLINK("https://files.afu.se/Downloads/Transcripts/0%20-%20Government/USA%20-%20NASA%20Johnson/2017 08 22 - NASA Johnson - Bob Hines NASA 2017 Astronaut Candidate_DPhPX33Dlr0 - transcript (automated).pdf","Transcript Link")</f>
        <v>Transcript Link</v>
      </c>
      <c r="M736" s="2" t="str">
        <f>HYPERLINK("https://files.afu.se/Downloads/Transcripts/0%20-%20Government/USA%20-%20NASA%20Johnson/2017 08 22 - NASA Johnson - Bob Hines NASA 2017 Astronaut Candidate_DPhPX33Dlr0 - transcript (automated).pdf","Transcript Link")</f>
        <v>Transcript Link</v>
      </c>
    </row>
    <row r="737" ht="180" spans="1:13">
      <c r="A737" s="1" t="s">
        <v>3199</v>
      </c>
      <c r="B737" s="1" t="s">
        <v>13</v>
      </c>
      <c r="C737" s="4" t="s">
        <v>3240</v>
      </c>
      <c r="D737" s="1" t="s">
        <v>3241</v>
      </c>
      <c r="E737" s="1" t="s">
        <v>3242</v>
      </c>
      <c r="F737" s="4" t="s">
        <v>17</v>
      </c>
      <c r="G737" s="1" t="s">
        <v>18</v>
      </c>
      <c r="H737" s="1" t="s">
        <v>19</v>
      </c>
      <c r="I737" s="1" t="s">
        <v>20</v>
      </c>
      <c r="J737" s="1" t="s">
        <v>3243</v>
      </c>
      <c r="K737" s="1" t="s">
        <v>22</v>
      </c>
      <c r="L737" s="1" t="str">
        <f>HYPERLINK("https://files.afu.se/Downloads/Transcripts/0%20-%20Government/USA%20-%20NASA%20Johnson/2017 08 22 - NASA Johnson - Matthew Dominick NASA 2017 Astronaut Candidate_3uLggveEtmo - transcript (automated).pdf","Transcript Link")</f>
        <v>Transcript Link</v>
      </c>
      <c r="M737" s="2" t="str">
        <f>HYPERLINK("https://files.afu.se/Downloads/Transcripts/0%20-%20Government/USA%20-%20NASA%20Johnson/2017 08 22 - NASA Johnson - Matthew Dominick NASA 2017 Astronaut Candidate_3uLggveEtmo - transcript (automated).pdf","Transcript Link")</f>
        <v>Transcript Link</v>
      </c>
    </row>
    <row r="738" ht="180" spans="1:13">
      <c r="A738" s="1" t="s">
        <v>3244</v>
      </c>
      <c r="B738" s="1" t="s">
        <v>13</v>
      </c>
      <c r="C738" s="4" t="s">
        <v>3245</v>
      </c>
      <c r="D738" s="1" t="s">
        <v>3246</v>
      </c>
      <c r="E738" s="1" t="s">
        <v>3247</v>
      </c>
      <c r="F738" s="4" t="s">
        <v>17</v>
      </c>
      <c r="G738" s="1" t="s">
        <v>18</v>
      </c>
      <c r="H738" s="1" t="s">
        <v>19</v>
      </c>
      <c r="I738" s="1" t="s">
        <v>20</v>
      </c>
      <c r="J738" s="1" t="s">
        <v>3248</v>
      </c>
      <c r="K738" s="1" t="s">
        <v>22</v>
      </c>
      <c r="L738" s="1" t="str">
        <f>HYPERLINK("https://files.afu.se/Downloads/Transcripts/0%20-%20Government/USA%20-%20NASA%20Johnson/2017 08 18 - NASA Johnson - SpeedyTime 6 – International Space Station Tour_vys1LAxPY00 - transcript (automated).pdf","Transcript Link")</f>
        <v>Transcript Link</v>
      </c>
      <c r="M738" s="2" t="str">
        <f>HYPERLINK("https://files.afu.se/Downloads/Transcripts/0%20-%20Government/USA%20-%20NASA%20Johnson/2017 08 18 - NASA Johnson - SpeedyTime 6 – International Space Station Tour_vys1LAxPY00 - transcript (automated).pdf","Transcript Link")</f>
        <v>Transcript Link</v>
      </c>
    </row>
    <row r="739" ht="180" spans="1:13">
      <c r="A739" s="1" t="s">
        <v>3244</v>
      </c>
      <c r="B739" s="1" t="s">
        <v>13</v>
      </c>
      <c r="C739" s="4" t="s">
        <v>3249</v>
      </c>
      <c r="D739" s="1" t="s">
        <v>3250</v>
      </c>
      <c r="E739" s="1" t="s">
        <v>3251</v>
      </c>
      <c r="F739" s="4" t="s">
        <v>17</v>
      </c>
      <c r="G739" s="1" t="s">
        <v>18</v>
      </c>
      <c r="H739" s="1" t="s">
        <v>19</v>
      </c>
      <c r="I739" s="1" t="s">
        <v>20</v>
      </c>
      <c r="J739" s="1" t="s">
        <v>3252</v>
      </c>
      <c r="K739" s="1" t="s">
        <v>22</v>
      </c>
      <c r="L739" s="1" t="str">
        <f>HYPERLINK("https://files.afu.se/Downloads/Transcripts/0%20-%20Government/USA%20-%20NASA%20Johnson/2017 08 18 - NASA Johnson - Two Truths and a Lie_2-QCC1UC6Vo - transcript (automated).pdf","Transcript Link")</f>
        <v>Transcript Link</v>
      </c>
      <c r="M739" s="2" t="str">
        <f>HYPERLINK("https://files.afu.se/Downloads/Transcripts/0%20-%20Government/USA%20-%20NASA%20Johnson/2017 08 18 - NASA Johnson - Two Truths and a Lie_2-QCC1UC6Vo - transcript (automated).pdf","Transcript Link")</f>
        <v>Transcript Link</v>
      </c>
    </row>
    <row r="740" ht="180" spans="1:13">
      <c r="A740" s="1" t="s">
        <v>3244</v>
      </c>
      <c r="B740" s="1" t="s">
        <v>13</v>
      </c>
      <c r="C740" s="4" t="s">
        <v>3253</v>
      </c>
      <c r="D740" s="1" t="s">
        <v>3254</v>
      </c>
      <c r="E740" s="1" t="s">
        <v>2929</v>
      </c>
      <c r="F740" s="4" t="s">
        <v>17</v>
      </c>
      <c r="G740" s="1" t="s">
        <v>18</v>
      </c>
      <c r="H740" s="1" t="s">
        <v>19</v>
      </c>
      <c r="I740" s="1" t="s">
        <v>20</v>
      </c>
      <c r="J740" s="1" t="s">
        <v>3255</v>
      </c>
      <c r="K740" s="1" t="s">
        <v>22</v>
      </c>
      <c r="L740" s="1" t="str">
        <f>HYPERLINK("https://files.afu.se/Downloads/Transcripts/0%20-%20Government/USA%20-%20NASA%20Johnson/2017 08 18 - NASA Johnson - Space to Ground  Moon Shadow  08 18 17_0E-tzLa6Y3U - transcript (automated).pdf","Transcript Link")</f>
        <v>Transcript Link</v>
      </c>
      <c r="M740" s="2" t="str">
        <f>HYPERLINK("https://files.afu.se/Downloads/Transcripts/0%20-%20Government/USA%20-%20NASA%20Johnson/2017 08 18 - NASA Johnson - Space to Ground  Moon Shadow  08 18 17_0E-tzLa6Y3U - transcript (automated).pdf","Transcript Link")</f>
        <v>Transcript Link</v>
      </c>
    </row>
    <row r="741" ht="270" spans="1:13">
      <c r="A741" s="1" t="s">
        <v>3256</v>
      </c>
      <c r="B741" s="1" t="s">
        <v>13</v>
      </c>
      <c r="C741" s="4" t="s">
        <v>3257</v>
      </c>
      <c r="D741" s="1" t="s">
        <v>3258</v>
      </c>
      <c r="E741" s="1" t="s">
        <v>3259</v>
      </c>
      <c r="F741" s="4" t="s">
        <v>17</v>
      </c>
      <c r="G741" s="1" t="s">
        <v>18</v>
      </c>
      <c r="H741" s="1" t="s">
        <v>19</v>
      </c>
      <c r="I741" s="1" t="s">
        <v>20</v>
      </c>
      <c r="J741" s="1" t="s">
        <v>3260</v>
      </c>
      <c r="K741" s="1" t="s">
        <v>22</v>
      </c>
      <c r="L741" s="1" t="str">
        <f>HYPERLINK("https://files.afu.se/Downloads/Transcripts/0%20-%20Government/USA%20-%20NASA%20Johnson/2017 08 11 - NASA Johnson - The Most Awesome Podcast from Space!_2cY6wsW8vdc - transcript (automated).pdf","Transcript Link")</f>
        <v>Transcript Link</v>
      </c>
      <c r="M741" s="2" t="str">
        <f>HYPERLINK("https://files.afu.se/Downloads/Transcripts/0%20-%20Government/USA%20-%20NASA%20Johnson/2017 08 11 - NASA Johnson - The Most Awesome Podcast from Space!_2cY6wsW8vdc - transcript (automated).pdf","Transcript Link")</f>
        <v>Transcript Link</v>
      </c>
    </row>
    <row r="742" ht="195" spans="1:13">
      <c r="A742" s="1" t="s">
        <v>3256</v>
      </c>
      <c r="B742" s="1" t="s">
        <v>13</v>
      </c>
      <c r="C742" s="4" t="s">
        <v>3261</v>
      </c>
      <c r="D742" s="1" t="s">
        <v>3262</v>
      </c>
      <c r="E742" s="1" t="s">
        <v>3263</v>
      </c>
      <c r="F742" s="4" t="s">
        <v>17</v>
      </c>
      <c r="G742" s="1" t="s">
        <v>18</v>
      </c>
      <c r="H742" s="1" t="s">
        <v>19</v>
      </c>
      <c r="I742" s="1" t="s">
        <v>20</v>
      </c>
      <c r="J742" s="1" t="s">
        <v>3264</v>
      </c>
      <c r="K742" s="1" t="s">
        <v>22</v>
      </c>
      <c r="L742" s="1" t="str">
        <f>HYPERLINK("https://files.afu.se/Downloads/Transcripts/0%20-%20Government/USA%20-%20NASA%20Johnson/2017 08 11 - NASA Johnson - SpeedyTime 5 – Water in Space_NmnnBvYFOIs - transcript (automated).pdf","Transcript Link")</f>
        <v>Transcript Link</v>
      </c>
      <c r="M742" s="2" t="str">
        <f>HYPERLINK("https://files.afu.se/Downloads/Transcripts/0%20-%20Government/USA%20-%20NASA%20Johnson/2017 08 11 - NASA Johnson - SpeedyTime 5 – Water in Space_NmnnBvYFOIs - transcript (automated).pdf","Transcript Link")</f>
        <v>Transcript Link</v>
      </c>
    </row>
    <row r="743" ht="180" spans="1:13">
      <c r="A743" s="1" t="s">
        <v>3256</v>
      </c>
      <c r="B743" s="1" t="s">
        <v>13</v>
      </c>
      <c r="C743" s="4" t="s">
        <v>3265</v>
      </c>
      <c r="D743" s="1" t="s">
        <v>3266</v>
      </c>
      <c r="E743" s="1" t="s">
        <v>2929</v>
      </c>
      <c r="F743" s="4" t="s">
        <v>17</v>
      </c>
      <c r="G743" s="1" t="s">
        <v>18</v>
      </c>
      <c r="H743" s="1" t="s">
        <v>19</v>
      </c>
      <c r="I743" s="1" t="s">
        <v>20</v>
      </c>
      <c r="J743" s="1" t="s">
        <v>3267</v>
      </c>
      <c r="K743" s="1" t="s">
        <v>22</v>
      </c>
      <c r="L743" s="1" t="str">
        <f>HYPERLINK("https://files.afu.se/Downloads/Transcripts/0%20-%20Government/USA%20-%20NASA%20Johnson/2017 08 11 - NASA Johnson - Space to Ground  A Closer Look  08 11 2017_JXsoX2rhdbM - transcript (automated).pdf","Transcript Link")</f>
        <v>Transcript Link</v>
      </c>
      <c r="M743" s="2" t="str">
        <f>HYPERLINK("https://files.afu.se/Downloads/Transcripts/0%20-%20Government/USA%20-%20NASA%20Johnson/2017 08 11 - NASA Johnson - Space to Ground  A Closer Look  08 11 2017_JXsoX2rhdbM - transcript (automated).pdf","Transcript Link")</f>
        <v>Transcript Link</v>
      </c>
    </row>
    <row r="744" ht="409.5" spans="1:13">
      <c r="A744" s="1" t="s">
        <v>3268</v>
      </c>
      <c r="B744" s="1" t="s">
        <v>13</v>
      </c>
      <c r="C744" s="4" t="s">
        <v>3269</v>
      </c>
      <c r="D744" s="1" t="s">
        <v>3270</v>
      </c>
      <c r="E744" s="1" t="s">
        <v>3271</v>
      </c>
      <c r="F744" s="4" t="s">
        <v>17</v>
      </c>
      <c r="G744" s="1" t="s">
        <v>18</v>
      </c>
      <c r="H744" s="1" t="s">
        <v>19</v>
      </c>
      <c r="I744" s="1" t="s">
        <v>20</v>
      </c>
      <c r="J744" s="1" t="s">
        <v>3272</v>
      </c>
      <c r="K744" s="1" t="s">
        <v>22</v>
      </c>
      <c r="L744" s="1" t="str">
        <f>HYPERLINK("https://files.afu.se/Downloads/Transcripts/0%20-%20Government/USA%20-%20NASA%20Johnson/2017 08 10 - NASA Johnson - Interns In Their Natural Habitat_631tk9aqM3I - transcript (automated).pdf","Transcript Link")</f>
        <v>Transcript Link</v>
      </c>
      <c r="M744" s="2" t="str">
        <f>HYPERLINK("https://files.afu.se/Downloads/Transcripts/0%20-%20Government/USA%20-%20NASA%20Johnson/2017 08 10 - NASA Johnson - Interns In Their Natural Habitat_631tk9aqM3I - transcript (automated).pdf","Transcript Link")</f>
        <v>Transcript Link</v>
      </c>
    </row>
    <row r="745" ht="300" spans="1:13">
      <c r="A745" s="1" t="s">
        <v>3273</v>
      </c>
      <c r="B745" s="1" t="s">
        <v>13</v>
      </c>
      <c r="C745" s="4" t="s">
        <v>3274</v>
      </c>
      <c r="D745" s="1" t="s">
        <v>3275</v>
      </c>
      <c r="E745" s="1" t="s">
        <v>3276</v>
      </c>
      <c r="F745" s="4" t="s">
        <v>17</v>
      </c>
      <c r="G745" s="1" t="s">
        <v>18</v>
      </c>
      <c r="H745" s="1" t="s">
        <v>19</v>
      </c>
      <c r="I745" s="1" t="s">
        <v>20</v>
      </c>
      <c r="J745" s="1" t="s">
        <v>3277</v>
      </c>
      <c r="K745" s="1" t="s">
        <v>22</v>
      </c>
      <c r="L745" s="1" t="str">
        <f>HYPERLINK("https://files.afu.se/Downloads/Transcripts/0%20-%20Government/USA%20-%20NASA%20Johnson/2017 08 04 - NASA Johnson - SpeedyTime 4 – Microgravity Science Glovebox_IatS58t9VII - transcript (automated).pdf","Transcript Link")</f>
        <v>Transcript Link</v>
      </c>
      <c r="M745" s="2" t="str">
        <f>HYPERLINK("https://files.afu.se/Downloads/Transcripts/0%20-%20Government/USA%20-%20NASA%20Johnson/2017 08 04 - NASA Johnson - SpeedyTime 4 – Microgravity Science Glovebox_IatS58t9VII - transcript (automated).pdf","Transcript Link")</f>
        <v>Transcript Link</v>
      </c>
    </row>
    <row r="746" ht="180" spans="1:13">
      <c r="A746" s="1" t="s">
        <v>3273</v>
      </c>
      <c r="B746" s="1" t="s">
        <v>13</v>
      </c>
      <c r="C746" s="4" t="s">
        <v>3278</v>
      </c>
      <c r="D746" s="1" t="s">
        <v>3279</v>
      </c>
      <c r="E746" s="1" t="s">
        <v>2929</v>
      </c>
      <c r="F746" s="4" t="s">
        <v>17</v>
      </c>
      <c r="G746" s="1" t="s">
        <v>18</v>
      </c>
      <c r="H746" s="1" t="s">
        <v>19</v>
      </c>
      <c r="I746" s="1" t="s">
        <v>20</v>
      </c>
      <c r="J746" s="1" t="s">
        <v>3280</v>
      </c>
      <c r="K746" s="1" t="s">
        <v>22</v>
      </c>
      <c r="L746" s="1" t="str">
        <f>HYPERLINK("https://files.afu.se/Downloads/Transcripts/0%20-%20Government/USA%20-%20NASA%20Johnson/2017 08 04 - NASA Johnson - Space to Ground  A Stunning Launch  08 04 2017_ridVpzznXVE - transcript (automated).pdf","Transcript Link")</f>
        <v>Transcript Link</v>
      </c>
      <c r="M746" s="2" t="str">
        <f>HYPERLINK("https://files.afu.se/Downloads/Transcripts/0%20-%20Government/USA%20-%20NASA%20Johnson/2017 08 04 - NASA Johnson - Space to Ground  A Stunning Launch  08 04 2017_ridVpzznXVE - transcript (automated).pdf","Transcript Link")</f>
        <v>Transcript Link</v>
      </c>
    </row>
    <row r="747" ht="180" spans="1:13">
      <c r="A747" s="1" t="s">
        <v>3281</v>
      </c>
      <c r="B747" s="1" t="s">
        <v>13</v>
      </c>
      <c r="C747" s="4" t="s">
        <v>3282</v>
      </c>
      <c r="D747" s="1" t="s">
        <v>3283</v>
      </c>
      <c r="E747" s="1" t="s">
        <v>3284</v>
      </c>
      <c r="F747" s="4" t="s">
        <v>17</v>
      </c>
      <c r="G747" s="1" t="s">
        <v>18</v>
      </c>
      <c r="H747" s="1" t="s">
        <v>19</v>
      </c>
      <c r="I747" s="1" t="s">
        <v>20</v>
      </c>
      <c r="J747" s="1" t="s">
        <v>3285</v>
      </c>
      <c r="K747" s="1" t="s">
        <v>22</v>
      </c>
      <c r="L747" s="1" t="str">
        <f>HYPERLINK("https://files.afu.se/Downloads/Transcripts/0%20-%20Government/USA%20-%20NASA%20Johnson/2017 08 03 - NASA Johnson - Ocean Moon Glint and City Night Lights in 4K UHD_8HW9gYGMiwo - transcript (automated).pdf","Transcript Link")</f>
        <v>Transcript Link</v>
      </c>
      <c r="M747" s="2" t="str">
        <f>HYPERLINK("https://files.afu.se/Downloads/Transcripts/0%20-%20Government/USA%20-%20NASA%20Johnson/2017 08 03 - NASA Johnson - Ocean Moon Glint and City Night Lights in 4K UHD_8HW9gYGMiwo - transcript (automated).pdf","Transcript Link")</f>
        <v>Transcript Link</v>
      </c>
    </row>
    <row r="748" ht="270" spans="1:13">
      <c r="A748" s="1" t="s">
        <v>3286</v>
      </c>
      <c r="B748" s="1" t="s">
        <v>13</v>
      </c>
      <c r="C748" s="4" t="s">
        <v>3287</v>
      </c>
      <c r="D748" s="1" t="s">
        <v>3288</v>
      </c>
      <c r="E748" s="1" t="s">
        <v>3289</v>
      </c>
      <c r="F748" s="4" t="s">
        <v>17</v>
      </c>
      <c r="G748" s="1" t="s">
        <v>18</v>
      </c>
      <c r="H748" s="1" t="s">
        <v>19</v>
      </c>
      <c r="I748" s="1" t="s">
        <v>20</v>
      </c>
      <c r="J748" s="1" t="s">
        <v>3290</v>
      </c>
      <c r="K748" s="1" t="s">
        <v>22</v>
      </c>
      <c r="L748" s="1" t="str">
        <f>HYPERLINK("https://files.afu.se/Downloads/Transcripts/0%20-%20Government/USA%20-%20NASA%20Johnson/2017 08 01 - NASA Johnson - SpeedyTime %233 – Treadmill 2_Msg1DY8z-d4 - transcript (automated).pdf","Transcript Link")</f>
        <v>Transcript Link</v>
      </c>
      <c r="M748" s="2" t="str">
        <f>HYPERLINK("https://files.afu.se/Downloads/Transcripts/0%20-%20Government/USA%20-%20NASA%20Johnson/2017 08 01 - NASA Johnson - SpeedyTime %233 – Treadmill 2_Msg1DY8z-d4 - transcript (automated).pdf","Transcript Link")</f>
        <v>Transcript Link</v>
      </c>
    </row>
    <row r="749" ht="210" spans="1:13">
      <c r="A749" s="1" t="s">
        <v>3291</v>
      </c>
      <c r="B749" s="1" t="s">
        <v>13</v>
      </c>
      <c r="C749" s="4" t="s">
        <v>3292</v>
      </c>
      <c r="D749" s="1" t="s">
        <v>3293</v>
      </c>
      <c r="E749" s="1" t="s">
        <v>3294</v>
      </c>
      <c r="F749" s="4" t="s">
        <v>17</v>
      </c>
      <c r="G749" s="1" t="s">
        <v>18</v>
      </c>
      <c r="H749" s="1" t="s">
        <v>19</v>
      </c>
      <c r="I749" s="1" t="s">
        <v>20</v>
      </c>
      <c r="J749" s="1" t="s">
        <v>3295</v>
      </c>
      <c r="K749" s="1" t="s">
        <v>22</v>
      </c>
      <c r="L749" s="1" t="str">
        <f>HYPERLINK("https://files.afu.se/Downloads/Transcripts/0%20-%20Government/USA%20-%20NASA%20Johnson/2017 07 28 - NASA Johnson - Launch Day in Baikonur_dFBR2fEdRgs - transcript (automated).pdf","Transcript Link")</f>
        <v>Transcript Link</v>
      </c>
      <c r="M749" s="2" t="str">
        <f>HYPERLINK("https://files.afu.se/Downloads/Transcripts/0%20-%20Government/USA%20-%20NASA%20Johnson/2017 07 28 - NASA Johnson - Launch Day in Baikonur_dFBR2fEdRgs - transcript (automated).pdf","Transcript Link")</f>
        <v>Transcript Link</v>
      </c>
    </row>
    <row r="750" ht="180" spans="1:13">
      <c r="A750" s="1" t="s">
        <v>3296</v>
      </c>
      <c r="B750" s="1" t="s">
        <v>13</v>
      </c>
      <c r="C750" s="4" t="s">
        <v>3297</v>
      </c>
      <c r="D750" s="1" t="s">
        <v>3298</v>
      </c>
      <c r="E750" s="1" t="s">
        <v>2929</v>
      </c>
      <c r="F750" s="4" t="s">
        <v>17</v>
      </c>
      <c r="G750" s="1" t="s">
        <v>18</v>
      </c>
      <c r="H750" s="1" t="s">
        <v>19</v>
      </c>
      <c r="I750" s="1" t="s">
        <v>20</v>
      </c>
      <c r="J750" s="1" t="s">
        <v>3299</v>
      </c>
      <c r="K750" s="1" t="s">
        <v>22</v>
      </c>
      <c r="L750" s="1" t="str">
        <f>HYPERLINK("https://files.afu.se/Downloads/Transcripts/0%20-%20Government/USA%20-%20NASA%20Johnson/2017 07 27 - NASA Johnson - Space to Ground  A New Method  07 27 2017_oQ4jAlZGcPo - transcript (automated).pdf","Transcript Link")</f>
        <v>Transcript Link</v>
      </c>
      <c r="M750" s="2" t="str">
        <f>HYPERLINK("https://files.afu.se/Downloads/Transcripts/0%20-%20Government/USA%20-%20NASA%20Johnson/2017 07 27 - NASA Johnson - Space to Ground  A New Method  07 27 2017_oQ4jAlZGcPo - transcript (automated).pdf","Transcript Link")</f>
        <v>Transcript Link</v>
      </c>
    </row>
    <row r="751" ht="390" spans="1:13">
      <c r="A751" s="1" t="s">
        <v>3296</v>
      </c>
      <c r="B751" s="1" t="s">
        <v>13</v>
      </c>
      <c r="C751" s="4" t="s">
        <v>3300</v>
      </c>
      <c r="D751" s="1" t="s">
        <v>3301</v>
      </c>
      <c r="E751" s="1" t="s">
        <v>3302</v>
      </c>
      <c r="F751" s="4" t="s">
        <v>17</v>
      </c>
      <c r="G751" s="1" t="s">
        <v>18</v>
      </c>
      <c r="H751" s="1" t="s">
        <v>19</v>
      </c>
      <c r="I751" s="1" t="s">
        <v>20</v>
      </c>
      <c r="J751" s="1" t="s">
        <v>3303</v>
      </c>
      <c r="K751" s="1" t="s">
        <v>22</v>
      </c>
      <c r="L751" s="1" t="str">
        <f>HYPERLINK("https://files.afu.se/Downloads/Transcripts/0%20-%20Government/USA%20-%20NASA%20Johnson/2017 07 27 - NASA Johnson - Astronaut Randy Bresnik  Extreme Exploration_b3YT4o78x8U - transcript (automated).pdf","Transcript Link")</f>
        <v>Transcript Link</v>
      </c>
      <c r="M751" s="2" t="str">
        <f>HYPERLINK("https://files.afu.se/Downloads/Transcripts/0%20-%20Government/USA%20-%20NASA%20Johnson/2017 07 27 - NASA Johnson - Astronaut Randy Bresnik  Extreme Exploration_b3YT4o78x8U - transcript (automated).pdf","Transcript Link")</f>
        <v>Transcript Link</v>
      </c>
    </row>
    <row r="752" ht="180" spans="1:13">
      <c r="A752" s="1" t="s">
        <v>3304</v>
      </c>
      <c r="B752" s="1" t="s">
        <v>13</v>
      </c>
      <c r="C752" s="4" t="s">
        <v>3305</v>
      </c>
      <c r="D752" s="1" t="s">
        <v>3306</v>
      </c>
      <c r="E752" s="1" t="s">
        <v>3307</v>
      </c>
      <c r="F752" s="4" t="s">
        <v>17</v>
      </c>
      <c r="G752" s="1" t="s">
        <v>18</v>
      </c>
      <c r="H752" s="1" t="s">
        <v>19</v>
      </c>
      <c r="I752" s="1" t="s">
        <v>20</v>
      </c>
      <c r="J752" s="1" t="s">
        <v>3308</v>
      </c>
      <c r="K752" s="1" t="s">
        <v>22</v>
      </c>
      <c r="L752" s="1" t="str">
        <f>HYPERLINK("https://files.afu.se/Downloads/Transcripts/0%20-%20Government/USA%20-%20NASA%20Johnson/2017 07 26 - NASA Johnson - Expedition 52 53 Soyuz Mating And Rollout_S7Gg4GKcuLU - transcript (automated).pdf","Transcript Link")</f>
        <v>Transcript Link</v>
      </c>
      <c r="M752" s="2" t="str">
        <f>HYPERLINK("https://files.afu.se/Downloads/Transcripts/0%20-%20Government/USA%20-%20NASA%20Johnson/2017 07 26 - NASA Johnson - Expedition 52 53 Soyuz Mating And Rollout_S7Gg4GKcuLU - transcript (automated).pdf","Transcript Link")</f>
        <v>Transcript Link</v>
      </c>
    </row>
    <row r="753" ht="315" spans="1:13">
      <c r="A753" s="1" t="s">
        <v>3304</v>
      </c>
      <c r="B753" s="1" t="s">
        <v>13</v>
      </c>
      <c r="C753" s="4" t="s">
        <v>3309</v>
      </c>
      <c r="D753" s="1" t="s">
        <v>3310</v>
      </c>
      <c r="E753" s="1" t="s">
        <v>3311</v>
      </c>
      <c r="F753" s="4" t="s">
        <v>17</v>
      </c>
      <c r="G753" s="1" t="s">
        <v>18</v>
      </c>
      <c r="H753" s="1" t="s">
        <v>19</v>
      </c>
      <c r="I753" s="1" t="s">
        <v>20</v>
      </c>
      <c r="J753" s="1" t="s">
        <v>3312</v>
      </c>
      <c r="K753" s="1" t="s">
        <v>22</v>
      </c>
      <c r="L753" s="1" t="str">
        <f>HYPERLINK("https://files.afu.se/Downloads/Transcripts/0%20-%20Government/USA%20-%20NASA%20Johnson/2017 07 26 - NASA Johnson - 5 Things You Didn't Know About Astronaut Randy Bresnik_-2VGSa7DMZE - transcript (automated).pdf","Transcript Link")</f>
        <v>Transcript Link</v>
      </c>
      <c r="M753" s="2" t="str">
        <f>HYPERLINK("https://files.afu.se/Downloads/Transcripts/0%20-%20Government/USA%20-%20NASA%20Johnson/2017 07 26 - NASA Johnson - 5 Things You Didn't Know About Astronaut Randy Bresnik_-2VGSa7DMZE - transcript (automated).pdf","Transcript Link")</f>
        <v>Transcript Link</v>
      </c>
    </row>
    <row r="754" ht="270" spans="1:13">
      <c r="A754" s="1" t="s">
        <v>3304</v>
      </c>
      <c r="B754" s="1" t="s">
        <v>13</v>
      </c>
      <c r="C754" s="4" t="s">
        <v>3313</v>
      </c>
      <c r="D754" s="1" t="s">
        <v>3314</v>
      </c>
      <c r="E754" s="1" t="s">
        <v>3315</v>
      </c>
      <c r="F754" s="4" t="s">
        <v>17</v>
      </c>
      <c r="G754" s="1" t="s">
        <v>18</v>
      </c>
      <c r="H754" s="1" t="s">
        <v>19</v>
      </c>
      <c r="I754" s="1" t="s">
        <v>20</v>
      </c>
      <c r="J754" s="1" t="s">
        <v>3316</v>
      </c>
      <c r="K754" s="1" t="s">
        <v>22</v>
      </c>
      <c r="L754" s="1" t="str">
        <f>HYPERLINK("https://files.afu.se/Downloads/Transcripts/0%20-%20Government/USA%20-%20NASA%20Johnson/2017 07 26 - NASA Johnson - Expedition 52   53 Crew Prepares For Launch_0u1N3y8kmaU - transcript (automated).pdf","Transcript Link")</f>
        <v>Transcript Link</v>
      </c>
      <c r="M754" s="2" t="str">
        <f>HYPERLINK("https://files.afu.se/Downloads/Transcripts/0%20-%20Government/USA%20-%20NASA%20Johnson/2017 07 26 - NASA Johnson - Expedition 52   53 Crew Prepares For Launch_0u1N3y8kmaU - transcript (automated).pdf","Transcript Link")</f>
        <v>Transcript Link</v>
      </c>
    </row>
    <row r="755" ht="409.5" spans="1:13">
      <c r="A755" s="1" t="s">
        <v>3304</v>
      </c>
      <c r="B755" s="1" t="s">
        <v>13</v>
      </c>
      <c r="C755" s="4" t="s">
        <v>3317</v>
      </c>
      <c r="D755" s="1" t="s">
        <v>3318</v>
      </c>
      <c r="E755" s="1" t="s">
        <v>3319</v>
      </c>
      <c r="F755" s="4" t="s">
        <v>17</v>
      </c>
      <c r="G755" s="1" t="s">
        <v>18</v>
      </c>
      <c r="H755" s="1" t="s">
        <v>19</v>
      </c>
      <c r="I755" s="1" t="s">
        <v>20</v>
      </c>
      <c r="J755" s="1" t="s">
        <v>3320</v>
      </c>
      <c r="K755" s="1" t="s">
        <v>22</v>
      </c>
      <c r="L755" s="1" t="str">
        <f>HYPERLINK("https://files.afu.se/Downloads/Transcripts/0%20-%20Government/USA%20-%20NASA%20Johnson/2017 07 26 - NASA Johnson - Looking at Vision Loss_axy5EJtXr34 - transcript (automated).pdf","Transcript Link")</f>
        <v>Transcript Link</v>
      </c>
      <c r="M755" s="2" t="str">
        <f>HYPERLINK("https://files.afu.se/Downloads/Transcripts/0%20-%20Government/USA%20-%20NASA%20Johnson/2017 07 26 - NASA Johnson - Looking at Vision Loss_axy5EJtXr34 - transcript (automated).pdf","Transcript Link")</f>
        <v>Transcript Link</v>
      </c>
    </row>
    <row r="756" ht="180" spans="1:13">
      <c r="A756" s="1" t="s">
        <v>3321</v>
      </c>
      <c r="B756" s="1" t="s">
        <v>13</v>
      </c>
      <c r="C756" s="4" t="s">
        <v>3322</v>
      </c>
      <c r="D756" s="1" t="s">
        <v>3323</v>
      </c>
      <c r="E756" s="1" t="s">
        <v>3324</v>
      </c>
      <c r="F756" s="4" t="s">
        <v>17</v>
      </c>
      <c r="G756" s="1" t="s">
        <v>18</v>
      </c>
      <c r="H756" s="1" t="s">
        <v>19</v>
      </c>
      <c r="I756" s="1" t="s">
        <v>20</v>
      </c>
      <c r="J756" s="1" t="s">
        <v>3325</v>
      </c>
      <c r="K756" s="1" t="s">
        <v>22</v>
      </c>
      <c r="L756" s="1" t="str">
        <f>HYPERLINK("https://files.afu.se/Downloads/Transcripts/0%20-%20Government/USA%20-%20NASA%20Johnson/2017 07 25 - NASA Johnson - Expedition 52-53 Crew Prepares for Launch in Kazakhstan_KtM00ZY8Rxw - transcript (automated).pdf","Transcript Link")</f>
        <v>Transcript Link</v>
      </c>
      <c r="M756" s="2" t="str">
        <f>HYPERLINK("https://files.afu.se/Downloads/Transcripts/0%20-%20Government/USA%20-%20NASA%20Johnson/2017 07 25 - NASA Johnson - Expedition 52-53 Crew Prepares for Launch in Kazakhstan_KtM00ZY8Rxw - transcript (automated).pdf","Transcript Link")</f>
        <v>Transcript Link</v>
      </c>
    </row>
    <row r="757" ht="300" spans="1:13">
      <c r="A757" s="1" t="s">
        <v>3326</v>
      </c>
      <c r="B757" s="1" t="s">
        <v>13</v>
      </c>
      <c r="C757" s="4" t="s">
        <v>3327</v>
      </c>
      <c r="D757" s="1" t="s">
        <v>3328</v>
      </c>
      <c r="E757" s="1" t="s">
        <v>3329</v>
      </c>
      <c r="F757" s="4" t="s">
        <v>17</v>
      </c>
      <c r="G757" s="1" t="s">
        <v>18</v>
      </c>
      <c r="H757" s="1" t="s">
        <v>19</v>
      </c>
      <c r="I757" s="1" t="s">
        <v>20</v>
      </c>
      <c r="J757" s="1" t="s">
        <v>3330</v>
      </c>
      <c r="K757" s="1" t="s">
        <v>22</v>
      </c>
      <c r="L757" s="1" t="str">
        <f>HYPERLINK("https://files.afu.se/Downloads/Transcripts/0%20-%20Government/USA%20-%20NASA%20Johnson/2017 07 24 - NASA Johnson - Spacewalking in Ultra High-Definition_efzQJrgo_Wc - transcript (automated).pdf","Transcript Link")</f>
        <v>Transcript Link</v>
      </c>
      <c r="M757" s="2" t="str">
        <f>HYPERLINK("https://files.afu.se/Downloads/Transcripts/0%20-%20Government/USA%20-%20NASA%20Johnson/2017 07 24 - NASA Johnson - Spacewalking in Ultra High-Definition_efzQJrgo_Wc - transcript (automated).pdf","Transcript Link")</f>
        <v>Transcript Link</v>
      </c>
    </row>
    <row r="758" ht="270" spans="1:13">
      <c r="A758" s="1" t="s">
        <v>3331</v>
      </c>
      <c r="B758" s="1" t="s">
        <v>13</v>
      </c>
      <c r="C758" s="4" t="s">
        <v>3332</v>
      </c>
      <c r="D758" s="1" t="s">
        <v>3333</v>
      </c>
      <c r="E758" s="1" t="s">
        <v>3334</v>
      </c>
      <c r="F758" s="4" t="s">
        <v>17</v>
      </c>
      <c r="G758" s="1" t="s">
        <v>18</v>
      </c>
      <c r="H758" s="1" t="s">
        <v>19</v>
      </c>
      <c r="I758" s="1" t="s">
        <v>20</v>
      </c>
      <c r="J758" s="1" t="s">
        <v>3335</v>
      </c>
      <c r="K758" s="1" t="s">
        <v>22</v>
      </c>
      <c r="L758" s="1" t="str">
        <f>HYPERLINK("https://files.afu.se/Downloads/Transcripts/0%20-%20Government/USA%20-%20NASA%20Johnson/2017 07 21 - NASA Johnson - SpeedyTime %232 – Advanced Resistive Exercise Device_6ycA8OpB_Tg - transcript (automated).pdf","Transcript Link")</f>
        <v>Transcript Link</v>
      </c>
      <c r="M758" s="2" t="str">
        <f>HYPERLINK("https://files.afu.se/Downloads/Transcripts/0%20-%20Government/USA%20-%20NASA%20Johnson/2017 07 21 - NASA Johnson - SpeedyTime %232 – Advanced Resistive Exercise Device_6ycA8OpB_Tg - transcript (automated).pdf","Transcript Link")</f>
        <v>Transcript Link</v>
      </c>
    </row>
    <row r="759" ht="180" spans="1:13">
      <c r="A759" s="1" t="s">
        <v>3331</v>
      </c>
      <c r="B759" s="1" t="s">
        <v>13</v>
      </c>
      <c r="C759" s="4" t="s">
        <v>3336</v>
      </c>
      <c r="D759" s="1" t="s">
        <v>3337</v>
      </c>
      <c r="E759" s="1" t="s">
        <v>2929</v>
      </c>
      <c r="F759" s="4" t="s">
        <v>17</v>
      </c>
      <c r="G759" s="1" t="s">
        <v>18</v>
      </c>
      <c r="H759" s="1" t="s">
        <v>19</v>
      </c>
      <c r="I759" s="1" t="s">
        <v>20</v>
      </c>
      <c r="J759" s="1" t="s">
        <v>3338</v>
      </c>
      <c r="K759" s="1" t="s">
        <v>22</v>
      </c>
      <c r="L759" s="1" t="str">
        <f>HYPERLINK("https://files.afu.se/Downloads/Transcripts/0%20-%20Government/USA%20-%20NASA%20Johnson/2017 07 21 - NASA Johnson - Space to Ground  A Giant Leap  07 21 2017_m9zAK-ut-ZM - transcript (automated).pdf","Transcript Link")</f>
        <v>Transcript Link</v>
      </c>
      <c r="M759" s="2" t="str">
        <f>HYPERLINK("https://files.afu.se/Downloads/Transcripts/0%20-%20Government/USA%20-%20NASA%20Johnson/2017 07 21 - NASA Johnson - Space to Ground  A Giant Leap  07 21 2017_m9zAK-ut-ZM - transcript (automated).pdf","Transcript Link")</f>
        <v>Transcript Link</v>
      </c>
    </row>
    <row r="760" ht="195" spans="1:13">
      <c r="A760" s="1" t="s">
        <v>3339</v>
      </c>
      <c r="B760" s="1" t="s">
        <v>13</v>
      </c>
      <c r="C760" s="4" t="s">
        <v>3340</v>
      </c>
      <c r="D760" s="1" t="s">
        <v>3341</v>
      </c>
      <c r="E760" s="1" t="s">
        <v>3342</v>
      </c>
      <c r="F760" s="4" t="s">
        <v>17</v>
      </c>
      <c r="G760" s="1" t="s">
        <v>18</v>
      </c>
      <c r="H760" s="1" t="s">
        <v>19</v>
      </c>
      <c r="I760" s="1" t="s">
        <v>20</v>
      </c>
      <c r="J760" s="1" t="s">
        <v>3343</v>
      </c>
      <c r="K760" s="1" t="s">
        <v>22</v>
      </c>
      <c r="L760" s="1" t="str">
        <f>HYPERLINK("https://files.afu.se/Downloads/Transcripts/0%20-%20Government/USA%20-%20NASA%20Johnson/2017 07 20 - NASA Johnson - NASA Tests Orion Crew Exit Plans in Gulf of Mexico_ldmZnq9olYA - transcript (automated).pdf","Transcript Link")</f>
        <v>Transcript Link</v>
      </c>
      <c r="M760" s="2" t="str">
        <f>HYPERLINK("https://files.afu.se/Downloads/Transcripts/0%20-%20Government/USA%20-%20NASA%20Johnson/2017 07 20 - NASA Johnson - NASA Tests Orion Crew Exit Plans in Gulf of Mexico_ldmZnq9olYA - transcript (automated).pdf","Transcript Link")</f>
        <v>Transcript Link</v>
      </c>
    </row>
    <row r="761" ht="409.5" spans="1:13">
      <c r="A761" s="1" t="s">
        <v>3339</v>
      </c>
      <c r="B761" s="1" t="s">
        <v>13</v>
      </c>
      <c r="C761" s="4" t="s">
        <v>3344</v>
      </c>
      <c r="D761" s="1" t="s">
        <v>3345</v>
      </c>
      <c r="E761" s="1" t="s">
        <v>3346</v>
      </c>
      <c r="F761" s="4" t="s">
        <v>17</v>
      </c>
      <c r="G761" s="1" t="s">
        <v>18</v>
      </c>
      <c r="H761" s="1" t="s">
        <v>19</v>
      </c>
      <c r="I761" s="1" t="s">
        <v>20</v>
      </c>
      <c r="J761" s="1" t="s">
        <v>3347</v>
      </c>
      <c r="K761" s="1" t="s">
        <v>22</v>
      </c>
      <c r="L761" s="1" t="str">
        <f>HYPERLINK("https://files.afu.se/Downloads/Transcripts/0%20-%20Government/USA%20-%20NASA%20Johnson/2017 07 20 - NASA Johnson - NASA Cribs  Human Exploration Research Analog_wuobYNaR31w - transcript (automated).pdf","Transcript Link")</f>
        <v>Transcript Link</v>
      </c>
      <c r="M761" s="2" t="str">
        <f>HYPERLINK("https://files.afu.se/Downloads/Transcripts/0%20-%20Government/USA%20-%20NASA%20Johnson/2017 07 20 - NASA Johnson - NASA Cribs  Human Exploration Research Analog_wuobYNaR31w - transcript (automated).pdf","Transcript Link")</f>
        <v>Transcript Link</v>
      </c>
    </row>
    <row r="762" ht="300" spans="1:13">
      <c r="A762" s="1" t="s">
        <v>3339</v>
      </c>
      <c r="B762" s="1" t="s">
        <v>13</v>
      </c>
      <c r="C762" s="4" t="s">
        <v>3348</v>
      </c>
      <c r="D762" s="1" t="s">
        <v>3349</v>
      </c>
      <c r="E762" s="1" t="s">
        <v>3350</v>
      </c>
      <c r="F762" s="4" t="s">
        <v>17</v>
      </c>
      <c r="G762" s="1" t="s">
        <v>18</v>
      </c>
      <c r="H762" s="1" t="s">
        <v>19</v>
      </c>
      <c r="I762" s="1" t="s">
        <v>20</v>
      </c>
      <c r="J762" s="1" t="s">
        <v>3351</v>
      </c>
      <c r="K762" s="1" t="s">
        <v>22</v>
      </c>
      <c r="L762" s="1" t="str">
        <f>HYPERLINK("https://files.afu.se/Downloads/Transcripts/0%20-%20Government/USA%20-%20NASA%20Johnson/2017 07 20 - NASA Johnson - Why Try Science in Microgravity_n2OTVQWJ2Qw - transcript (automated).pdf","Transcript Link")</f>
        <v>Transcript Link</v>
      </c>
      <c r="M762" s="2" t="str">
        <f>HYPERLINK("https://files.afu.se/Downloads/Transcripts/0%20-%20Government/USA%20-%20NASA%20Johnson/2017 07 20 - NASA Johnson - Why Try Science in Microgravity_n2OTVQWJ2Qw - transcript (automated).pdf","Transcript Link")</f>
        <v>Transcript Link</v>
      </c>
    </row>
    <row r="763" ht="345" spans="1:13">
      <c r="A763" s="1" t="s">
        <v>3352</v>
      </c>
      <c r="B763" s="1" t="s">
        <v>13</v>
      </c>
      <c r="C763" s="4" t="s">
        <v>3353</v>
      </c>
      <c r="D763" s="1" t="s">
        <v>3354</v>
      </c>
      <c r="E763" s="1" t="s">
        <v>3355</v>
      </c>
      <c r="F763" s="4" t="s">
        <v>17</v>
      </c>
      <c r="G763" s="1" t="s">
        <v>18</v>
      </c>
      <c r="H763" s="1" t="s">
        <v>19</v>
      </c>
      <c r="I763" s="1" t="s">
        <v>20</v>
      </c>
      <c r="J763" s="1" t="s">
        <v>3356</v>
      </c>
      <c r="K763" s="1" t="s">
        <v>22</v>
      </c>
      <c r="L763" s="1" t="str">
        <f>HYPERLINK("https://files.afu.se/Downloads/Transcripts/0%20-%20Government/USA%20-%20NASA%20Johnson/2017 07 19 - NASA Johnson - ISS As A National Lab_FyGCWUzbWao - transcript (automated).pdf","Transcript Link")</f>
        <v>Transcript Link</v>
      </c>
      <c r="M763" s="2" t="str">
        <f>HYPERLINK("https://files.afu.se/Downloads/Transcripts/0%20-%20Government/USA%20-%20NASA%20Johnson/2017 07 19 - NASA Johnson - ISS As A National Lab_FyGCWUzbWao - transcript (automated).pdf","Transcript Link")</f>
        <v>Transcript Link</v>
      </c>
    </row>
    <row r="764" ht="180" spans="1:13">
      <c r="A764" s="1" t="s">
        <v>3357</v>
      </c>
      <c r="B764" s="1" t="s">
        <v>13</v>
      </c>
      <c r="C764" s="4" t="s">
        <v>3358</v>
      </c>
      <c r="D764" s="1" t="s">
        <v>3359</v>
      </c>
      <c r="E764" s="1" t="s">
        <v>3360</v>
      </c>
      <c r="F764" s="4" t="s">
        <v>17</v>
      </c>
      <c r="G764" s="1" t="s">
        <v>18</v>
      </c>
      <c r="H764" s="1" t="s">
        <v>19</v>
      </c>
      <c r="I764" s="1" t="s">
        <v>20</v>
      </c>
      <c r="J764" s="1" t="s">
        <v>3361</v>
      </c>
      <c r="K764" s="1" t="s">
        <v>22</v>
      </c>
      <c r="L764" s="1" t="str">
        <f>HYPERLINK("https://files.afu.se/Downloads/Transcripts/0%20-%20Government/USA%20-%20NASA%20Johnson/2017 07 18 - NASA Johnson - International Space Station  Creating Benefits for Humanity_gv4sOEXrxtQ - transcript (automated).pdf","Transcript Link")</f>
        <v>Transcript Link</v>
      </c>
      <c r="M764" s="2" t="str">
        <f>HYPERLINK("https://files.afu.se/Downloads/Transcripts/0%20-%20Government/USA%20-%20NASA%20Johnson/2017 07 18 - NASA Johnson - International Space Station  Creating Benefits for Humanity_gv4sOEXrxtQ - transcript (automated).pdf","Transcript Link")</f>
        <v>Transcript Link</v>
      </c>
    </row>
    <row r="765" ht="255" spans="1:13">
      <c r="A765" s="1" t="s">
        <v>3357</v>
      </c>
      <c r="B765" s="1" t="s">
        <v>13</v>
      </c>
      <c r="C765" s="4" t="s">
        <v>3362</v>
      </c>
      <c r="D765" s="1" t="s">
        <v>3363</v>
      </c>
      <c r="E765" s="1" t="s">
        <v>3364</v>
      </c>
      <c r="F765" s="4" t="s">
        <v>17</v>
      </c>
      <c r="G765" s="1" t="s">
        <v>18</v>
      </c>
      <c r="H765" s="1" t="s">
        <v>19</v>
      </c>
      <c r="I765" s="1" t="s">
        <v>20</v>
      </c>
      <c r="J765" s="1" t="s">
        <v>3365</v>
      </c>
      <c r="K765" s="1" t="s">
        <v>22</v>
      </c>
      <c r="L765" s="1" t="str">
        <f>HYPERLINK("https://files.afu.se/Downloads/Transcripts/0%20-%20Government/USA%20-%20NASA%20Johnson/2017 07 18 - NASA Johnson - Innovation Beyond Boundaries_RKAknU9jN6E - transcript (automated).pdf","Transcript Link")</f>
        <v>Transcript Link</v>
      </c>
      <c r="M765" s="2" t="str">
        <f>HYPERLINK("https://files.afu.se/Downloads/Transcripts/0%20-%20Government/USA%20-%20NASA%20Johnson/2017 07 18 - NASA Johnson - Innovation Beyond Boundaries_RKAknU9jN6E - transcript (automated).pdf","Transcript Link")</f>
        <v>Transcript Link</v>
      </c>
    </row>
    <row r="766" ht="300" spans="1:13">
      <c r="A766" s="1" t="s">
        <v>3366</v>
      </c>
      <c r="B766" s="1" t="s">
        <v>13</v>
      </c>
      <c r="C766" s="4" t="s">
        <v>3367</v>
      </c>
      <c r="D766" s="1" t="s">
        <v>3368</v>
      </c>
      <c r="E766" s="1" t="s">
        <v>3369</v>
      </c>
      <c r="F766" s="4" t="s">
        <v>17</v>
      </c>
      <c r="G766" s="1" t="s">
        <v>18</v>
      </c>
      <c r="H766" s="1" t="s">
        <v>19</v>
      </c>
      <c r="I766" s="1" t="s">
        <v>20</v>
      </c>
      <c r="J766" s="1" t="s">
        <v>3370</v>
      </c>
      <c r="K766" s="1" t="s">
        <v>22</v>
      </c>
      <c r="L766" s="1" t="str">
        <f>HYPERLINK("https://files.afu.se/Downloads/Transcripts/0%20-%20Government/USA%20-%20NASA%20Johnson/2017 07 17 - NASA Johnson - Europe from Space in 4K_5ONm6r7kiD0 - transcript (automated).pdf","Transcript Link")</f>
        <v>Transcript Link</v>
      </c>
      <c r="M766" s="2" t="str">
        <f>HYPERLINK("https://files.afu.se/Downloads/Transcripts/0%20-%20Government/USA%20-%20NASA%20Johnson/2017 07 17 - NASA Johnson - Europe from Space in 4K_5ONm6r7kiD0 - transcript (automated).pdf","Transcript Link")</f>
        <v>Transcript Link</v>
      </c>
    </row>
    <row r="767" ht="225" spans="1:13">
      <c r="A767" s="1" t="s">
        <v>3371</v>
      </c>
      <c r="B767" s="1" t="s">
        <v>13</v>
      </c>
      <c r="C767" s="4" t="s">
        <v>3372</v>
      </c>
      <c r="D767" s="1" t="s">
        <v>3373</v>
      </c>
      <c r="E767" s="1" t="s">
        <v>3374</v>
      </c>
      <c r="F767" s="4" t="s">
        <v>17</v>
      </c>
      <c r="G767" s="1" t="s">
        <v>18</v>
      </c>
      <c r="H767" s="1" t="s">
        <v>19</v>
      </c>
      <c r="I767" s="1" t="s">
        <v>20</v>
      </c>
      <c r="J767" s="1" t="s">
        <v>3375</v>
      </c>
      <c r="K767" s="1" t="s">
        <v>22</v>
      </c>
      <c r="L767" s="1" t="str">
        <f>HYPERLINK("https://files.afu.se/Downloads/Transcripts/0%20-%20Government/USA%20-%20NASA%20Johnson/2017 07 14 - NASA Johnson - SpeedyTime %231 - Kibo Airlock_bNxZhrIrV78 - transcript (automated).pdf","Transcript Link")</f>
        <v>Transcript Link</v>
      </c>
      <c r="M767" s="2" t="str">
        <f>HYPERLINK("https://files.afu.se/Downloads/Transcripts/0%20-%20Government/USA%20-%20NASA%20Johnson/2017 07 14 - NASA Johnson - SpeedyTime %231 - Kibo Airlock_bNxZhrIrV78 - transcript (automated).pdf","Transcript Link")</f>
        <v>Transcript Link</v>
      </c>
    </row>
    <row r="768" ht="180" spans="1:13">
      <c r="A768" s="1" t="s">
        <v>3371</v>
      </c>
      <c r="B768" s="1" t="s">
        <v>13</v>
      </c>
      <c r="C768" s="4" t="s">
        <v>3376</v>
      </c>
      <c r="D768" s="1" t="s">
        <v>3377</v>
      </c>
      <c r="E768" s="1" t="s">
        <v>2929</v>
      </c>
      <c r="F768" s="4" t="s">
        <v>17</v>
      </c>
      <c r="G768" s="1" t="s">
        <v>18</v>
      </c>
      <c r="H768" s="1" t="s">
        <v>19</v>
      </c>
      <c r="I768" s="1" t="s">
        <v>20</v>
      </c>
      <c r="J768" s="1" t="s">
        <v>3378</v>
      </c>
      <c r="K768" s="1" t="s">
        <v>22</v>
      </c>
      <c r="L768" s="1" t="str">
        <f>HYPERLINK("https://files.afu.se/Downloads/Transcripts/0%20-%20Government/USA%20-%20NASA%20Johnson/2017 07 14 - NASA Johnson - Space to Ground  Summer Road Trip  07 14 2017_u0aOkOx3u2Q - transcript (automated).pdf","Transcript Link")</f>
        <v>Transcript Link</v>
      </c>
      <c r="M768" s="2" t="str">
        <f>HYPERLINK("https://files.afu.se/Downloads/Transcripts/0%20-%20Government/USA%20-%20NASA%20Johnson/2017 07 14 - NASA Johnson - Space to Ground  Summer Road Trip  07 14 2017_u0aOkOx3u2Q - transcript (automated).pdf","Transcript Link")</f>
        <v>Transcript Link</v>
      </c>
    </row>
    <row r="769" ht="409.5" spans="1:13">
      <c r="A769" s="1" t="s">
        <v>3379</v>
      </c>
      <c r="B769" s="1" t="s">
        <v>13</v>
      </c>
      <c r="C769" s="4" t="s">
        <v>3380</v>
      </c>
      <c r="D769" s="1" t="s">
        <v>3381</v>
      </c>
      <c r="E769" s="1" t="s">
        <v>3382</v>
      </c>
      <c r="F769" s="4" t="s">
        <v>17</v>
      </c>
      <c r="G769" s="1" t="s">
        <v>18</v>
      </c>
      <c r="H769" s="1" t="s">
        <v>19</v>
      </c>
      <c r="I769" s="1" t="s">
        <v>20</v>
      </c>
      <c r="J769" s="1" t="s">
        <v>3383</v>
      </c>
      <c r="K769" s="1" t="s">
        <v>22</v>
      </c>
      <c r="L769" s="1" t="str">
        <f>HYPERLINK("https://files.afu.se/Downloads/Transcripts/0%20-%20Government/USA%20-%20NASA%20Johnson/2017 07 13 - NASA Johnson - Astronaut Moments  Randy Bresnik_DCw3eoBvRtI - transcript (automated).pdf","Transcript Link")</f>
        <v>Transcript Link</v>
      </c>
      <c r="M769" s="2" t="str">
        <f>HYPERLINK("https://files.afu.se/Downloads/Transcripts/0%20-%20Government/USA%20-%20NASA%20Johnson/2017 07 13 - NASA Johnson - Astronaut Moments  Randy Bresnik_DCw3eoBvRtI - transcript (automated).pdf","Transcript Link")</f>
        <v>Transcript Link</v>
      </c>
    </row>
    <row r="770" ht="409.5" spans="1:13">
      <c r="A770" s="1" t="s">
        <v>3384</v>
      </c>
      <c r="B770" s="1" t="s">
        <v>13</v>
      </c>
      <c r="C770" s="4" t="s">
        <v>3385</v>
      </c>
      <c r="D770" s="1" t="s">
        <v>3386</v>
      </c>
      <c r="E770" s="1" t="s">
        <v>3387</v>
      </c>
      <c r="F770" s="4" t="s">
        <v>17</v>
      </c>
      <c r="G770" s="1" t="s">
        <v>18</v>
      </c>
      <c r="H770" s="1" t="s">
        <v>19</v>
      </c>
      <c r="I770" s="1" t="s">
        <v>20</v>
      </c>
      <c r="J770" s="1" t="s">
        <v>3388</v>
      </c>
      <c r="K770" s="1" t="s">
        <v>22</v>
      </c>
      <c r="L770" s="1" t="str">
        <f>HYPERLINK("https://files.afu.se/Downloads/Transcripts/0%20-%20Government/USA%20-%20NASA%20Johnson/2017 07 12 - NASA Johnson - Imaging Earth with MUSES_nPrfOaKJ3L0 - transcript (automated).pdf","Transcript Link")</f>
        <v>Transcript Link</v>
      </c>
      <c r="M770" s="2" t="str">
        <f>HYPERLINK("https://files.afu.se/Downloads/Transcripts/0%20-%20Government/USA%20-%20NASA%20Johnson/2017 07 12 - NASA Johnson - Imaging Earth with MUSES_nPrfOaKJ3L0 - transcript (automated).pdf","Transcript Link")</f>
        <v>Transcript Link</v>
      </c>
    </row>
    <row r="771" ht="315" spans="1:13">
      <c r="A771" s="1" t="s">
        <v>3389</v>
      </c>
      <c r="B771" s="1" t="s">
        <v>13</v>
      </c>
      <c r="C771" s="4" t="s">
        <v>3390</v>
      </c>
      <c r="D771" s="1" t="s">
        <v>3391</v>
      </c>
      <c r="E771" s="1" t="s">
        <v>3392</v>
      </c>
      <c r="F771" s="4" t="s">
        <v>17</v>
      </c>
      <c r="G771" s="1" t="s">
        <v>18</v>
      </c>
      <c r="H771" s="1" t="s">
        <v>19</v>
      </c>
      <c r="I771" s="1" t="s">
        <v>20</v>
      </c>
      <c r="J771" s="1" t="s">
        <v>3393</v>
      </c>
      <c r="K771" s="1" t="s">
        <v>22</v>
      </c>
      <c r="L771" s="1" t="str">
        <f>HYPERLINK("https://files.afu.se/Downloads/Transcripts/0%20-%20Government/USA%20-%20NASA%20Johnson/2017 07 10 - NASA Johnson - Expedition 52-53 Crew Conducts Traditional Ceremonies_O0qVTOnIhzM - transcript (automated).pdf","Transcript Link")</f>
        <v>Transcript Link</v>
      </c>
      <c r="M771" s="2" t="str">
        <f>HYPERLINK("https://files.afu.se/Downloads/Transcripts/0%20-%20Government/USA%20-%20NASA%20Johnson/2017 07 10 - NASA Johnson - Expedition 52-53 Crew Conducts Traditional Ceremonies_O0qVTOnIhzM - transcript (automated).pdf","Transcript Link")</f>
        <v>Transcript Link</v>
      </c>
    </row>
    <row r="772" ht="270" spans="1:13">
      <c r="A772" s="1" t="s">
        <v>3394</v>
      </c>
      <c r="B772" s="1" t="s">
        <v>13</v>
      </c>
      <c r="C772" s="4" t="s">
        <v>3395</v>
      </c>
      <c r="D772" s="1" t="s">
        <v>3396</v>
      </c>
      <c r="E772" s="1" t="s">
        <v>3397</v>
      </c>
      <c r="F772" s="4" t="s">
        <v>17</v>
      </c>
      <c r="G772" s="1" t="s">
        <v>18</v>
      </c>
      <c r="H772" s="1" t="s">
        <v>19</v>
      </c>
      <c r="I772" s="1" t="s">
        <v>20</v>
      </c>
      <c r="J772" s="1" t="s">
        <v>3398</v>
      </c>
      <c r="K772" s="1" t="s">
        <v>22</v>
      </c>
      <c r="L772" s="1" t="str">
        <f>HYPERLINK("https://files.afu.se/Downloads/Transcripts/0%20-%20Government/USA%20-%20NASA%20Johnson/2017 07 07 - NASA Johnson - Expedition 52   53 Crew Conduct Final Qualification Exams in Russia_TjZVvZq_7wc - transcript (automated).pdf","Transcript Link")</f>
        <v>Transcript Link</v>
      </c>
      <c r="M772" s="2" t="str">
        <f>HYPERLINK("https://files.afu.se/Downloads/Transcripts/0%20-%20Government/USA%20-%20NASA%20Johnson/2017 07 07 - NASA Johnson - Expedition 52   53 Crew Conduct Final Qualification Exams in Russia_TjZVvZq_7wc - transcript (automated).pdf","Transcript Link")</f>
        <v>Transcript Link</v>
      </c>
    </row>
    <row r="773" ht="180" spans="1:13">
      <c r="A773" s="1" t="s">
        <v>3394</v>
      </c>
      <c r="B773" s="1" t="s">
        <v>13</v>
      </c>
      <c r="C773" s="4" t="s">
        <v>3399</v>
      </c>
      <c r="D773" s="1" t="s">
        <v>3400</v>
      </c>
      <c r="E773" s="1" t="s">
        <v>2929</v>
      </c>
      <c r="F773" s="4" t="s">
        <v>17</v>
      </c>
      <c r="G773" s="1" t="s">
        <v>18</v>
      </c>
      <c r="H773" s="1" t="s">
        <v>19</v>
      </c>
      <c r="I773" s="1" t="s">
        <v>20</v>
      </c>
      <c r="J773" s="1" t="s">
        <v>3401</v>
      </c>
      <c r="K773" s="1" t="s">
        <v>22</v>
      </c>
      <c r="L773" s="1" t="str">
        <f>HYPERLINK("https://files.afu.se/Downloads/Transcripts/0%20-%20Government/USA%20-%20NASA%20Johnson/2017 07 07 - NASA Johnson - Space to Ground  Celebrating Freedom  07 07 2017_HZ-CISmPshU - transcript (automated).pdf","Transcript Link")</f>
        <v>Transcript Link</v>
      </c>
      <c r="M773" s="2" t="str">
        <f>HYPERLINK("https://files.afu.se/Downloads/Transcripts/0%20-%20Government/USA%20-%20NASA%20Johnson/2017 07 07 - NASA Johnson - Space to Ground  Celebrating Freedom  07 07 2017_HZ-CISmPshU - transcript (automated).pdf","Transcript Link")</f>
        <v>Transcript Link</v>
      </c>
    </row>
    <row r="774" ht="225" spans="1:13">
      <c r="A774" s="1" t="s">
        <v>3402</v>
      </c>
      <c r="B774" s="1" t="s">
        <v>13</v>
      </c>
      <c r="C774" s="4" t="s">
        <v>3403</v>
      </c>
      <c r="D774" s="1" t="s">
        <v>3404</v>
      </c>
      <c r="E774" s="1" t="s">
        <v>3405</v>
      </c>
      <c r="F774" s="4" t="s">
        <v>17</v>
      </c>
      <c r="G774" s="1" t="s">
        <v>18</v>
      </c>
      <c r="H774" s="1" t="s">
        <v>19</v>
      </c>
      <c r="I774" s="1" t="s">
        <v>20</v>
      </c>
      <c r="J774" s="1" t="s">
        <v>3406</v>
      </c>
      <c r="K774" s="1" t="s">
        <v>22</v>
      </c>
      <c r="L774" s="1" t="str">
        <f>HYPERLINK("https://files.afu.se/Downloads/Transcripts/0%20-%20Government/USA%20-%20NASA%20Johnson/2017 06 30 - NASA Johnson - Gazing at Earth's Light Show from Space_ArHwh3xkEa8 - transcript (automated).pdf","Transcript Link")</f>
        <v>Transcript Link</v>
      </c>
      <c r="M774" s="2" t="str">
        <f>HYPERLINK("https://files.afu.se/Downloads/Transcripts/0%20-%20Government/USA%20-%20NASA%20Johnson/2017 06 30 - NASA Johnson - Gazing at Earth's Light Show from Space_ArHwh3xkEa8 - transcript (automated).pdf","Transcript Link")</f>
        <v>Transcript Link</v>
      </c>
    </row>
    <row r="775" ht="180" spans="1:13">
      <c r="A775" s="1" t="s">
        <v>3402</v>
      </c>
      <c r="B775" s="1" t="s">
        <v>13</v>
      </c>
      <c r="C775" s="4" t="s">
        <v>3407</v>
      </c>
      <c r="D775" s="1" t="s">
        <v>3408</v>
      </c>
      <c r="E775" s="1" t="s">
        <v>2929</v>
      </c>
      <c r="F775" s="4" t="s">
        <v>17</v>
      </c>
      <c r="G775" s="1" t="s">
        <v>18</v>
      </c>
      <c r="H775" s="1" t="s">
        <v>19</v>
      </c>
      <c r="I775" s="1" t="s">
        <v>20</v>
      </c>
      <c r="J775" s="1" t="s">
        <v>3409</v>
      </c>
      <c r="K775" s="1" t="s">
        <v>22</v>
      </c>
      <c r="L775" s="1" t="str">
        <f>HYPERLINK("https://files.afu.se/Downloads/Transcripts/0%20-%20Government/USA%20-%20NASA%20Johnson/2017 06 30 - NASA Johnson - Space to Ground  Solar Array Away!   06 30 2017_hO3Fym3gYMs - transcript (automated).pdf","Transcript Link")</f>
        <v>Transcript Link</v>
      </c>
      <c r="M775" s="2" t="str">
        <f>HYPERLINK("https://files.afu.se/Downloads/Transcripts/0%20-%20Government/USA%20-%20NASA%20Johnson/2017 06 30 - NASA Johnson - Space to Ground  Solar Array Away!   06 30 2017_hO3Fym3gYMs - transcript (automated).pdf","Transcript Link")</f>
        <v>Transcript Link</v>
      </c>
    </row>
    <row r="776" ht="409.5" spans="1:13">
      <c r="A776" s="1" t="s">
        <v>3410</v>
      </c>
      <c r="B776" s="1" t="s">
        <v>13</v>
      </c>
      <c r="C776" s="4" t="s">
        <v>3411</v>
      </c>
      <c r="D776" s="1" t="s">
        <v>3412</v>
      </c>
      <c r="E776" s="1" t="s">
        <v>3413</v>
      </c>
      <c r="F776" s="4" t="s">
        <v>17</v>
      </c>
      <c r="G776" s="1" t="s">
        <v>18</v>
      </c>
      <c r="H776" s="1" t="s">
        <v>19</v>
      </c>
      <c r="I776" s="1" t="s">
        <v>20</v>
      </c>
      <c r="J776" s="1" t="s">
        <v>3414</v>
      </c>
      <c r="K776" s="1" t="s">
        <v>22</v>
      </c>
      <c r="L776" s="1" t="str">
        <f>HYPERLINK("https://files.afu.se/Downloads/Transcripts/0%20-%20Government/USA%20-%20NASA%20Johnson/2017 06 27 - NASA Johnson - Heart to Heart_HTe_obKNCx4 - transcript (automated).pdf","Transcript Link")</f>
        <v>Transcript Link</v>
      </c>
      <c r="M776" s="2" t="str">
        <f>HYPERLINK("https://files.afu.se/Downloads/Transcripts/0%20-%20Government/USA%20-%20NASA%20Johnson/2017 06 27 - NASA Johnson - Heart to Heart_HTe_obKNCx4 - transcript (automated).pdf","Transcript Link")</f>
        <v>Transcript Link</v>
      </c>
    </row>
    <row r="777" ht="315" spans="1:13">
      <c r="A777" s="1" t="s">
        <v>3415</v>
      </c>
      <c r="B777" s="1" t="s">
        <v>13</v>
      </c>
      <c r="C777" s="4" t="s">
        <v>3416</v>
      </c>
      <c r="D777" s="1" t="s">
        <v>3417</v>
      </c>
      <c r="E777" s="1" t="s">
        <v>3418</v>
      </c>
      <c r="F777" s="4" t="s">
        <v>17</v>
      </c>
      <c r="G777" s="1" t="s">
        <v>18</v>
      </c>
      <c r="H777" s="1" t="s">
        <v>19</v>
      </c>
      <c r="I777" s="1" t="s">
        <v>20</v>
      </c>
      <c r="J777" s="1" t="s">
        <v>3419</v>
      </c>
      <c r="K777" s="1" t="s">
        <v>22</v>
      </c>
      <c r="L777" s="1" t="str">
        <f>HYPERLINK("https://files.afu.se/Downloads/Transcripts/0%20-%20Government/USA%20-%20NASA%20Johnson/2017 06 26 - NASA Johnson - Roll-Out Solar Array (ROSA) Jettisoned From Space Station_jATBbjU4IyA - transcript (automated).pdf","Transcript Link")</f>
        <v>Transcript Link</v>
      </c>
      <c r="M777" s="2" t="str">
        <f>HYPERLINK("https://files.afu.se/Downloads/Transcripts/0%20-%20Government/USA%20-%20NASA%20Johnson/2017 06 26 - NASA Johnson - Roll-Out Solar Array (ROSA) Jettisoned From Space Station_jATBbjU4IyA - transcript (automated).pdf","Transcript Link")</f>
        <v>Transcript Link</v>
      </c>
    </row>
    <row r="778" ht="180" spans="1:13">
      <c r="A778" s="1" t="s">
        <v>3420</v>
      </c>
      <c r="B778" s="1" t="s">
        <v>13</v>
      </c>
      <c r="C778" s="4" t="s">
        <v>3421</v>
      </c>
      <c r="D778" s="1" t="s">
        <v>3422</v>
      </c>
      <c r="E778" s="1" t="s">
        <v>2929</v>
      </c>
      <c r="F778" s="4" t="s">
        <v>17</v>
      </c>
      <c r="G778" s="1" t="s">
        <v>18</v>
      </c>
      <c r="H778" s="1" t="s">
        <v>19</v>
      </c>
      <c r="I778" s="1" t="s">
        <v>20</v>
      </c>
      <c r="J778" s="1" t="s">
        <v>3423</v>
      </c>
      <c r="K778" s="1" t="s">
        <v>22</v>
      </c>
      <c r="L778" s="1" t="str">
        <f>HYPERLINK("https://files.afu.se/Downloads/Transcripts/0%20-%20Government/USA%20-%20NASA%20Johnson/2017 06 23 - NASA Johnson - Space to Ground  Roll 'Em  06 23 2017_Kf7JIZ4sfgQ - transcript (automated).pdf","Transcript Link")</f>
        <v>Transcript Link</v>
      </c>
      <c r="M778" s="2" t="str">
        <f>HYPERLINK("https://files.afu.se/Downloads/Transcripts/0%20-%20Government/USA%20-%20NASA%20Johnson/2017 06 23 - NASA Johnson - Space to Ground  Roll 'Em  06 23 2017_Kf7JIZ4sfgQ - transcript (automated).pdf","Transcript Link")</f>
        <v>Transcript Link</v>
      </c>
    </row>
    <row r="779" ht="375" spans="1:13">
      <c r="A779" s="1" t="s">
        <v>3424</v>
      </c>
      <c r="B779" s="1" t="s">
        <v>13</v>
      </c>
      <c r="C779" s="4" t="s">
        <v>3425</v>
      </c>
      <c r="D779" s="1" t="s">
        <v>3426</v>
      </c>
      <c r="E779" s="1" t="s">
        <v>3427</v>
      </c>
      <c r="F779" s="4" t="s">
        <v>17</v>
      </c>
      <c r="G779" s="1" t="s">
        <v>18</v>
      </c>
      <c r="H779" s="1" t="s">
        <v>19</v>
      </c>
      <c r="I779" s="1" t="s">
        <v>20</v>
      </c>
      <c r="J779" s="1" t="s">
        <v>3428</v>
      </c>
      <c r="K779" s="1" t="s">
        <v>22</v>
      </c>
      <c r="L779" s="1" t="str">
        <f>HYPERLINK("https://files.afu.se/Downloads/Transcripts/0%20-%20Government/USA%20-%20NASA%20Johnson/2017 06 19 - NASA Johnson - Roll-Out Solar Array Experiment (ROSA) Deploys on International Space Station_1Pm4MbIwRDw - transcript (automated).pdf","Transcript Link")</f>
        <v>Transcript Link</v>
      </c>
      <c r="M779" s="2" t="str">
        <f>HYPERLINK("https://files.afu.se/Downloads/Transcripts/0%20-%20Government/USA%20-%20NASA%20Johnson/2017 06 19 - NASA Johnson - Roll-Out Solar Array Experiment (ROSA) Deploys on International Space Station_1Pm4MbIwRDw - transcript (automated).pdf","Transcript Link")</f>
        <v>Transcript Link</v>
      </c>
    </row>
    <row r="780" ht="345" spans="1:13">
      <c r="A780" s="1" t="s">
        <v>3429</v>
      </c>
      <c r="B780" s="1" t="s">
        <v>13</v>
      </c>
      <c r="C780" s="4" t="s">
        <v>3430</v>
      </c>
      <c r="D780" s="1" t="s">
        <v>3431</v>
      </c>
      <c r="E780" s="1" t="s">
        <v>3432</v>
      </c>
      <c r="F780" s="4" t="s">
        <v>17</v>
      </c>
      <c r="G780" s="1" t="s">
        <v>18</v>
      </c>
      <c r="H780" s="1" t="s">
        <v>19</v>
      </c>
      <c r="I780" s="1" t="s">
        <v>20</v>
      </c>
      <c r="J780" s="1" t="s">
        <v>3433</v>
      </c>
      <c r="K780" s="1" t="s">
        <v>22</v>
      </c>
      <c r="L780" s="1" t="str">
        <f>HYPERLINK("https://files.afu.se/Downloads/Transcripts/0%20-%20Government/USA%20-%20NASA%20Johnson/2017 06 18 - NASA Johnson - Two Dads, Two Daughters, One Goal_IbS1zGnM9p4 - transcript (automated).pdf","Transcript Link")</f>
        <v>Transcript Link</v>
      </c>
      <c r="M780" s="2" t="str">
        <f>HYPERLINK("https://files.afu.se/Downloads/Transcripts/0%20-%20Government/USA%20-%20NASA%20Johnson/2017 06 18 - NASA Johnson - Two Dads, Two Daughters, One Goal_IbS1zGnM9p4 - transcript (automated).pdf","Transcript Link")</f>
        <v>Transcript Link</v>
      </c>
    </row>
    <row r="781" ht="180" spans="1:13">
      <c r="A781" s="1" t="s">
        <v>3434</v>
      </c>
      <c r="B781" s="1" t="s">
        <v>13</v>
      </c>
      <c r="C781" s="4" t="s">
        <v>3435</v>
      </c>
      <c r="D781" s="1" t="s">
        <v>3436</v>
      </c>
      <c r="E781" s="1" t="s">
        <v>2929</v>
      </c>
      <c r="F781" s="4" t="s">
        <v>17</v>
      </c>
      <c r="G781" s="1" t="s">
        <v>18</v>
      </c>
      <c r="H781" s="1" t="s">
        <v>19</v>
      </c>
      <c r="I781" s="1" t="s">
        <v>20</v>
      </c>
      <c r="J781" s="1" t="s">
        <v>3437</v>
      </c>
      <c r="K781" s="1" t="s">
        <v>22</v>
      </c>
      <c r="L781" s="1" t="str">
        <f>HYPERLINK("https://files.afu.se/Downloads/Transcripts/0%20-%20Government/USA%20-%20NASA%20Johnson/2017 06 16 - NASA Johnson - Space to Ground  A NICER Look  06 16 2017_LADi7Zb-qww - transcript (automated).pdf","Transcript Link")</f>
        <v>Transcript Link</v>
      </c>
      <c r="M781" s="2" t="str">
        <f>HYPERLINK("https://files.afu.se/Downloads/Transcripts/0%20-%20Government/USA%20-%20NASA%20Johnson/2017 06 16 - NASA Johnson - Space to Ground  A NICER Look  06 16 2017_LADi7Zb-qww - transcript (automated).pdf","Transcript Link")</f>
        <v>Transcript Link</v>
      </c>
    </row>
    <row r="782" ht="255" spans="1:13">
      <c r="A782" s="1" t="s">
        <v>3434</v>
      </c>
      <c r="B782" s="1" t="s">
        <v>13</v>
      </c>
      <c r="C782" s="4" t="s">
        <v>3438</v>
      </c>
      <c r="D782" s="1" t="s">
        <v>3439</v>
      </c>
      <c r="E782" s="1" t="s">
        <v>3440</v>
      </c>
      <c r="F782" s="4" t="s">
        <v>17</v>
      </c>
      <c r="G782" s="1" t="s">
        <v>18</v>
      </c>
      <c r="H782" s="1" t="s">
        <v>19</v>
      </c>
      <c r="I782" s="1" t="s">
        <v>20</v>
      </c>
      <c r="J782" s="1" t="s">
        <v>3441</v>
      </c>
      <c r="K782" s="1" t="s">
        <v>22</v>
      </c>
      <c r="L782" s="1" t="str">
        <f>HYPERLINK("https://files.afu.se/Downloads/Transcripts/0%20-%20Government/USA%20-%20NASA%20Johnson/2017 06 16 - NASA Johnson - Learning Space On The Ground_BCe1sAMUC7k - transcript (automated).pdf","Transcript Link")</f>
        <v>Transcript Link</v>
      </c>
      <c r="M782" s="2" t="str">
        <f>HYPERLINK("https://files.afu.se/Downloads/Transcripts/0%20-%20Government/USA%20-%20NASA%20Johnson/2017 06 16 - NASA Johnson - Learning Space On The Ground_BCe1sAMUC7k - transcript (automated).pdf","Transcript Link")</f>
        <v>Transcript Link</v>
      </c>
    </row>
    <row r="783" ht="330" spans="1:13">
      <c r="A783" s="1" t="s">
        <v>3442</v>
      </c>
      <c r="B783" s="1" t="s">
        <v>13</v>
      </c>
      <c r="C783" s="4" t="s">
        <v>3443</v>
      </c>
      <c r="D783" s="1" t="s">
        <v>3444</v>
      </c>
      <c r="E783" s="1" t="s">
        <v>3445</v>
      </c>
      <c r="F783" s="4" t="s">
        <v>17</v>
      </c>
      <c r="G783" s="1" t="s">
        <v>18</v>
      </c>
      <c r="H783" s="1" t="s">
        <v>19</v>
      </c>
      <c r="I783" s="1" t="s">
        <v>20</v>
      </c>
      <c r="J783" s="1" t="s">
        <v>3446</v>
      </c>
      <c r="K783" s="1" t="s">
        <v>22</v>
      </c>
      <c r="L783" s="1" t="str">
        <f>HYPERLINK("https://files.afu.se/Downloads/Transcripts/0%20-%20Government/USA%20-%20NASA%20Johnson/2017 06 15 - NASA Johnson - How To Recycle Water in Space_5ZYQMRucmS0 - transcript (automated).pdf","Transcript Link")</f>
        <v>Transcript Link</v>
      </c>
      <c r="M783" s="2" t="str">
        <f>HYPERLINK("https://files.afu.se/Downloads/Transcripts/0%20-%20Government/USA%20-%20NASA%20Johnson/2017 06 15 - NASA Johnson - How To Recycle Water in Space_5ZYQMRucmS0 - transcript (automated).pdf","Transcript Link")</f>
        <v>Transcript Link</v>
      </c>
    </row>
    <row r="784" ht="330" spans="1:13">
      <c r="A784" s="1" t="s">
        <v>3447</v>
      </c>
      <c r="B784" s="1" t="s">
        <v>13</v>
      </c>
      <c r="C784" s="4" t="s">
        <v>3448</v>
      </c>
      <c r="D784" s="1" t="s">
        <v>3449</v>
      </c>
      <c r="E784" s="1" t="s">
        <v>3450</v>
      </c>
      <c r="F784" s="4" t="s">
        <v>17</v>
      </c>
      <c r="G784" s="1" t="s">
        <v>18</v>
      </c>
      <c r="H784" s="1" t="s">
        <v>19</v>
      </c>
      <c r="I784" s="1" t="s">
        <v>20</v>
      </c>
      <c r="J784" s="1" t="s">
        <v>3451</v>
      </c>
      <c r="K784" s="1" t="s">
        <v>22</v>
      </c>
      <c r="L784" s="1" t="str">
        <f>HYPERLINK("https://files.afu.se/Downloads/Transcripts/0%20-%20Government/USA%20-%20NASA%20Johnson/2017 06 14 - NASA Johnson - Preparing America for Deep Space Exploration Episode 15  Building Toward New Heights_XxY__js5yTU - transcript (automated).pdf","Transcript Link")</f>
        <v>Transcript Link</v>
      </c>
      <c r="M784" s="2" t="str">
        <f>HYPERLINK("https://files.afu.se/Downloads/Transcripts/0%20-%20Government/USA%20-%20NASA%20Johnson/2017 06 14 - NASA Johnson - Preparing America for Deep Space Exploration Episode 15  Building Toward New Heights_XxY__js5yTU - transcript (automated).pdf","Transcript Link")</f>
        <v>Transcript Link</v>
      </c>
    </row>
    <row r="785" ht="180" spans="1:13">
      <c r="A785" s="1" t="s">
        <v>3452</v>
      </c>
      <c r="B785" s="1" t="s">
        <v>13</v>
      </c>
      <c r="C785" s="4" t="s">
        <v>3453</v>
      </c>
      <c r="D785" s="1" t="s">
        <v>3454</v>
      </c>
      <c r="E785" s="1" t="s">
        <v>3455</v>
      </c>
      <c r="F785" s="4" t="s">
        <v>17</v>
      </c>
      <c r="G785" s="1" t="s">
        <v>18</v>
      </c>
      <c r="H785" s="1" t="s">
        <v>19</v>
      </c>
      <c r="I785" s="1" t="s">
        <v>20</v>
      </c>
      <c r="J785" s="1" t="s">
        <v>3456</v>
      </c>
      <c r="K785" s="1" t="s">
        <v>22</v>
      </c>
      <c r="L785" s="1" t="str">
        <f>HYPERLINK("https://files.afu.se/Downloads/Transcripts/0%20-%20Government/USA%20-%20NASA%20Johnson/2017 06 07 - NASA Johnson - Meet America’s New Astronauts_5Yu1uOB2-_E - transcript (automated).pdf","Transcript Link")</f>
        <v>Transcript Link</v>
      </c>
      <c r="M785" s="2" t="str">
        <f>HYPERLINK("https://files.afu.se/Downloads/Transcripts/0%20-%20Government/USA%20-%20NASA%20Johnson/2017 06 07 - NASA Johnson - Meet America’s New Astronauts_5Yu1uOB2-_E - transcript (automated).pdf","Transcript Link")</f>
        <v>Transcript Link</v>
      </c>
    </row>
    <row r="786" ht="210" spans="1:13">
      <c r="A786" s="1" t="s">
        <v>3457</v>
      </c>
      <c r="B786" s="1" t="s">
        <v>13</v>
      </c>
      <c r="C786" s="4" t="s">
        <v>3458</v>
      </c>
      <c r="D786" s="1" t="s">
        <v>3459</v>
      </c>
      <c r="E786" s="1" t="s">
        <v>3460</v>
      </c>
      <c r="F786" s="4" t="s">
        <v>17</v>
      </c>
      <c r="G786" s="1" t="s">
        <v>18</v>
      </c>
      <c r="H786" s="1" t="s">
        <v>19</v>
      </c>
      <c r="I786" s="1" t="s">
        <v>20</v>
      </c>
      <c r="J786" s="1" t="s">
        <v>3461</v>
      </c>
      <c r="K786" s="1" t="s">
        <v>22</v>
      </c>
      <c r="L786" s="1" t="str">
        <f>HYPERLINK("https://files.afu.se/Downloads/Transcripts/0%20-%20Government/USA%20-%20NASA%20Johnson/2017 06 05 - NASA Johnson - NASA Astronauts Welcome Class of 2017_TKP1chg-xpU - transcript (automated).pdf","Transcript Link")</f>
        <v>Transcript Link</v>
      </c>
      <c r="M786" s="2" t="str">
        <f>HYPERLINK("https://files.afu.se/Downloads/Transcripts/0%20-%20Government/USA%20-%20NASA%20Johnson/2017 06 05 - NASA Johnson - NASA Astronauts Welcome Class of 2017_TKP1chg-xpU - transcript (automated).pdf","Transcript Link")</f>
        <v>Transcript Link</v>
      </c>
    </row>
    <row r="787" ht="180" spans="1:13">
      <c r="A787" s="1" t="s">
        <v>3462</v>
      </c>
      <c r="B787" s="1" t="s">
        <v>13</v>
      </c>
      <c r="C787" s="4" t="s">
        <v>3463</v>
      </c>
      <c r="D787" s="1" t="s">
        <v>3464</v>
      </c>
      <c r="E787" s="1" t="s">
        <v>2929</v>
      </c>
      <c r="F787" s="4" t="s">
        <v>17</v>
      </c>
      <c r="G787" s="1" t="s">
        <v>18</v>
      </c>
      <c r="H787" s="1" t="s">
        <v>19</v>
      </c>
      <c r="I787" s="1" t="s">
        <v>20</v>
      </c>
      <c r="J787" s="1" t="s">
        <v>3465</v>
      </c>
      <c r="K787" s="1" t="s">
        <v>22</v>
      </c>
      <c r="L787" s="1" t="str">
        <f>HYPERLINK("https://files.afu.se/Downloads/Transcripts/0%20-%20Government/USA%20-%20NASA%20Johnson/2017 06 02 - NASA Johnson - Space to Ground  Cargo Inbound-Crew Outbound   06 02 2017_Cgb1gyOsSQ0 - transcript (automated).pdf","Transcript Link")</f>
        <v>Transcript Link</v>
      </c>
      <c r="M787" s="2" t="str">
        <f>HYPERLINK("https://files.afu.se/Downloads/Transcripts/0%20-%20Government/USA%20-%20NASA%20Johnson/2017 06 02 - NASA Johnson - Space to Ground  Cargo Inbound-Crew Outbound   06 02 2017_Cgb1gyOsSQ0 - transcript (automated).pdf","Transcript Link")</f>
        <v>Transcript Link</v>
      </c>
    </row>
    <row r="788" ht="285" spans="1:13">
      <c r="A788" s="1" t="s">
        <v>3466</v>
      </c>
      <c r="B788" s="1" t="s">
        <v>13</v>
      </c>
      <c r="C788" s="4" t="s">
        <v>3467</v>
      </c>
      <c r="D788" s="1" t="s">
        <v>3468</v>
      </c>
      <c r="E788" s="1" t="s">
        <v>3469</v>
      </c>
      <c r="F788" s="4" t="s">
        <v>17</v>
      </c>
      <c r="G788" s="1" t="s">
        <v>18</v>
      </c>
      <c r="H788" s="1" t="s">
        <v>19</v>
      </c>
      <c r="I788" s="1" t="s">
        <v>20</v>
      </c>
      <c r="J788" s="1" t="s">
        <v>3470</v>
      </c>
      <c r="K788" s="1" t="s">
        <v>22</v>
      </c>
      <c r="L788" s="1" t="str">
        <f>HYPERLINK("https://files.afu.se/Downloads/Transcripts/0%20-%20Government/USA%20-%20NASA%20Johnson/2017 06 01 - NASA Johnson - What's It Like to Get the Call   Cassada Reflects on Becoming An Astronaut in 2013_UvRaPpJJrpY - transcript (automated).pdf","Transcript Link")</f>
        <v>Transcript Link</v>
      </c>
      <c r="M788" s="2" t="str">
        <f>HYPERLINK("https://files.afu.se/Downloads/Transcripts/0%20-%20Government/USA%20-%20NASA%20Johnson/2017 06 01 - NASA Johnson - What's It Like to Get the Call   Cassada Reflects on Becoming An Astronaut in 2013_UvRaPpJJrpY - transcript (automated).pdf","Transcript Link")</f>
        <v>Transcript Link</v>
      </c>
    </row>
    <row r="789" ht="180" spans="1:13">
      <c r="A789" s="1" t="s">
        <v>3471</v>
      </c>
      <c r="B789" s="1" t="s">
        <v>13</v>
      </c>
      <c r="C789" s="4" t="s">
        <v>3472</v>
      </c>
      <c r="D789" s="1" t="s">
        <v>3473</v>
      </c>
      <c r="E789" s="1" t="s">
        <v>3474</v>
      </c>
      <c r="F789" s="4" t="s">
        <v>17</v>
      </c>
      <c r="G789" s="1" t="s">
        <v>18</v>
      </c>
      <c r="H789" s="1" t="s">
        <v>19</v>
      </c>
      <c r="I789" s="1" t="s">
        <v>20</v>
      </c>
      <c r="J789" s="1" t="s">
        <v>3475</v>
      </c>
      <c r="K789" s="1" t="s">
        <v>22</v>
      </c>
      <c r="L789" s="1" t="str">
        <f>HYPERLINK("https://files.afu.se/Downloads/Transcripts/0%20-%20Government/USA%20-%20NASA%20Johnson/2017 05 30 - NASA Johnson - Pudding the space way!_eYV4gl558xc - transcript (automated).pdf","Transcript Link")</f>
        <v>Transcript Link</v>
      </c>
      <c r="M789" s="2" t="str">
        <f>HYPERLINK("https://files.afu.se/Downloads/Transcripts/0%20-%20Government/USA%20-%20NASA%20Johnson/2017 05 30 - NASA Johnson - Pudding the space way!_eYV4gl558xc - transcript (automated).pdf","Transcript Link")</f>
        <v>Transcript Link</v>
      </c>
    </row>
    <row r="790" ht="375" spans="1:13">
      <c r="A790" s="1" t="s">
        <v>3476</v>
      </c>
      <c r="B790" s="1" t="s">
        <v>13</v>
      </c>
      <c r="C790" s="4" t="s">
        <v>3477</v>
      </c>
      <c r="D790" s="1" t="s">
        <v>3478</v>
      </c>
      <c r="E790" s="1" t="s">
        <v>3479</v>
      </c>
      <c r="F790" s="4" t="s">
        <v>17</v>
      </c>
      <c r="G790" s="1" t="s">
        <v>18</v>
      </c>
      <c r="H790" s="1" t="s">
        <v>19</v>
      </c>
      <c r="I790" s="1" t="s">
        <v>20</v>
      </c>
      <c r="J790" s="1" t="s">
        <v>3480</v>
      </c>
      <c r="K790" s="1" t="s">
        <v>22</v>
      </c>
      <c r="L790" s="1" t="str">
        <f>HYPERLINK("https://files.afu.se/Downloads/Transcripts/0%20-%20Government/USA%20-%20NASA%20Johnson/2017 05 26 - NASA Johnson - Unlocking Secrets of Neutron Stars with NICER_IOEPDf2DYNM - transcript (automated).pdf","Transcript Link")</f>
        <v>Transcript Link</v>
      </c>
      <c r="M790" s="2" t="str">
        <f>HYPERLINK("https://files.afu.se/Downloads/Transcripts/0%20-%20Government/USA%20-%20NASA%20Johnson/2017 05 26 - NASA Johnson - Unlocking Secrets of Neutron Stars with NICER_IOEPDf2DYNM - transcript (automated).pdf","Transcript Link")</f>
        <v>Transcript Link</v>
      </c>
    </row>
    <row r="791" ht="180" spans="1:13">
      <c r="A791" s="1" t="s">
        <v>3476</v>
      </c>
      <c r="B791" s="1" t="s">
        <v>13</v>
      </c>
      <c r="C791" s="4" t="s">
        <v>3481</v>
      </c>
      <c r="D791" s="1" t="s">
        <v>3482</v>
      </c>
      <c r="E791" s="1" t="s">
        <v>2929</v>
      </c>
      <c r="F791" s="4" t="s">
        <v>17</v>
      </c>
      <c r="G791" s="1" t="s">
        <v>18</v>
      </c>
      <c r="H791" s="1" t="s">
        <v>19</v>
      </c>
      <c r="I791" s="1" t="s">
        <v>20</v>
      </c>
      <c r="J791" s="1" t="s">
        <v>3483</v>
      </c>
      <c r="K791" s="1" t="s">
        <v>22</v>
      </c>
      <c r="L791" s="1" t="str">
        <f>HYPERLINK("https://files.afu.se/Downloads/Transcripts/0%20-%20Government/USA%20-%20NASA%20Johnson/2017 05 26 - NASA Johnson - Space to Ground  Surprise Spacewalk!  05 26 2017_KZbO3c-AdlM - transcript (automated).pdf","Transcript Link")</f>
        <v>Transcript Link</v>
      </c>
      <c r="M791" s="2" t="str">
        <f>HYPERLINK("https://files.afu.se/Downloads/Transcripts/0%20-%20Government/USA%20-%20NASA%20Johnson/2017 05 26 - NASA Johnson - Space to Ground  Surprise Spacewalk!  05 26 2017_KZbO3c-AdlM - transcript (automated).pdf","Transcript Link")</f>
        <v>Transcript Link</v>
      </c>
    </row>
    <row r="792" ht="409.5" spans="1:13">
      <c r="A792" s="1" t="s">
        <v>3484</v>
      </c>
      <c r="B792" s="1" t="s">
        <v>13</v>
      </c>
      <c r="C792" s="4" t="s">
        <v>3485</v>
      </c>
      <c r="D792" s="1" t="s">
        <v>3486</v>
      </c>
      <c r="E792" s="1" t="s">
        <v>3487</v>
      </c>
      <c r="F792" s="4" t="s">
        <v>17</v>
      </c>
      <c r="G792" s="1" t="s">
        <v>18</v>
      </c>
      <c r="H792" s="1" t="s">
        <v>19</v>
      </c>
      <c r="I792" s="1" t="s">
        <v>20</v>
      </c>
      <c r="J792" s="1" t="s">
        <v>3488</v>
      </c>
      <c r="K792" s="1" t="s">
        <v>22</v>
      </c>
      <c r="L792" s="1" t="str">
        <f>HYPERLINK("https://files.afu.se/Downloads/Transcripts/0%20-%20Government/USA%20-%20NASA%20Johnson/2017 05 25 - NASA Johnson - How Fruit Flies Help us Understand Human Responses to Microgravity_iApjVuYHrws - transcript (automated).pdf","Transcript Link")</f>
        <v>Transcript Link</v>
      </c>
      <c r="M792" s="2" t="str">
        <f>HYPERLINK("https://files.afu.se/Downloads/Transcripts/0%20-%20Government/USA%20-%20NASA%20Johnson/2017 05 25 - NASA Johnson - How Fruit Flies Help us Understand Human Responses to Microgravity_iApjVuYHrws - transcript (automated).pdf","Transcript Link")</f>
        <v>Transcript Link</v>
      </c>
    </row>
    <row r="793" ht="240" spans="1:13">
      <c r="A793" s="1" t="s">
        <v>3484</v>
      </c>
      <c r="B793" s="1" t="s">
        <v>13</v>
      </c>
      <c r="C793" s="4" t="s">
        <v>3489</v>
      </c>
      <c r="D793" s="1" t="s">
        <v>3490</v>
      </c>
      <c r="E793" s="1" t="s">
        <v>3491</v>
      </c>
      <c r="F793" s="4" t="s">
        <v>17</v>
      </c>
      <c r="G793" s="1" t="s">
        <v>18</v>
      </c>
      <c r="H793" s="1" t="s">
        <v>19</v>
      </c>
      <c r="I793" s="1" t="s">
        <v>20</v>
      </c>
      <c r="J793" s="1" t="s">
        <v>3492</v>
      </c>
      <c r="K793" s="1" t="s">
        <v>22</v>
      </c>
      <c r="L793" s="1" t="str">
        <f>HYPERLINK("https://files.afu.se/Downloads/Transcripts/0%20-%20Government/USA%20-%20NASA%20Johnson/2017 05 25 - NASA Johnson - Space Station Science Made Easy_A86RtW62WQ4 - transcript (automated).pdf","Transcript Link")</f>
        <v>Transcript Link</v>
      </c>
      <c r="M793" s="2" t="str">
        <f>HYPERLINK("https://files.afu.se/Downloads/Transcripts/0%20-%20Government/USA%20-%20NASA%20Johnson/2017 05 25 - NASA Johnson - Space Station Science Made Easy_A86RtW62WQ4 - transcript (automated).pdf","Transcript Link")</f>
        <v>Transcript Link</v>
      </c>
    </row>
    <row r="794" ht="409.5" spans="1:13">
      <c r="A794" s="1" t="s">
        <v>3493</v>
      </c>
      <c r="B794" s="1" t="s">
        <v>13</v>
      </c>
      <c r="C794" s="4" t="s">
        <v>3494</v>
      </c>
      <c r="D794" s="1" t="s">
        <v>3495</v>
      </c>
      <c r="E794" s="1" t="s">
        <v>3496</v>
      </c>
      <c r="F794" s="4" t="s">
        <v>17</v>
      </c>
      <c r="G794" s="1" t="s">
        <v>18</v>
      </c>
      <c r="H794" s="1" t="s">
        <v>19</v>
      </c>
      <c r="I794" s="1" t="s">
        <v>20</v>
      </c>
      <c r="J794" s="1" t="s">
        <v>3497</v>
      </c>
      <c r="K794" s="1" t="s">
        <v>22</v>
      </c>
      <c r="L794" s="1" t="str">
        <f>HYPERLINK("https://files.afu.se/Downloads/Transcripts/0%20-%20Government/USA%20-%20NASA%20Johnson/2017 05 24 - NASA Johnson - Growing Bone in Space_ht9zTT4qPeI - transcript (automated).pdf","Transcript Link")</f>
        <v>Transcript Link</v>
      </c>
      <c r="M794" s="2" t="str">
        <f>HYPERLINK("https://files.afu.se/Downloads/Transcripts/0%20-%20Government/USA%20-%20NASA%20Johnson/2017 05 24 - NASA Johnson - Growing Bone in Space_ht9zTT4qPeI - transcript (automated).pdf","Transcript Link")</f>
        <v>Transcript Link</v>
      </c>
    </row>
    <row r="795" ht="180" spans="1:13">
      <c r="A795" s="1" t="s">
        <v>3498</v>
      </c>
      <c r="B795" s="1" t="s">
        <v>13</v>
      </c>
      <c r="C795" s="4" t="s">
        <v>3499</v>
      </c>
      <c r="D795" s="1" t="s">
        <v>3500</v>
      </c>
      <c r="E795" s="1" t="s">
        <v>2929</v>
      </c>
      <c r="F795" s="4" t="s">
        <v>17</v>
      </c>
      <c r="G795" s="1" t="s">
        <v>18</v>
      </c>
      <c r="H795" s="1" t="s">
        <v>19</v>
      </c>
      <c r="I795" s="1" t="s">
        <v>20</v>
      </c>
      <c r="J795" s="1" t="s">
        <v>3501</v>
      </c>
      <c r="K795" s="1" t="s">
        <v>22</v>
      </c>
      <c r="L795" s="1" t="str">
        <f>HYPERLINK("https://files.afu.se/Downloads/Transcripts/0%20-%20Government/USA%20-%20NASA%20Johnson/2017 05 19 - NASA Johnson - Space to Ground  A Fleet of CUBESATS  05 19 2017_qGT19qUhjTY - transcript (automated).pdf","Transcript Link")</f>
        <v>Transcript Link</v>
      </c>
      <c r="M795" s="2" t="str">
        <f>HYPERLINK("https://files.afu.se/Downloads/Transcripts/0%20-%20Government/USA%20-%20NASA%20Johnson/2017 05 19 - NASA Johnson - Space to Ground  A Fleet of CUBESATS  05 19 2017_qGT19qUhjTY - transcript (automated).pdf","Transcript Link")</f>
        <v>Transcript Link</v>
      </c>
    </row>
    <row r="796" ht="405" spans="1:13">
      <c r="A796" s="1" t="s">
        <v>3502</v>
      </c>
      <c r="B796" s="1" t="s">
        <v>13</v>
      </c>
      <c r="C796" s="4" t="s">
        <v>3503</v>
      </c>
      <c r="D796" s="1" t="s">
        <v>3504</v>
      </c>
      <c r="E796" s="1" t="s">
        <v>3505</v>
      </c>
      <c r="F796" s="4" t="s">
        <v>17</v>
      </c>
      <c r="G796" s="1" t="s">
        <v>18</v>
      </c>
      <c r="H796" s="1" t="s">
        <v>19</v>
      </c>
      <c r="I796" s="1" t="s">
        <v>20</v>
      </c>
      <c r="J796" s="1" t="s">
        <v>3506</v>
      </c>
      <c r="K796" s="1" t="s">
        <v>22</v>
      </c>
      <c r="L796" s="1" t="str">
        <f>HYPERLINK("https://files.afu.se/Downloads/Transcripts/0%20-%20Government/USA%20-%20NASA%20Johnson/2017 05 17 - NASA Johnson - Fighting Cancer Through Microgravity Research_u53JU_Pm7FU - transcript (automated).pdf","Transcript Link")</f>
        <v>Transcript Link</v>
      </c>
      <c r="M796" s="2" t="str">
        <f>HYPERLINK("https://files.afu.se/Downloads/Transcripts/0%20-%20Government/USA%20-%20NASA%20Johnson/2017 05 17 - NASA Johnson - Fighting Cancer Through Microgravity Research_u53JU_Pm7FU - transcript (automated).pdf","Transcript Link")</f>
        <v>Transcript Link</v>
      </c>
    </row>
    <row r="797" ht="180" spans="1:13">
      <c r="A797" s="1" t="s">
        <v>3507</v>
      </c>
      <c r="B797" s="1" t="s">
        <v>13</v>
      </c>
      <c r="C797" s="4" t="s">
        <v>3508</v>
      </c>
      <c r="D797" s="1" t="s">
        <v>3509</v>
      </c>
      <c r="E797" s="1" t="s">
        <v>2929</v>
      </c>
      <c r="F797" s="4" t="s">
        <v>17</v>
      </c>
      <c r="G797" s="1" t="s">
        <v>18</v>
      </c>
      <c r="H797" s="1" t="s">
        <v>19</v>
      </c>
      <c r="I797" s="1" t="s">
        <v>20</v>
      </c>
      <c r="J797" s="1" t="s">
        <v>3510</v>
      </c>
      <c r="K797" s="1" t="s">
        <v>22</v>
      </c>
      <c r="L797" s="1" t="str">
        <f>HYPERLINK("https://files.afu.se/Downloads/Transcripts/0%20-%20Government/USA%20-%20NASA%20Johnson/2017 05 12 - NASA Johnson - Space to Ground  Everything is Awesome  05 12 2017_9JRMiB0WwLU - transcript (automated).pdf","Transcript Link")</f>
        <v>Transcript Link</v>
      </c>
      <c r="M797" s="2" t="str">
        <f>HYPERLINK("https://files.afu.se/Downloads/Transcripts/0%20-%20Government/USA%20-%20NASA%20Johnson/2017 05 12 - NASA Johnson - Space to Ground  Everything is Awesome  05 12 2017_9JRMiB0WwLU - transcript (automated).pdf","Transcript Link")</f>
        <v>Transcript Link</v>
      </c>
    </row>
    <row r="798" ht="409.5" spans="1:13">
      <c r="A798" s="1" t="s">
        <v>3511</v>
      </c>
      <c r="B798" s="1" t="s">
        <v>13</v>
      </c>
      <c r="C798" s="4" t="s">
        <v>3512</v>
      </c>
      <c r="D798" s="1" t="s">
        <v>3513</v>
      </c>
      <c r="E798" s="1" t="s">
        <v>3514</v>
      </c>
      <c r="F798" s="4" t="s">
        <v>17</v>
      </c>
      <c r="G798" s="1" t="s">
        <v>18</v>
      </c>
      <c r="H798" s="1" t="s">
        <v>19</v>
      </c>
      <c r="I798" s="1" t="s">
        <v>20</v>
      </c>
      <c r="J798" s="1" t="s">
        <v>3515</v>
      </c>
      <c r="K798" s="1" t="s">
        <v>22</v>
      </c>
      <c r="L798" s="1" t="str">
        <f>HYPERLINK("https://files.afu.se/Downloads/Transcripts/0%20-%20Government/USA%20-%20NASA%20Johnson/2017 05 09 - NASA Johnson - Action Cam Footage from U.S. Spacewalk %2341_5NE96oJsQRA - transcript (automated).pdf","Transcript Link")</f>
        <v>Transcript Link</v>
      </c>
      <c r="M798" s="2" t="str">
        <f>HYPERLINK("https://files.afu.se/Downloads/Transcripts/0%20-%20Government/USA%20-%20NASA%20Johnson/2017 05 09 - NASA Johnson - Action Cam Footage from U.S. Spacewalk %2341_5NE96oJsQRA - transcript (automated).pdf","Transcript Link")</f>
        <v>Transcript Link</v>
      </c>
    </row>
    <row r="799" ht="409.5" spans="1:13">
      <c r="A799" s="1" t="s">
        <v>3516</v>
      </c>
      <c r="B799" s="1" t="s">
        <v>13</v>
      </c>
      <c r="C799" s="4" t="s">
        <v>3517</v>
      </c>
      <c r="D799" s="1" t="s">
        <v>3518</v>
      </c>
      <c r="E799" s="1" t="s">
        <v>3519</v>
      </c>
      <c r="F799" s="4" t="s">
        <v>17</v>
      </c>
      <c r="G799" s="1" t="s">
        <v>18</v>
      </c>
      <c r="H799" s="1" t="s">
        <v>19</v>
      </c>
      <c r="I799" s="1" t="s">
        <v>20</v>
      </c>
      <c r="J799" s="1" t="s">
        <v>3520</v>
      </c>
      <c r="K799" s="1" t="s">
        <v>22</v>
      </c>
      <c r="L799" s="1" t="str">
        <f>HYPERLINK("https://files.afu.se/Downloads/Transcripts/0%20-%20Government/USA%20-%20NASA%20Johnson/2017 05 08 - NASA Johnson - Action Cam Footage from U.S. Spacewalk %2340_jBpTZI8ofHU - transcript (automated).pdf","Transcript Link")</f>
        <v>Transcript Link</v>
      </c>
      <c r="M799" s="2" t="str">
        <f>HYPERLINK("https://files.afu.se/Downloads/Transcripts/0%20-%20Government/USA%20-%20NASA%20Johnson/2017 05 08 - NASA Johnson - Action Cam Footage from U.S. Spacewalk %2340_jBpTZI8ofHU - transcript (automated).pdf","Transcript Link")</f>
        <v>Transcript Link</v>
      </c>
    </row>
    <row r="800" ht="180" spans="1:13">
      <c r="A800" s="1" t="s">
        <v>3521</v>
      </c>
      <c r="B800" s="1" t="s">
        <v>13</v>
      </c>
      <c r="C800" s="4" t="s">
        <v>3522</v>
      </c>
      <c r="D800" s="1" t="s">
        <v>3523</v>
      </c>
      <c r="E800" s="1" t="s">
        <v>2929</v>
      </c>
      <c r="F800" s="4" t="s">
        <v>17</v>
      </c>
      <c r="G800" s="1" t="s">
        <v>18</v>
      </c>
      <c r="H800" s="1" t="s">
        <v>19</v>
      </c>
      <c r="I800" s="1" t="s">
        <v>20</v>
      </c>
      <c r="J800" s="1" t="s">
        <v>3524</v>
      </c>
      <c r="K800" s="1" t="s">
        <v>22</v>
      </c>
      <c r="L800" s="1" t="str">
        <f>HYPERLINK("https://files.afu.se/Downloads/Transcripts/0%20-%20Government/USA%20-%20NASA%20Johnson/2017 05 05 - NASA Johnson - Space to Ground  A Short Time Ago  05 05 2017_-6mwmZqA5AU - transcript (automated).pdf","Transcript Link")</f>
        <v>Transcript Link</v>
      </c>
      <c r="M800" s="2" t="str">
        <f>HYPERLINK("https://files.afu.se/Downloads/Transcripts/0%20-%20Government/USA%20-%20NASA%20Johnson/2017 05 05 - NASA Johnson - Space to Ground  A Short Time Ago  05 05 2017_-6mwmZqA5AU - transcript (automated).pdf","Transcript Link")</f>
        <v>Transcript Link</v>
      </c>
    </row>
    <row r="801" ht="409.5" spans="1:13">
      <c r="A801" s="1" t="s">
        <v>3525</v>
      </c>
      <c r="B801" s="1" t="s">
        <v>13</v>
      </c>
      <c r="C801" s="4" t="s">
        <v>3526</v>
      </c>
      <c r="D801" s="1" t="s">
        <v>3527</v>
      </c>
      <c r="E801" s="1" t="s">
        <v>3528</v>
      </c>
      <c r="F801" s="4" t="s">
        <v>17</v>
      </c>
      <c r="G801" s="1" t="s">
        <v>18</v>
      </c>
      <c r="H801" s="1" t="s">
        <v>19</v>
      </c>
      <c r="I801" s="1" t="s">
        <v>20</v>
      </c>
      <c r="J801" s="1" t="s">
        <v>3529</v>
      </c>
      <c r="K801" s="1" t="s">
        <v>22</v>
      </c>
      <c r="L801" s="1" t="str">
        <f>HYPERLINK("https://files.afu.se/Downloads/Transcripts/0%20-%20Government/USA%20-%20NASA%20Johnson/2017 05 03 - NASA Johnson - High Schooler Studies Genes in Space_KfIofcFiLfA - transcript (automated).pdf","Transcript Link")</f>
        <v>Transcript Link</v>
      </c>
      <c r="M801" s="2" t="str">
        <f>HYPERLINK("https://files.afu.se/Downloads/Transcripts/0%20-%20Government/USA%20-%20NASA%20Johnson/2017 05 03 - NASA Johnson - High Schooler Studies Genes in Space_KfIofcFiLfA - transcript (automated).pdf","Transcript Link")</f>
        <v>Transcript Link</v>
      </c>
    </row>
    <row r="802" ht="330" spans="1:13">
      <c r="A802" s="1" t="s">
        <v>3530</v>
      </c>
      <c r="B802" s="1" t="s">
        <v>13</v>
      </c>
      <c r="C802" s="4" t="s">
        <v>3531</v>
      </c>
      <c r="D802" s="1" t="s">
        <v>3532</v>
      </c>
      <c r="E802" s="1" t="s">
        <v>3533</v>
      </c>
      <c r="F802" s="4" t="s">
        <v>17</v>
      </c>
      <c r="G802" s="1" t="s">
        <v>18</v>
      </c>
      <c r="H802" s="1" t="s">
        <v>19</v>
      </c>
      <c r="I802" s="1" t="s">
        <v>20</v>
      </c>
      <c r="J802" s="1" t="s">
        <v>3534</v>
      </c>
      <c r="K802" s="1" t="s">
        <v>22</v>
      </c>
      <c r="L802" s="1" t="str">
        <f>HYPERLINK("https://files.afu.se/Downloads/Transcripts/0%20-%20Government/USA%20-%20NASA%20Johnson/2017 04 28 - NASA Johnson - Anna Fisher, American Astronaut_aTPM7hlBetw - transcript (automated).pdf","Transcript Link")</f>
        <v>Transcript Link</v>
      </c>
      <c r="M802" s="2" t="str">
        <f>HYPERLINK("https://files.afu.se/Downloads/Transcripts/0%20-%20Government/USA%20-%20NASA%20Johnson/2017 04 28 - NASA Johnson - Anna Fisher, American Astronaut_aTPM7hlBetw - transcript (automated).pdf","Transcript Link")</f>
        <v>Transcript Link</v>
      </c>
    </row>
    <row r="803" ht="180" spans="1:13">
      <c r="A803" s="1" t="s">
        <v>3530</v>
      </c>
      <c r="B803" s="1" t="s">
        <v>13</v>
      </c>
      <c r="C803" s="4" t="s">
        <v>3535</v>
      </c>
      <c r="D803" s="1" t="s">
        <v>3536</v>
      </c>
      <c r="E803" s="1" t="s">
        <v>2929</v>
      </c>
      <c r="F803" s="4" t="s">
        <v>17</v>
      </c>
      <c r="G803" s="1" t="s">
        <v>18</v>
      </c>
      <c r="H803" s="1" t="s">
        <v>19</v>
      </c>
      <c r="I803" s="1" t="s">
        <v>20</v>
      </c>
      <c r="J803" s="1" t="s">
        <v>3537</v>
      </c>
      <c r="K803" s="1" t="s">
        <v>22</v>
      </c>
      <c r="L803" s="1" t="str">
        <f>HYPERLINK("https://files.afu.se/Downloads/Transcripts/0%20-%20Government/USA%20-%20NASA%20Johnson/2017 04 28 - NASA Johnson - Space to Ground  American Recordholder  04 28 2017_b2zl0RRyywk - transcript (automated).pdf","Transcript Link")</f>
        <v>Transcript Link</v>
      </c>
      <c r="M803" s="2" t="str">
        <f>HYPERLINK("https://files.afu.se/Downloads/Transcripts/0%20-%20Government/USA%20-%20NASA%20Johnson/2017 04 28 - NASA Johnson - Space to Ground  American Recordholder  04 28 2017_b2zl0RRyywk - transcript (automated).pdf","Transcript Link")</f>
        <v>Transcript Link</v>
      </c>
    </row>
    <row r="804" ht="315" spans="1:13">
      <c r="A804" s="1" t="s">
        <v>3538</v>
      </c>
      <c r="B804" s="1" t="s">
        <v>13</v>
      </c>
      <c r="C804" s="4" t="s">
        <v>3539</v>
      </c>
      <c r="D804" s="1" t="s">
        <v>3540</v>
      </c>
      <c r="E804" s="1" t="s">
        <v>3541</v>
      </c>
      <c r="F804" s="4" t="s">
        <v>17</v>
      </c>
      <c r="G804" s="1" t="s">
        <v>18</v>
      </c>
      <c r="H804" s="1" t="s">
        <v>19</v>
      </c>
      <c r="I804" s="1" t="s">
        <v>20</v>
      </c>
      <c r="J804" s="1" t="s">
        <v>3542</v>
      </c>
      <c r="K804" s="1" t="s">
        <v>22</v>
      </c>
      <c r="L804" s="1" t="str">
        <f>HYPERLINK("https://files.afu.se/Downloads/Transcripts/0%20-%20Government/USA%20-%20NASA%20Johnson/2017 04 25 - NASA Johnson - Cosmic Carpool  DNA To Go_BA0e9Z3lbZI - transcript (automated).pdf","Transcript Link")</f>
        <v>Transcript Link</v>
      </c>
      <c r="M804" s="2" t="str">
        <f>HYPERLINK("https://files.afu.se/Downloads/Transcripts/0%20-%20Government/USA%20-%20NASA%20Johnson/2017 04 25 - NASA Johnson - Cosmic Carpool  DNA To Go_BA0e9Z3lbZI - transcript (automated).pdf","Transcript Link")</f>
        <v>Transcript Link</v>
      </c>
    </row>
    <row r="805" ht="330" spans="1:13">
      <c r="A805" s="1" t="s">
        <v>3543</v>
      </c>
      <c r="B805" s="1" t="s">
        <v>13</v>
      </c>
      <c r="C805" s="4" t="s">
        <v>3544</v>
      </c>
      <c r="D805" s="1" t="s">
        <v>3545</v>
      </c>
      <c r="E805" s="1" t="s">
        <v>3546</v>
      </c>
      <c r="F805" s="4" t="s">
        <v>17</v>
      </c>
      <c r="G805" s="1" t="s">
        <v>18</v>
      </c>
      <c r="H805" s="1" t="s">
        <v>19</v>
      </c>
      <c r="I805" s="1" t="s">
        <v>20</v>
      </c>
      <c r="J805" s="1" t="s">
        <v>3547</v>
      </c>
      <c r="K805" s="1" t="s">
        <v>22</v>
      </c>
      <c r="L805" s="1" t="str">
        <f>HYPERLINK("https://files.afu.se/Downloads/Transcripts/0%20-%20Government/USA%20-%20NASA%20Johnson/2017 04 24 - NASA Johnson - Five Times Peggy Whitson Made History_O0J3MmEZz5g - transcript (automated).pdf","Transcript Link")</f>
        <v>Transcript Link</v>
      </c>
      <c r="M805" s="2" t="str">
        <f>HYPERLINK("https://files.afu.se/Downloads/Transcripts/0%20-%20Government/USA%20-%20NASA%20Johnson/2017 04 24 - NASA Johnson - Five Times Peggy Whitson Made History_O0J3MmEZz5g - transcript (automated).pdf","Transcript Link")</f>
        <v>Transcript Link</v>
      </c>
    </row>
    <row r="806" ht="180" spans="1:13">
      <c r="A806" s="1" t="s">
        <v>3548</v>
      </c>
      <c r="B806" s="1" t="s">
        <v>13</v>
      </c>
      <c r="C806" s="4" t="s">
        <v>3549</v>
      </c>
      <c r="D806" s="1" t="s">
        <v>3550</v>
      </c>
      <c r="E806" s="1" t="s">
        <v>3551</v>
      </c>
      <c r="F806" s="4" t="s">
        <v>17</v>
      </c>
      <c r="G806" s="1" t="s">
        <v>18</v>
      </c>
      <c r="H806" s="1" t="s">
        <v>19</v>
      </c>
      <c r="I806" s="1" t="s">
        <v>20</v>
      </c>
      <c r="J806" s="1" t="s">
        <v>3552</v>
      </c>
      <c r="K806" s="1" t="s">
        <v>22</v>
      </c>
      <c r="L806" s="1" t="str">
        <f>HYPERLINK("https://files.afu.se/Downloads/Transcripts/0%20-%20Government/USA%20-%20NASA%20Johnson/2017 04 22 - NASA Johnson - Earth Day 2017 - 4K Earth Views From Space_4S06mRc5jwY - transcript (automated).pdf","Transcript Link")</f>
        <v>Transcript Link</v>
      </c>
      <c r="M806" s="2" t="str">
        <f>HYPERLINK("https://files.afu.se/Downloads/Transcripts/0%20-%20Government/USA%20-%20NASA%20Johnson/2017 04 22 - NASA Johnson - Earth Day 2017 - 4K Earth Views From Space_4S06mRc5jwY - transcript (automated).pdf","Transcript Link")</f>
        <v>Transcript Link</v>
      </c>
    </row>
    <row r="807" ht="180" spans="1:13">
      <c r="A807" s="1" t="s">
        <v>3548</v>
      </c>
      <c r="B807" s="1" t="s">
        <v>13</v>
      </c>
      <c r="C807" s="4" t="s">
        <v>3553</v>
      </c>
      <c r="D807" s="1" t="s">
        <v>3554</v>
      </c>
      <c r="E807" s="1" t="s">
        <v>3555</v>
      </c>
      <c r="F807" s="4" t="s">
        <v>17</v>
      </c>
      <c r="G807" s="1" t="s">
        <v>18</v>
      </c>
      <c r="H807" s="1" t="s">
        <v>19</v>
      </c>
      <c r="I807" s="1" t="s">
        <v>20</v>
      </c>
      <c r="J807" s="1" t="s">
        <v>3556</v>
      </c>
      <c r="K807" s="1" t="s">
        <v>22</v>
      </c>
      <c r="L807" s="1" t="str">
        <f>HYPERLINK("https://files.afu.se/Downloads/Transcripts/0%20-%20Government/USA%20-%20NASA%20Johnson/2017 04 22 - NASA Johnson - Cygnus Arrives at Station After Four-Day Journey_rUAr6ngVlGM - transcript (automated).pdf","Transcript Link")</f>
        <v>Transcript Link</v>
      </c>
      <c r="M807" s="2" t="str">
        <f>HYPERLINK("https://files.afu.se/Downloads/Transcripts/0%20-%20Government/USA%20-%20NASA%20Johnson/2017 04 22 - NASA Johnson - Cygnus Arrives at Station After Four-Day Journey_rUAr6ngVlGM - transcript (automated).pdf","Transcript Link")</f>
        <v>Transcript Link</v>
      </c>
    </row>
    <row r="808" ht="195" spans="1:13">
      <c r="A808" s="1" t="s">
        <v>3557</v>
      </c>
      <c r="B808" s="1" t="s">
        <v>13</v>
      </c>
      <c r="C808" s="4" t="s">
        <v>3558</v>
      </c>
      <c r="D808" s="1" t="s">
        <v>3559</v>
      </c>
      <c r="E808" s="1" t="s">
        <v>3560</v>
      </c>
      <c r="F808" s="4" t="s">
        <v>17</v>
      </c>
      <c r="G808" s="1" t="s">
        <v>18</v>
      </c>
      <c r="H808" s="1" t="s">
        <v>19</v>
      </c>
      <c r="I808" s="1" t="s">
        <v>20</v>
      </c>
      <c r="J808" s="1" t="s">
        <v>3561</v>
      </c>
      <c r="K808" s="1" t="s">
        <v>22</v>
      </c>
      <c r="L808" s="1" t="str">
        <f>HYPERLINK("https://files.afu.se/Downloads/Transcripts/0%20-%20Government/USA%20-%20NASA%20Johnson/2017 04 21 - NASA Johnson - Peanut Butter and Jelly in Space_Z2szk-NuKWg - transcript (automated).pdf","Transcript Link")</f>
        <v>Transcript Link</v>
      </c>
      <c r="M808" s="2" t="str">
        <f>HYPERLINK("https://files.afu.se/Downloads/Transcripts/0%20-%20Government/USA%20-%20NASA%20Johnson/2017 04 21 - NASA Johnson - Peanut Butter and Jelly in Space_Z2szk-NuKWg - transcript (automated).pdf","Transcript Link")</f>
        <v>Transcript Link</v>
      </c>
    </row>
    <row r="809" ht="180" spans="1:13">
      <c r="A809" s="1" t="s">
        <v>3557</v>
      </c>
      <c r="B809" s="1" t="s">
        <v>13</v>
      </c>
      <c r="C809" s="4" t="s">
        <v>3562</v>
      </c>
      <c r="D809" s="1" t="s">
        <v>3563</v>
      </c>
      <c r="E809" s="1" t="s">
        <v>2929</v>
      </c>
      <c r="F809" s="4" t="s">
        <v>17</v>
      </c>
      <c r="G809" s="1" t="s">
        <v>18</v>
      </c>
      <c r="H809" s="1" t="s">
        <v>19</v>
      </c>
      <c r="I809" s="1" t="s">
        <v>20</v>
      </c>
      <c r="J809" s="1" t="s">
        <v>3564</v>
      </c>
      <c r="K809" s="1" t="s">
        <v>22</v>
      </c>
      <c r="L809" s="1" t="str">
        <f>HYPERLINK("https://files.afu.se/Downloads/Transcripts/0%20-%20Government/USA%20-%20NASA%20Johnson/2017 04 21 - NASA Johnson - Space to Ground  Spring Time is Launch Time   04 21 2017_Z4XvtP45m50 - transcript (automated).pdf","Transcript Link")</f>
        <v>Transcript Link</v>
      </c>
      <c r="M809" s="2" t="str">
        <f>HYPERLINK("https://files.afu.se/Downloads/Transcripts/0%20-%20Government/USA%20-%20NASA%20Johnson/2017 04 21 - NASA Johnson - Space to Ground  Spring Time is Launch Time   04 21 2017_Z4XvtP45m50 - transcript (automated).pdf","Transcript Link")</f>
        <v>Transcript Link</v>
      </c>
    </row>
    <row r="810" ht="180" spans="1:13">
      <c r="A810" s="1" t="s">
        <v>3565</v>
      </c>
      <c r="B810" s="1" t="s">
        <v>13</v>
      </c>
      <c r="C810" s="4" t="s">
        <v>3566</v>
      </c>
      <c r="D810" s="1" t="s">
        <v>3567</v>
      </c>
      <c r="E810" s="1" t="s">
        <v>3568</v>
      </c>
      <c r="F810" s="4" t="s">
        <v>17</v>
      </c>
      <c r="G810" s="1" t="s">
        <v>18</v>
      </c>
      <c r="H810" s="1" t="s">
        <v>19</v>
      </c>
      <c r="I810" s="1" t="s">
        <v>20</v>
      </c>
      <c r="J810" s="1" t="s">
        <v>3569</v>
      </c>
      <c r="K810" s="1" t="s">
        <v>22</v>
      </c>
      <c r="L810" s="1" t="str">
        <f>HYPERLINK("https://files.afu.se/Downloads/Transcripts/0%20-%20Government/USA%20-%20NASA%20Johnson/2017 04 20 - NASA Johnson - New Crew Launches and Docks to Station in Same Day_fIPwR63W3tI - transcript (automated).pdf","Transcript Link")</f>
        <v>Transcript Link</v>
      </c>
      <c r="M810" s="2" t="str">
        <f>HYPERLINK("https://files.afu.se/Downloads/Transcripts/0%20-%20Government/USA%20-%20NASA%20Johnson/2017 04 20 - NASA Johnson - New Crew Launches and Docks to Station in Same Day_fIPwR63W3tI - transcript (automated).pdf","Transcript Link")</f>
        <v>Transcript Link</v>
      </c>
    </row>
    <row r="811" ht="180" spans="1:13">
      <c r="A811" s="1" t="s">
        <v>3565</v>
      </c>
      <c r="B811" s="1" t="s">
        <v>13</v>
      </c>
      <c r="C811" s="4" t="s">
        <v>3570</v>
      </c>
      <c r="D811" s="1" t="s">
        <v>3571</v>
      </c>
      <c r="E811" s="1" t="s">
        <v>3572</v>
      </c>
      <c r="F811" s="4" t="s">
        <v>17</v>
      </c>
      <c r="G811" s="1" t="s">
        <v>18</v>
      </c>
      <c r="H811" s="1" t="s">
        <v>19</v>
      </c>
      <c r="I811" s="1" t="s">
        <v>20</v>
      </c>
      <c r="J811" s="1" t="s">
        <v>3573</v>
      </c>
      <c r="K811" s="1" t="s">
        <v>22</v>
      </c>
      <c r="L811" s="1" t="str">
        <f>HYPERLINK("https://files.afu.se/Downloads/Transcripts/0%20-%20Government/USA%20-%20NASA%20Johnson/2017 04 20 - NASA Johnson - Soyuz Rocket Blessing_5mPvvkwDHXc - transcript (automated).pdf","Transcript Link")</f>
        <v>Transcript Link</v>
      </c>
      <c r="M811" s="2" t="str">
        <f>HYPERLINK("https://files.afu.se/Downloads/Transcripts/0%20-%20Government/USA%20-%20NASA%20Johnson/2017 04 20 - NASA Johnson - Soyuz Rocket Blessing_5mPvvkwDHXc - transcript (automated).pdf","Transcript Link")</f>
        <v>Transcript Link</v>
      </c>
    </row>
    <row r="812" ht="315" spans="1:13">
      <c r="A812" s="1" t="s">
        <v>3574</v>
      </c>
      <c r="B812" s="1" t="s">
        <v>13</v>
      </c>
      <c r="C812" s="4" t="s">
        <v>3575</v>
      </c>
      <c r="D812" s="1" t="s">
        <v>3576</v>
      </c>
      <c r="E812" s="1" t="s">
        <v>3577</v>
      </c>
      <c r="F812" s="4" t="s">
        <v>17</v>
      </c>
      <c r="G812" s="1" t="s">
        <v>18</v>
      </c>
      <c r="H812" s="1" t="s">
        <v>19</v>
      </c>
      <c r="I812" s="1" t="s">
        <v>20</v>
      </c>
      <c r="J812" s="1" t="s">
        <v>3578</v>
      </c>
      <c r="K812" s="1" t="s">
        <v>22</v>
      </c>
      <c r="L812" s="1" t="str">
        <f>HYPERLINK("https://files.afu.se/Downloads/Transcripts/0%20-%20Government/USA%20-%20NASA%20Johnson/2017 04 19 - NASA Johnson - Students Acting on a HUNCH_CNcuKoeM1N0 - transcript (automated).pdf","Transcript Link")</f>
        <v>Transcript Link</v>
      </c>
      <c r="M812" s="2" t="str">
        <f>HYPERLINK("https://files.afu.se/Downloads/Transcripts/0%20-%20Government/USA%20-%20NASA%20Johnson/2017 04 19 - NASA Johnson - Students Acting on a HUNCH_CNcuKoeM1N0 - transcript (automated).pdf","Transcript Link")</f>
        <v>Transcript Link</v>
      </c>
    </row>
    <row r="813" ht="180" spans="1:13">
      <c r="A813" s="1" t="s">
        <v>3574</v>
      </c>
      <c r="B813" s="1" t="s">
        <v>13</v>
      </c>
      <c r="C813" s="4" t="s">
        <v>3579</v>
      </c>
      <c r="D813" s="1" t="s">
        <v>3580</v>
      </c>
      <c r="E813" s="1" t="s">
        <v>3581</v>
      </c>
      <c r="F813" s="4" t="s">
        <v>17</v>
      </c>
      <c r="G813" s="1" t="s">
        <v>18</v>
      </c>
      <c r="H813" s="1" t="s">
        <v>19</v>
      </c>
      <c r="I813" s="1" t="s">
        <v>20</v>
      </c>
      <c r="J813" s="1" t="s">
        <v>3582</v>
      </c>
      <c r="K813" s="1" t="s">
        <v>22</v>
      </c>
      <c r="L813" s="1" t="str">
        <f>HYPERLINK("https://files.afu.se/Downloads/Transcripts/0%20-%20Government/USA%20-%20NASA%20Johnson/2017 04 19 - NASA Johnson - A Moment with Jack Fischer__IdhNfqm0tE - transcript (automated).pdf","Transcript Link")</f>
        <v>Transcript Link</v>
      </c>
      <c r="M813" s="2" t="str">
        <f>HYPERLINK("https://files.afu.se/Downloads/Transcripts/0%20-%20Government/USA%20-%20NASA%20Johnson/2017 04 19 - NASA Johnson - A Moment with Jack Fischer__IdhNfqm0tE - transcript (automated).pdf","Transcript Link")</f>
        <v>Transcript Link</v>
      </c>
    </row>
    <row r="814" ht="270" spans="1:13">
      <c r="A814" s="1" t="s">
        <v>3583</v>
      </c>
      <c r="B814" s="1" t="s">
        <v>13</v>
      </c>
      <c r="C814" s="4" t="s">
        <v>3584</v>
      </c>
      <c r="D814" s="1" t="s">
        <v>3585</v>
      </c>
      <c r="E814" s="1" t="s">
        <v>3586</v>
      </c>
      <c r="F814" s="4" t="s">
        <v>17</v>
      </c>
      <c r="G814" s="1" t="s">
        <v>18</v>
      </c>
      <c r="H814" s="1" t="s">
        <v>19</v>
      </c>
      <c r="I814" s="1" t="s">
        <v>20</v>
      </c>
      <c r="J814" s="1" t="s">
        <v>3587</v>
      </c>
      <c r="K814" s="1" t="s">
        <v>22</v>
      </c>
      <c r="L814" s="1" t="str">
        <f>HYPERLINK("https://files.afu.se/Downloads/Transcripts/0%20-%20Government/USA%20-%20NASA%20Johnson/2017 04 18 - NASA Johnson - 5 Things You Didn’t Know About Astronaut Jack Fischer_pXww3F86K3M - transcript (automated).pdf","Transcript Link")</f>
        <v>Transcript Link</v>
      </c>
      <c r="M814" s="2" t="str">
        <f>HYPERLINK("https://files.afu.se/Downloads/Transcripts/0%20-%20Government/USA%20-%20NASA%20Johnson/2017 04 18 - NASA Johnson - 5 Things You Didn’t Know About Astronaut Jack Fischer_pXww3F86K3M - transcript (automated).pdf","Transcript Link")</f>
        <v>Transcript Link</v>
      </c>
    </row>
    <row r="815" ht="180" spans="1:13">
      <c r="A815" s="1" t="s">
        <v>3588</v>
      </c>
      <c r="B815" s="1" t="s">
        <v>13</v>
      </c>
      <c r="C815" s="4" t="s">
        <v>3589</v>
      </c>
      <c r="D815" s="1" t="s">
        <v>3590</v>
      </c>
      <c r="E815" s="1" t="s">
        <v>3591</v>
      </c>
      <c r="F815" s="4" t="s">
        <v>17</v>
      </c>
      <c r="G815" s="1" t="s">
        <v>18</v>
      </c>
      <c r="H815" s="1" t="s">
        <v>19</v>
      </c>
      <c r="I815" s="1" t="s">
        <v>20</v>
      </c>
      <c r="J815" s="1" t="s">
        <v>3592</v>
      </c>
      <c r="K815" s="1" t="s">
        <v>22</v>
      </c>
      <c r="L815" s="1" t="str">
        <f>HYPERLINK("https://files.afu.se/Downloads/Transcripts/0%20-%20Government/USA%20-%20NASA%20Johnson/2017 04 15 - NASA Johnson - Expedtion 51 Rocket Check_wExehfrQtqo - transcript (automated).pdf","Transcript Link")</f>
        <v>Transcript Link</v>
      </c>
      <c r="M815" s="2" t="str">
        <f>HYPERLINK("https://files.afu.se/Downloads/Transcripts/0%20-%20Government/USA%20-%20NASA%20Johnson/2017 04 15 - NASA Johnson - Expedtion 51 Rocket Check_wExehfrQtqo - transcript (automated).pdf","Transcript Link")</f>
        <v>Transcript Link</v>
      </c>
    </row>
    <row r="816" ht="180" spans="1:13">
      <c r="A816" s="1" t="s">
        <v>3593</v>
      </c>
      <c r="B816" s="1" t="s">
        <v>13</v>
      </c>
      <c r="C816" s="4" t="s">
        <v>3594</v>
      </c>
      <c r="D816" s="1" t="s">
        <v>3595</v>
      </c>
      <c r="E816" s="1" t="s">
        <v>2929</v>
      </c>
      <c r="F816" s="4" t="s">
        <v>17</v>
      </c>
      <c r="G816" s="1" t="s">
        <v>18</v>
      </c>
      <c r="H816" s="1" t="s">
        <v>19</v>
      </c>
      <c r="I816" s="1" t="s">
        <v>20</v>
      </c>
      <c r="J816" s="1" t="s">
        <v>3596</v>
      </c>
      <c r="K816" s="1" t="s">
        <v>22</v>
      </c>
      <c r="L816" s="1" t="str">
        <f>HYPERLINK("https://files.afu.se/Downloads/Transcripts/0%20-%20Government/USA%20-%20NASA%20Johnson/2017 04 14 - NASA Johnson - Space to Ground  Bullseye  04 14 2017_9D75x679hcs - transcript (automated).pdf","Transcript Link")</f>
        <v>Transcript Link</v>
      </c>
      <c r="M816" s="2" t="str">
        <f>HYPERLINK("https://files.afu.se/Downloads/Transcripts/0%20-%20Government/USA%20-%20NASA%20Johnson/2017 04 14 - NASA Johnson - Space to Ground  Bullseye  04 14 2017_9D75x679hcs - transcript (automated).pdf","Transcript Link")</f>
        <v>Transcript Link</v>
      </c>
    </row>
    <row r="817" ht="409.5" spans="1:13">
      <c r="A817" s="1" t="s">
        <v>3597</v>
      </c>
      <c r="B817" s="1" t="s">
        <v>13</v>
      </c>
      <c r="C817" s="4" t="s">
        <v>3598</v>
      </c>
      <c r="D817" s="1" t="s">
        <v>3599</v>
      </c>
      <c r="E817" s="1" t="s">
        <v>3600</v>
      </c>
      <c r="F817" s="4" t="s">
        <v>17</v>
      </c>
      <c r="G817" s="1" t="s">
        <v>18</v>
      </c>
      <c r="H817" s="1" t="s">
        <v>19</v>
      </c>
      <c r="I817" s="1" t="s">
        <v>20</v>
      </c>
      <c r="J817" s="1" t="s">
        <v>3601</v>
      </c>
      <c r="K817" s="1" t="s">
        <v>22</v>
      </c>
      <c r="L817" s="1" t="str">
        <f>HYPERLINK("https://files.afu.se/Downloads/Transcripts/0%20-%20Government/USA%20-%20NASA%20Johnson/2017 04 13 - NASA Johnson - STEM on Station_ntp6y-qe-sY - transcript (automated).pdf","Transcript Link")</f>
        <v>Transcript Link</v>
      </c>
      <c r="M817" s="2" t="str">
        <f>HYPERLINK("https://files.afu.se/Downloads/Transcripts/0%20-%20Government/USA%20-%20NASA%20Johnson/2017 04 13 - NASA Johnson - STEM on Station_ntp6y-qe-sY - transcript (automated).pdf","Transcript Link")</f>
        <v>Transcript Link</v>
      </c>
    </row>
    <row r="818" ht="180" spans="1:13">
      <c r="A818" s="1" t="s">
        <v>3602</v>
      </c>
      <c r="B818" s="1" t="s">
        <v>13</v>
      </c>
      <c r="C818" s="4" t="s">
        <v>3603</v>
      </c>
      <c r="D818" s="1" t="s">
        <v>3604</v>
      </c>
      <c r="E818" s="1" t="s">
        <v>3605</v>
      </c>
      <c r="F818" s="4" t="s">
        <v>17</v>
      </c>
      <c r="G818" s="1" t="s">
        <v>18</v>
      </c>
      <c r="H818" s="1" t="s">
        <v>19</v>
      </c>
      <c r="I818" s="1" t="s">
        <v>20</v>
      </c>
      <c r="J818" s="1" t="s">
        <v>3606</v>
      </c>
      <c r="K818" s="1" t="s">
        <v>22</v>
      </c>
      <c r="L818" s="1" t="str">
        <f>HYPERLINK("https://files.afu.se/Downloads/Transcripts/0%20-%20Government/USA%20-%20NASA%20Johnson/2017 04 10 - NASA Johnson - Expedition 50 Returns to Earth!_8TlNip1VJ38 - transcript (automated).pdf","Transcript Link")</f>
        <v>Transcript Link</v>
      </c>
      <c r="M818" s="2" t="str">
        <f>HYPERLINK("https://files.afu.se/Downloads/Transcripts/0%20-%20Government/USA%20-%20NASA%20Johnson/2017 04 10 - NASA Johnson - Expedition 50 Returns to Earth!_8TlNip1VJ38 - transcript (automated).pdf","Transcript Link")</f>
        <v>Transcript Link</v>
      </c>
    </row>
    <row r="819" ht="180" spans="1:13">
      <c r="A819" s="1" t="s">
        <v>3607</v>
      </c>
      <c r="B819" s="1" t="s">
        <v>13</v>
      </c>
      <c r="C819" s="4" t="s">
        <v>3608</v>
      </c>
      <c r="D819" s="1" t="s">
        <v>3609</v>
      </c>
      <c r="E819" s="1" t="s">
        <v>2929</v>
      </c>
      <c r="F819" s="4" t="s">
        <v>17</v>
      </c>
      <c r="G819" s="1" t="s">
        <v>18</v>
      </c>
      <c r="H819" s="1" t="s">
        <v>19</v>
      </c>
      <c r="I819" s="1" t="s">
        <v>20</v>
      </c>
      <c r="J819" s="1" t="s">
        <v>3610</v>
      </c>
      <c r="K819" s="1" t="s">
        <v>22</v>
      </c>
      <c r="L819" s="1" t="str">
        <f>HYPERLINK("https://files.afu.se/Downloads/Transcripts/0%20-%20Government/USA%20-%20NASA%20Johnson/2017 04 07 - NASA Johnson - Space to Ground  Prepare For Landing  04 07 2017_2Rd1sCC0G9E - transcript (automated).pdf","Transcript Link")</f>
        <v>Transcript Link</v>
      </c>
      <c r="M819" s="2" t="str">
        <f>HYPERLINK("https://files.afu.se/Downloads/Transcripts/0%20-%20Government/USA%20-%20NASA%20Johnson/2017 04 07 - NASA Johnson - Space to Ground  Prepare For Landing  04 07 2017_2Rd1sCC0G9E - transcript (automated).pdf","Transcript Link")</f>
        <v>Transcript Link</v>
      </c>
    </row>
    <row r="820" ht="180" spans="1:13">
      <c r="A820" s="1" t="s">
        <v>3611</v>
      </c>
      <c r="B820" s="1" t="s">
        <v>13</v>
      </c>
      <c r="C820" s="4" t="s">
        <v>3612</v>
      </c>
      <c r="D820" s="1" t="s">
        <v>3613</v>
      </c>
      <c r="E820" s="1" t="s">
        <v>3614</v>
      </c>
      <c r="F820" s="4" t="s">
        <v>17</v>
      </c>
      <c r="G820" s="1" t="s">
        <v>18</v>
      </c>
      <c r="H820" s="1" t="s">
        <v>19</v>
      </c>
      <c r="I820" s="1" t="s">
        <v>20</v>
      </c>
      <c r="J820" s="1" t="s">
        <v>3615</v>
      </c>
      <c r="K820" s="1" t="s">
        <v>22</v>
      </c>
      <c r="L820" s="1" t="str">
        <f>HYPERLINK("https://files.afu.se/Downloads/Transcripts/0%20-%20Government/USA%20-%20NASA%20Johnson/2017 04 03 - NASA Johnson - %23ICYMI  Spacewalkers Get Station Ready for Commercial Crew_MBCHIj1Li1A - transcript (automated).pdf","Transcript Link")</f>
        <v>Transcript Link</v>
      </c>
      <c r="M820" s="2" t="str">
        <f>HYPERLINK("https://files.afu.se/Downloads/Transcripts/0%20-%20Government/USA%20-%20NASA%20Johnson/2017 04 03 - NASA Johnson - %23ICYMI  Spacewalkers Get Station Ready for Commercial Crew_MBCHIj1Li1A - transcript (automated).pdf","Transcript Link")</f>
        <v>Transcript Link</v>
      </c>
    </row>
    <row r="821" ht="180" spans="1:13">
      <c r="A821" s="1" t="s">
        <v>3616</v>
      </c>
      <c r="B821" s="1" t="s">
        <v>13</v>
      </c>
      <c r="C821" s="4" t="s">
        <v>3617</v>
      </c>
      <c r="D821" s="1" t="s">
        <v>3618</v>
      </c>
      <c r="E821" s="1" t="s">
        <v>3619</v>
      </c>
      <c r="F821" s="4" t="s">
        <v>17</v>
      </c>
      <c r="G821" s="1" t="s">
        <v>18</v>
      </c>
      <c r="H821" s="1" t="s">
        <v>19</v>
      </c>
      <c r="I821" s="1" t="s">
        <v>20</v>
      </c>
      <c r="J821" s="1" t="s">
        <v>3620</v>
      </c>
      <c r="K821" s="1" t="s">
        <v>22</v>
      </c>
      <c r="L821" s="1" t="str">
        <f>HYPERLINK("https://files.afu.se/Downloads/Transcripts/0%20-%20Government/USA%20-%20NASA%20Johnson/2017 03 31 - NASA Johnson - YT Exp 51 Russia Feed Crew Qual Exams_NQKlygiPnoU - transcript (automated).pdf","Transcript Link")</f>
        <v>Transcript Link</v>
      </c>
      <c r="M821" s="2" t="str">
        <f>HYPERLINK("https://files.afu.se/Downloads/Transcripts/0%20-%20Government/USA%20-%20NASA%20Johnson/2017 03 31 - NASA Johnson - YT Exp 51 Russia Feed Crew Qual Exams_NQKlygiPnoU - transcript (automated).pdf","Transcript Link")</f>
        <v>Transcript Link</v>
      </c>
    </row>
    <row r="822" ht="180" spans="1:13">
      <c r="A822" s="1" t="s">
        <v>3616</v>
      </c>
      <c r="B822" s="1" t="s">
        <v>13</v>
      </c>
      <c r="C822" s="4" t="s">
        <v>3621</v>
      </c>
      <c r="D822" s="1" t="s">
        <v>3622</v>
      </c>
      <c r="E822" s="1" t="s">
        <v>2929</v>
      </c>
      <c r="F822" s="4" t="s">
        <v>17</v>
      </c>
      <c r="G822" s="1" t="s">
        <v>18</v>
      </c>
      <c r="H822" s="1" t="s">
        <v>19</v>
      </c>
      <c r="I822" s="1" t="s">
        <v>20</v>
      </c>
      <c r="J822" s="1" t="s">
        <v>3623</v>
      </c>
      <c r="K822" s="1" t="s">
        <v>22</v>
      </c>
      <c r="L822" s="1" t="str">
        <f>HYPERLINK("https://files.afu.se/Downloads/Transcripts/0%20-%20Government/USA%20-%20NASA%20Johnson/2017 03 31 - NASA Johnson - Space to Ground  Another Record for Peggy  03 31 2017_iyNfUPjSFDs - transcript (automated).pdf","Transcript Link")</f>
        <v>Transcript Link</v>
      </c>
      <c r="M822" s="2" t="str">
        <f>HYPERLINK("https://files.afu.se/Downloads/Transcripts/0%20-%20Government/USA%20-%20NASA%20Johnson/2017 03 31 - NASA Johnson - Space to Ground  Another Record for Peggy  03 31 2017_iyNfUPjSFDs - transcript (automated).pdf","Transcript Link")</f>
        <v>Transcript Link</v>
      </c>
    </row>
    <row r="823" ht="255" spans="1:13">
      <c r="A823" s="1" t="s">
        <v>3616</v>
      </c>
      <c r="B823" s="1" t="s">
        <v>13</v>
      </c>
      <c r="C823" s="4" t="s">
        <v>3624</v>
      </c>
      <c r="D823" s="1" t="s">
        <v>3625</v>
      </c>
      <c r="E823" s="1" t="s">
        <v>3626</v>
      </c>
      <c r="F823" s="4" t="s">
        <v>17</v>
      </c>
      <c r="G823" s="1" t="s">
        <v>18</v>
      </c>
      <c r="H823" s="1" t="s">
        <v>19</v>
      </c>
      <c r="I823" s="1" t="s">
        <v>20</v>
      </c>
      <c r="J823" s="1" t="s">
        <v>3627</v>
      </c>
      <c r="K823" s="1" t="s">
        <v>22</v>
      </c>
      <c r="L823" s="1" t="str">
        <f>HYPERLINK("https://files.afu.se/Downloads/Transcripts/0%20-%20Government/USA%20-%20NASA%20Johnson/2017 03 31 - NASA Johnson - Spacesuit training in a vacuum chamber at NASA Johnson (360 View)_H_g_iA3Kszg - transcript (automated).pdf","Transcript Link")</f>
        <v>Transcript Link</v>
      </c>
      <c r="M823" s="2" t="str">
        <f>HYPERLINK("https://files.afu.se/Downloads/Transcripts/0%20-%20Government/USA%20-%20NASA%20Johnson/2017 03 31 - NASA Johnson - Spacesuit training in a vacuum chamber at NASA Johnson (360 View)_H_g_iA3Kszg - transcript (automated).pdf","Transcript Link")</f>
        <v>Transcript Link</v>
      </c>
    </row>
    <row r="824" ht="270" spans="1:13">
      <c r="A824" s="1" t="s">
        <v>3628</v>
      </c>
      <c r="B824" s="1" t="s">
        <v>13</v>
      </c>
      <c r="C824" s="4" t="s">
        <v>3629</v>
      </c>
      <c r="D824" s="1" t="s">
        <v>3630</v>
      </c>
      <c r="E824" s="1" t="s">
        <v>3631</v>
      </c>
      <c r="F824" s="4" t="s">
        <v>17</v>
      </c>
      <c r="G824" s="1" t="s">
        <v>18</v>
      </c>
      <c r="H824" s="1" t="s">
        <v>19</v>
      </c>
      <c r="I824" s="1" t="s">
        <v>20</v>
      </c>
      <c r="J824" s="1" t="s">
        <v>3632</v>
      </c>
      <c r="K824" s="1" t="s">
        <v>22</v>
      </c>
      <c r="L824" s="1" t="str">
        <f>HYPERLINK("https://files.afu.se/Downloads/Transcripts/0%20-%20Government/USA%20-%20NASA%20Johnson/2017 03 27 - NASA Johnson - Space Station Adapter Moved to New Location_aMw72D58W3Y - transcript (automated).pdf","Transcript Link")</f>
        <v>Transcript Link</v>
      </c>
      <c r="M824" s="2" t="str">
        <f>HYPERLINK("https://files.afu.se/Downloads/Transcripts/0%20-%20Government/USA%20-%20NASA%20Johnson/2017 03 27 - NASA Johnson - Space Station Adapter Moved to New Location_aMw72D58W3Y - transcript (automated).pdf","Transcript Link")</f>
        <v>Transcript Link</v>
      </c>
    </row>
    <row r="825" ht="180" spans="1:13">
      <c r="A825" s="1" t="s">
        <v>3633</v>
      </c>
      <c r="B825" s="1" t="s">
        <v>13</v>
      </c>
      <c r="C825" s="4" t="s">
        <v>3634</v>
      </c>
      <c r="D825" s="1" t="s">
        <v>3635</v>
      </c>
      <c r="E825" s="1" t="s">
        <v>2929</v>
      </c>
      <c r="F825" s="4" t="s">
        <v>17</v>
      </c>
      <c r="G825" s="1" t="s">
        <v>18</v>
      </c>
      <c r="H825" s="1" t="s">
        <v>19</v>
      </c>
      <c r="I825" s="1" t="s">
        <v>20</v>
      </c>
      <c r="J825" s="1" t="s">
        <v>3636</v>
      </c>
      <c r="K825" s="1" t="s">
        <v>22</v>
      </c>
      <c r="L825" s="1" t="str">
        <f>HYPERLINK("https://files.afu.se/Downloads/Transcripts/0%20-%20Government/USA%20-%20NASA%20Johnson/2017 03 24 - NASA Johnson - Space to Ground  Return of the Dragon  03 24 2017_bDstIrIn3mw - transcript (automated).pdf","Transcript Link")</f>
        <v>Transcript Link</v>
      </c>
      <c r="M825" s="2" t="str">
        <f>HYPERLINK("https://files.afu.se/Downloads/Transcripts/0%20-%20Government/USA%20-%20NASA%20Johnson/2017 03 24 - NASA Johnson - Space to Ground  Return of the Dragon  03 24 2017_bDstIrIn3mw - transcript (automated).pdf","Transcript Link")</f>
        <v>Transcript Link</v>
      </c>
    </row>
    <row r="826" ht="225" spans="1:13">
      <c r="A826" s="1" t="s">
        <v>3637</v>
      </c>
      <c r="B826" s="1" t="s">
        <v>13</v>
      </c>
      <c r="C826" s="4" t="s">
        <v>3638</v>
      </c>
      <c r="D826" s="1" t="s">
        <v>3639</v>
      </c>
      <c r="E826" s="1" t="s">
        <v>3640</v>
      </c>
      <c r="F826" s="4" t="s">
        <v>17</v>
      </c>
      <c r="G826" s="1" t="s">
        <v>18</v>
      </c>
      <c r="H826" s="1" t="s">
        <v>19</v>
      </c>
      <c r="I826" s="1" t="s">
        <v>20</v>
      </c>
      <c r="J826" s="1" t="s">
        <v>3641</v>
      </c>
      <c r="K826" s="1" t="s">
        <v>22</v>
      </c>
      <c r="L826" s="1" t="str">
        <f>HYPERLINK("https://files.afu.se/Downloads/Transcripts/0%20-%20Government/USA%20-%20NASA%20Johnson/2017 03 23 - NASA Johnson - Preview of U.S. Spacewalk %2340_WcFarXvECb8 - transcript (automated).pdf","Transcript Link")</f>
        <v>Transcript Link</v>
      </c>
      <c r="M826" s="2" t="str">
        <f>HYPERLINK("https://files.afu.se/Downloads/Transcripts/0%20-%20Government/USA%20-%20NASA%20Johnson/2017 03 23 - NASA Johnson - Preview of U.S. Spacewalk %2340_WcFarXvECb8 - transcript (automated).pdf","Transcript Link")</f>
        <v>Transcript Link</v>
      </c>
    </row>
    <row r="827" ht="345" spans="1:13">
      <c r="A827" s="1" t="s">
        <v>3642</v>
      </c>
      <c r="B827" s="1" t="s">
        <v>13</v>
      </c>
      <c r="C827" s="4" t="s">
        <v>3643</v>
      </c>
      <c r="D827" s="1" t="s">
        <v>3644</v>
      </c>
      <c r="E827" s="1" t="s">
        <v>3645</v>
      </c>
      <c r="F827" s="4" t="s">
        <v>17</v>
      </c>
      <c r="G827" s="1" t="s">
        <v>18</v>
      </c>
      <c r="H827" s="1" t="s">
        <v>19</v>
      </c>
      <c r="I827" s="1" t="s">
        <v>20</v>
      </c>
      <c r="J827" s="1" t="s">
        <v>3646</v>
      </c>
      <c r="K827" s="1" t="s">
        <v>22</v>
      </c>
      <c r="L827" s="1" t="str">
        <f>HYPERLINK("https://files.afu.se/Downloads/Transcripts/0%20-%20Government/USA%20-%20NASA%20Johnson/2017 03 20 - NASA Johnson - I Am a Camera  On a Spacewalk_0ValuWqyRG8 - transcript (automated).pdf","Transcript Link")</f>
        <v>Transcript Link</v>
      </c>
      <c r="M827" s="2" t="str">
        <f>HYPERLINK("https://files.afu.se/Downloads/Transcripts/0%20-%20Government/USA%20-%20NASA%20Johnson/2017 03 20 - NASA Johnson - I Am a Camera  On a Spacewalk_0ValuWqyRG8 - transcript (automated).pdf","Transcript Link")</f>
        <v>Transcript Link</v>
      </c>
    </row>
    <row r="828" ht="180" spans="1:13">
      <c r="A828" s="1" t="s">
        <v>3647</v>
      </c>
      <c r="B828" s="1" t="s">
        <v>13</v>
      </c>
      <c r="C828" s="4" t="s">
        <v>3648</v>
      </c>
      <c r="D828" s="1" t="s">
        <v>3649</v>
      </c>
      <c r="E828" s="1" t="s">
        <v>2929</v>
      </c>
      <c r="F828" s="4" t="s">
        <v>17</v>
      </c>
      <c r="G828" s="1" t="s">
        <v>18</v>
      </c>
      <c r="H828" s="1" t="s">
        <v>19</v>
      </c>
      <c r="I828" s="1" t="s">
        <v>20</v>
      </c>
      <c r="J828" s="1" t="s">
        <v>3650</v>
      </c>
      <c r="K828" s="1" t="s">
        <v>22</v>
      </c>
      <c r="L828" s="1" t="str">
        <f>HYPERLINK("https://files.afu.se/Downloads/Transcripts/0%20-%20Government/USA%20-%20NASA%20Johnson/2017 03 17 - NASA Johnson - Space to Ground  Packing Dragon  03 17 2017_WL1XY4jT5ks - transcript (automated).pdf","Transcript Link")</f>
        <v>Transcript Link</v>
      </c>
      <c r="M828" s="2" t="str">
        <f>HYPERLINK("https://files.afu.se/Downloads/Transcripts/0%20-%20Government/USA%20-%20NASA%20Johnson/2017 03 17 - NASA Johnson - Space to Ground  Packing Dragon  03 17 2017_WL1XY4jT5ks - transcript (automated).pdf","Transcript Link")</f>
        <v>Transcript Link</v>
      </c>
    </row>
    <row r="829" ht="180" spans="1:13">
      <c r="A829" s="1" t="s">
        <v>3651</v>
      </c>
      <c r="B829" s="1" t="s">
        <v>13</v>
      </c>
      <c r="C829" s="4" t="s">
        <v>3652</v>
      </c>
      <c r="D829" s="1" t="s">
        <v>3653</v>
      </c>
      <c r="E829" s="1" t="s">
        <v>2929</v>
      </c>
      <c r="F829" s="4" t="s">
        <v>17</v>
      </c>
      <c r="G829" s="1" t="s">
        <v>18</v>
      </c>
      <c r="H829" s="1" t="s">
        <v>19</v>
      </c>
      <c r="I829" s="1" t="s">
        <v>20</v>
      </c>
      <c r="J829" s="1" t="s">
        <v>3654</v>
      </c>
      <c r="K829" s="1" t="s">
        <v>22</v>
      </c>
      <c r="L829" s="1" t="str">
        <f>HYPERLINK("https://files.afu.se/Downloads/Transcripts/0%20-%20Government/USA%20-%20NASA%20Johnson/2017 03 10 - NASA Johnson - Space to Ground  At Home in Space   03 10 2017_gLX87TYjXbM - transcript (automated).pdf","Transcript Link")</f>
        <v>Transcript Link</v>
      </c>
      <c r="M829" s="2" t="str">
        <f>HYPERLINK("https://files.afu.se/Downloads/Transcripts/0%20-%20Government/USA%20-%20NASA%20Johnson/2017 03 10 - NASA Johnson - Space to Ground  At Home in Space   03 10 2017_gLX87TYjXbM - transcript (automated).pdf","Transcript Link")</f>
        <v>Transcript Link</v>
      </c>
    </row>
    <row r="830" ht="315" spans="1:13">
      <c r="A830" s="1" t="s">
        <v>3655</v>
      </c>
      <c r="B830" s="1" t="s">
        <v>13</v>
      </c>
      <c r="C830" s="4" t="s">
        <v>3656</v>
      </c>
      <c r="D830" s="1" t="s">
        <v>3657</v>
      </c>
      <c r="E830" s="1" t="s">
        <v>3658</v>
      </c>
      <c r="F830" s="4" t="s">
        <v>17</v>
      </c>
      <c r="G830" s="1" t="s">
        <v>18</v>
      </c>
      <c r="H830" s="1" t="s">
        <v>19</v>
      </c>
      <c r="I830" s="1" t="s">
        <v>20</v>
      </c>
      <c r="J830" s="1" t="s">
        <v>3659</v>
      </c>
      <c r="K830" s="1" t="s">
        <v>22</v>
      </c>
      <c r="L830" s="1" t="str">
        <f>HYPERLINK("https://files.afu.se/Downloads/Transcripts/0%20-%20Government/USA%20-%20NASA%20Johnson/2017 03 07 - NASA Johnson - We Tell the Crew What To Do_AV_x2KbJjIc - transcript (automated).pdf","Transcript Link")</f>
        <v>Transcript Link</v>
      </c>
      <c r="M830" s="2" t="str">
        <f>HYPERLINK("https://files.afu.se/Downloads/Transcripts/0%20-%20Government/USA%20-%20NASA%20Johnson/2017 03 07 - NASA Johnson - We Tell the Crew What To Do_AV_x2KbJjIc - transcript (automated).pdf","Transcript Link")</f>
        <v>Transcript Link</v>
      </c>
    </row>
    <row r="831" ht="180" spans="1:13">
      <c r="A831" s="1" t="s">
        <v>3660</v>
      </c>
      <c r="B831" s="1" t="s">
        <v>13</v>
      </c>
      <c r="C831" s="4" t="s">
        <v>3661</v>
      </c>
      <c r="D831" s="1" t="s">
        <v>3662</v>
      </c>
      <c r="E831" s="1" t="s">
        <v>3663</v>
      </c>
      <c r="F831" s="4" t="s">
        <v>17</v>
      </c>
      <c r="G831" s="1" t="s">
        <v>18</v>
      </c>
      <c r="H831" s="1" t="s">
        <v>19</v>
      </c>
      <c r="I831" s="1" t="s">
        <v>20</v>
      </c>
      <c r="J831" s="1" t="s">
        <v>3664</v>
      </c>
      <c r="K831" s="1" t="s">
        <v>22</v>
      </c>
      <c r="L831" s="1" t="str">
        <f>HYPERLINK("https://files.afu.se/Downloads/Transcripts/0%20-%20Government/USA%20-%20NASA%20Johnson/2017 03 04 - NASA Johnson - %23ICYMI  Dragon and Progress Ships Race to Resupply Station_ZtrT0HfTV5Q - transcript (automated).pdf","Transcript Link")</f>
        <v>Transcript Link</v>
      </c>
      <c r="M831" s="2" t="str">
        <f>HYPERLINK("https://files.afu.se/Downloads/Transcripts/0%20-%20Government/USA%20-%20NASA%20Johnson/2017 03 04 - NASA Johnson - %23ICYMI  Dragon and Progress Ships Race to Resupply Station_ZtrT0HfTV5Q - transcript (automated).pdf","Transcript Link")</f>
        <v>Transcript Link</v>
      </c>
    </row>
    <row r="832" ht="180" spans="1:13">
      <c r="A832" s="1" t="s">
        <v>3665</v>
      </c>
      <c r="B832" s="1" t="s">
        <v>13</v>
      </c>
      <c r="C832" s="4" t="s">
        <v>3666</v>
      </c>
      <c r="D832" s="1" t="s">
        <v>3667</v>
      </c>
      <c r="E832" s="1" t="s">
        <v>2929</v>
      </c>
      <c r="F832" s="4" t="s">
        <v>17</v>
      </c>
      <c r="G832" s="1" t="s">
        <v>18</v>
      </c>
      <c r="H832" s="1" t="s">
        <v>19</v>
      </c>
      <c r="I832" s="1" t="s">
        <v>20</v>
      </c>
      <c r="J832" s="1" t="s">
        <v>3668</v>
      </c>
      <c r="K832" s="1" t="s">
        <v>22</v>
      </c>
      <c r="L832" s="1" t="str">
        <f>HYPERLINK("https://files.afu.se/Downloads/Transcripts/0%20-%20Government/USA%20-%20NASA%20Johnson/2017 03 03 - NASA Johnson - Space to Ground  Science Time  03 03 2017_cp-lTLz_tRM - transcript (automated).pdf","Transcript Link")</f>
        <v>Transcript Link</v>
      </c>
      <c r="M832" s="2" t="str">
        <f>HYPERLINK("https://files.afu.se/Downloads/Transcripts/0%20-%20Government/USA%20-%20NASA%20Johnson/2017 03 03 - NASA Johnson - Space to Ground  Science Time  03 03 2017_cp-lTLz_tRM - transcript (automated).pdf","Transcript Link")</f>
        <v>Transcript Link</v>
      </c>
    </row>
    <row r="833" ht="270" spans="1:13">
      <c r="A833" s="1" t="s">
        <v>3669</v>
      </c>
      <c r="B833" s="1" t="s">
        <v>13</v>
      </c>
      <c r="C833" s="4" t="s">
        <v>3670</v>
      </c>
      <c r="D833" s="1" t="s">
        <v>3671</v>
      </c>
      <c r="E833" s="1" t="s">
        <v>3672</v>
      </c>
      <c r="F833" s="4" t="s">
        <v>17</v>
      </c>
      <c r="G833" s="1" t="s">
        <v>18</v>
      </c>
      <c r="H833" s="1" t="s">
        <v>19</v>
      </c>
      <c r="I833" s="1" t="s">
        <v>20</v>
      </c>
      <c r="J833" s="1" t="s">
        <v>3673</v>
      </c>
      <c r="K833" s="1" t="s">
        <v>22</v>
      </c>
      <c r="L833" s="1" t="str">
        <f>HYPERLINK("https://files.afu.se/Downloads/Transcripts/0%20-%20Government/USA%20-%20NASA%20Johnson/2017 03 02 - NASA Johnson - Genetic Library Open to World_qp_0l043mKQ - transcript (automated).pdf","Transcript Link")</f>
        <v>Transcript Link</v>
      </c>
      <c r="M833" s="2" t="str">
        <f>HYPERLINK("https://files.afu.se/Downloads/Transcripts/0%20-%20Government/USA%20-%20NASA%20Johnson/2017 03 02 - NASA Johnson - Genetic Library Open to World_qp_0l043mKQ - transcript (automated).pdf","Transcript Link")</f>
        <v>Transcript Link</v>
      </c>
    </row>
    <row r="834" ht="240" spans="1:13">
      <c r="A834" s="1" t="s">
        <v>3669</v>
      </c>
      <c r="B834" s="1" t="s">
        <v>13</v>
      </c>
      <c r="C834" s="4" t="s">
        <v>3674</v>
      </c>
      <c r="D834" s="1" t="s">
        <v>3675</v>
      </c>
      <c r="E834" s="1" t="s">
        <v>3676</v>
      </c>
      <c r="F834" s="4" t="s">
        <v>17</v>
      </c>
      <c r="G834" s="1" t="s">
        <v>18</v>
      </c>
      <c r="H834" s="1" t="s">
        <v>19</v>
      </c>
      <c r="I834" s="1" t="s">
        <v>20</v>
      </c>
      <c r="J834" s="1" t="s">
        <v>3677</v>
      </c>
      <c r="K834" s="1" t="s">
        <v>22</v>
      </c>
      <c r="L834" s="1" t="str">
        <f>HYPERLINK("https://files.afu.se/Downloads/Transcripts/0%20-%20Government/USA%20-%20NASA%20Johnson/2017 03 02 - NASA Johnson - NASA Village signatures fly with me on the International Space Station._8CCPwZHz3uw - transcript (automated).pdf","Transcript Link")</f>
        <v>Transcript Link</v>
      </c>
      <c r="M834" s="2" t="str">
        <f>HYPERLINK("https://files.afu.se/Downloads/Transcripts/0%20-%20Government/USA%20-%20NASA%20Johnson/2017 03 02 - NASA Johnson - NASA Village signatures fly with me on the International Space Station._8CCPwZHz3uw - transcript (automated).pdf","Transcript Link")</f>
        <v>Transcript Link</v>
      </c>
    </row>
    <row r="835" ht="255" spans="1:13">
      <c r="A835" s="1" t="s">
        <v>3678</v>
      </c>
      <c r="B835" s="1" t="s">
        <v>13</v>
      </c>
      <c r="C835" s="4" t="s">
        <v>3679</v>
      </c>
      <c r="D835" s="1" t="s">
        <v>3680</v>
      </c>
      <c r="E835" s="1" t="s">
        <v>3681</v>
      </c>
      <c r="F835" s="4" t="s">
        <v>17</v>
      </c>
      <c r="G835" s="1" t="s">
        <v>18</v>
      </c>
      <c r="H835" s="1" t="s">
        <v>19</v>
      </c>
      <c r="I835" s="1" t="s">
        <v>20</v>
      </c>
      <c r="J835" s="1" t="s">
        <v>3682</v>
      </c>
      <c r="K835" s="1" t="s">
        <v>22</v>
      </c>
      <c r="L835" s="1" t="str">
        <f>HYPERLINK("https://files.afu.se/Downloads/Transcripts/0%20-%20Government/USA%20-%20NASA%20Johnson/2017 03 01 - NASA Johnson - One Year Later_8N--3_JsHQk - transcript (automated).pdf","Transcript Link")</f>
        <v>Transcript Link</v>
      </c>
      <c r="M835" s="2" t="str">
        <f>HYPERLINK("https://files.afu.se/Downloads/Transcripts/0%20-%20Government/USA%20-%20NASA%20Johnson/2017 03 01 - NASA Johnson - One Year Later_8N--3_JsHQk - transcript (automated).pdf","Transcript Link")</f>
        <v>Transcript Link</v>
      </c>
    </row>
    <row r="836" ht="330" spans="1:13">
      <c r="A836" s="1" t="s">
        <v>3683</v>
      </c>
      <c r="B836" s="1" t="s">
        <v>13</v>
      </c>
      <c r="C836" s="4" t="s">
        <v>3684</v>
      </c>
      <c r="D836" s="1" t="s">
        <v>3685</v>
      </c>
      <c r="E836" s="1" t="s">
        <v>3686</v>
      </c>
      <c r="F836" s="4" t="s">
        <v>17</v>
      </c>
      <c r="G836" s="1" t="s">
        <v>18</v>
      </c>
      <c r="H836" s="1" t="s">
        <v>19</v>
      </c>
      <c r="I836" s="1" t="s">
        <v>20</v>
      </c>
      <c r="J836" s="1" t="s">
        <v>3687</v>
      </c>
      <c r="K836" s="1" t="s">
        <v>22</v>
      </c>
      <c r="L836" s="1" t="str">
        <f>HYPERLINK("https://files.afu.se/Downloads/Transcripts/0%20-%20Government/USA%20-%20NASA%20Johnson/2017 02 24 - NASA Johnson - NOT Lost in Space_arEf05Yf5IY - transcript (automated).pdf","Transcript Link")</f>
        <v>Transcript Link</v>
      </c>
      <c r="M836" s="2" t="str">
        <f>HYPERLINK("https://files.afu.se/Downloads/Transcripts/0%20-%20Government/USA%20-%20NASA%20Johnson/2017 02 24 - NASA Johnson - NOT Lost in Space_arEf05Yf5IY - transcript (automated).pdf","Transcript Link")</f>
        <v>Transcript Link</v>
      </c>
    </row>
    <row r="837" ht="180" spans="1:13">
      <c r="A837" s="1" t="s">
        <v>3683</v>
      </c>
      <c r="B837" s="1" t="s">
        <v>13</v>
      </c>
      <c r="C837" s="4" t="s">
        <v>3688</v>
      </c>
      <c r="D837" s="1" t="s">
        <v>3689</v>
      </c>
      <c r="E837" s="1" t="s">
        <v>2929</v>
      </c>
      <c r="F837" s="4" t="s">
        <v>17</v>
      </c>
      <c r="G837" s="1" t="s">
        <v>18</v>
      </c>
      <c r="H837" s="1" t="s">
        <v>19</v>
      </c>
      <c r="I837" s="1" t="s">
        <v>20</v>
      </c>
      <c r="J837" s="1" t="s">
        <v>3690</v>
      </c>
      <c r="K837" s="1" t="s">
        <v>22</v>
      </c>
      <c r="L837" s="1" t="str">
        <f>HYPERLINK("https://files.afu.se/Downloads/Transcripts/0%20-%20Government/USA%20-%20NASA%20Johnson/2017 02 24 - NASA Johnson - Space to Ground  Special Delivery for the Station  02 24 2017_28r2SFZwkB0 - transcript (automated).pdf","Transcript Link")</f>
        <v>Transcript Link</v>
      </c>
      <c r="M837" s="2" t="str">
        <f>HYPERLINK("https://files.afu.se/Downloads/Transcripts/0%20-%20Government/USA%20-%20NASA%20Johnson/2017 02 24 - NASA Johnson - Space to Ground  Special Delivery for the Station  02 24 2017_28r2SFZwkB0 - transcript (automated).pdf","Transcript Link")</f>
        <v>Transcript Link</v>
      </c>
    </row>
    <row r="838" ht="330" spans="1:13">
      <c r="A838" s="1" t="s">
        <v>3691</v>
      </c>
      <c r="B838" s="1" t="s">
        <v>13</v>
      </c>
      <c r="C838" s="4" t="s">
        <v>3692</v>
      </c>
      <c r="D838" s="1" t="s">
        <v>3693</v>
      </c>
      <c r="E838" s="1" t="s">
        <v>3694</v>
      </c>
      <c r="F838" s="4" t="s">
        <v>17</v>
      </c>
      <c r="G838" s="1" t="s">
        <v>18</v>
      </c>
      <c r="H838" s="1" t="s">
        <v>19</v>
      </c>
      <c r="I838" s="1" t="s">
        <v>20</v>
      </c>
      <c r="J838" s="1" t="s">
        <v>3695</v>
      </c>
      <c r="K838" s="1" t="s">
        <v>22</v>
      </c>
      <c r="L838" s="1" t="str">
        <f>HYPERLINK("https://files.afu.se/Downloads/Transcripts/0%20-%20Government/USA%20-%20NASA%20Johnson/2017 02 21 - NASA Johnson - Next Big Thing  Genetic Data from Space Station__wc9l4vGm5Y - transcript (automated).pdf","Transcript Link")</f>
        <v>Transcript Link</v>
      </c>
      <c r="M838" s="2" t="str">
        <f>HYPERLINK("https://files.afu.se/Downloads/Transcripts/0%20-%20Government/USA%20-%20NASA%20Johnson/2017 02 21 - NASA Johnson - Next Big Thing  Genetic Data from Space Station__wc9l4vGm5Y - transcript (automated).pdf","Transcript Link")</f>
        <v>Transcript Link</v>
      </c>
    </row>
    <row r="839" ht="180" spans="1:13">
      <c r="A839" s="1" t="s">
        <v>3696</v>
      </c>
      <c r="B839" s="1" t="s">
        <v>13</v>
      </c>
      <c r="C839" s="4" t="s">
        <v>3697</v>
      </c>
      <c r="D839" s="1" t="s">
        <v>3698</v>
      </c>
      <c r="E839" s="1" t="s">
        <v>2929</v>
      </c>
      <c r="F839" s="4" t="s">
        <v>17</v>
      </c>
      <c r="G839" s="1" t="s">
        <v>18</v>
      </c>
      <c r="H839" s="1" t="s">
        <v>19</v>
      </c>
      <c r="I839" s="1" t="s">
        <v>20</v>
      </c>
      <c r="J839" s="1" t="s">
        <v>3699</v>
      </c>
      <c r="K839" s="1" t="s">
        <v>22</v>
      </c>
      <c r="L839" s="1" t="str">
        <f>HYPERLINK("https://files.afu.se/Downloads/Transcripts/0%20-%20Government/USA%20-%20NASA%20Johnson/2017 02 17 - NASA Johnson - Space to Ground  Flying Robots in Space  02 17 2017_HoE3L56BVZw - transcript (automated).pdf","Transcript Link")</f>
        <v>Transcript Link</v>
      </c>
      <c r="M839" s="2" t="str">
        <f>HYPERLINK("https://files.afu.se/Downloads/Transcripts/0%20-%20Government/USA%20-%20NASA%20Johnson/2017 02 17 - NASA Johnson - Space to Ground  Flying Robots in Space  02 17 2017_HoE3L56BVZw - transcript (automated).pdf","Transcript Link")</f>
        <v>Transcript Link</v>
      </c>
    </row>
    <row r="840" ht="270" spans="1:13">
      <c r="A840" s="1" t="s">
        <v>3700</v>
      </c>
      <c r="B840" s="1" t="s">
        <v>13</v>
      </c>
      <c r="C840" s="4" t="s">
        <v>3701</v>
      </c>
      <c r="D840" s="1" t="s">
        <v>3702</v>
      </c>
      <c r="E840" s="1" t="s">
        <v>3703</v>
      </c>
      <c r="F840" s="4" t="s">
        <v>17</v>
      </c>
      <c r="G840" s="1" t="s">
        <v>18</v>
      </c>
      <c r="H840" s="1" t="s">
        <v>19</v>
      </c>
      <c r="I840" s="1" t="s">
        <v>20</v>
      </c>
      <c r="J840" s="1" t="s">
        <v>3704</v>
      </c>
      <c r="K840" s="1" t="s">
        <v>22</v>
      </c>
      <c r="L840" s="1" t="str">
        <f>HYPERLINK("https://files.afu.se/Downloads/Transcripts/0%20-%20Government/USA%20-%20NASA%20Johnson/2017 02 15 - NASA Johnson - SAGE-III Ready for Ozone Checkup_HQdMZ5OAU3U - transcript (automated).pdf","Transcript Link")</f>
        <v>Transcript Link</v>
      </c>
      <c r="M840" s="2" t="str">
        <f>HYPERLINK("https://files.afu.se/Downloads/Transcripts/0%20-%20Government/USA%20-%20NASA%20Johnson/2017 02 15 - NASA Johnson - SAGE-III Ready for Ozone Checkup_HQdMZ5OAU3U - transcript (automated).pdf","Transcript Link")</f>
        <v>Transcript Link</v>
      </c>
    </row>
    <row r="841" ht="330" spans="1:13">
      <c r="A841" s="1" t="s">
        <v>3705</v>
      </c>
      <c r="B841" s="1" t="s">
        <v>13</v>
      </c>
      <c r="C841" s="4" t="s">
        <v>3706</v>
      </c>
      <c r="D841" s="1" t="s">
        <v>3707</v>
      </c>
      <c r="E841" s="1" t="s">
        <v>3708</v>
      </c>
      <c r="F841" s="4" t="s">
        <v>17</v>
      </c>
      <c r="G841" s="1" t="s">
        <v>18</v>
      </c>
      <c r="H841" s="1" t="s">
        <v>19</v>
      </c>
      <c r="I841" s="1" t="s">
        <v>20</v>
      </c>
      <c r="J841" s="1" t="s">
        <v>3709</v>
      </c>
      <c r="K841" s="1" t="s">
        <v>22</v>
      </c>
      <c r="L841" s="1" t="str">
        <f>HYPERLINK("https://files.afu.se/Downloads/Transcripts/0%20-%20Government/USA%20-%20NASA%20Johnson/2017 02 11 - NASA Johnson - The Earth  4K Extended Edition_7fYKMCCPh28 - transcript (automated).pdf","Transcript Link")</f>
        <v>Transcript Link</v>
      </c>
      <c r="M841" s="2" t="str">
        <f>HYPERLINK("https://files.afu.se/Downloads/Transcripts/0%20-%20Government/USA%20-%20NASA%20Johnson/2017 02 11 - NASA Johnson - The Earth  4K Extended Edition_7fYKMCCPh28 - transcript (automated).pdf","Transcript Link")</f>
        <v>Transcript Link</v>
      </c>
    </row>
    <row r="842" ht="180" spans="1:13">
      <c r="A842" s="1" t="s">
        <v>3710</v>
      </c>
      <c r="B842" s="1" t="s">
        <v>13</v>
      </c>
      <c r="C842" s="4" t="s">
        <v>3711</v>
      </c>
      <c r="D842" s="1" t="s">
        <v>3712</v>
      </c>
      <c r="E842" s="1" t="s">
        <v>2929</v>
      </c>
      <c r="F842" s="4" t="s">
        <v>17</v>
      </c>
      <c r="G842" s="1" t="s">
        <v>18</v>
      </c>
      <c r="H842" s="1" t="s">
        <v>19</v>
      </c>
      <c r="I842" s="1" t="s">
        <v>20</v>
      </c>
      <c r="J842" s="1" t="s">
        <v>3713</v>
      </c>
      <c r="K842" s="1" t="s">
        <v>22</v>
      </c>
      <c r="L842" s="1" t="str">
        <f>HYPERLINK("https://files.afu.se/Downloads/Transcripts/0%20-%20Government/USA%20-%20NASA%20Johnson/2017 02 10 - NASA Johnson - Space to Ground  Who Doesn't Enjoy a Good View of Planet Earth   02 10 2017_Hbr7l-iVoBE - transcript (automated).pdf","Transcript Link")</f>
        <v>Transcript Link</v>
      </c>
      <c r="M842" s="2" t="str">
        <f>HYPERLINK("https://files.afu.se/Downloads/Transcripts/0%20-%20Government/USA%20-%20NASA%20Johnson/2017 02 10 - NASA Johnson - Space to Ground  Who Doesn't Enjoy a Good View of Planet Earth   02 10 2017_Hbr7l-iVoBE - transcript (automated).pdf","Transcript Link")</f>
        <v>Transcript Link</v>
      </c>
    </row>
    <row r="843" ht="180" spans="1:13">
      <c r="A843" s="1" t="s">
        <v>3714</v>
      </c>
      <c r="B843" s="1" t="s">
        <v>13</v>
      </c>
      <c r="C843" s="4" t="s">
        <v>3715</v>
      </c>
      <c r="D843" s="1" t="s">
        <v>3716</v>
      </c>
      <c r="E843" s="1" t="s">
        <v>3717</v>
      </c>
      <c r="F843" s="4" t="s">
        <v>17</v>
      </c>
      <c r="G843" s="1" t="s">
        <v>18</v>
      </c>
      <c r="H843" s="1" t="s">
        <v>19</v>
      </c>
      <c r="I843" s="1" t="s">
        <v>20</v>
      </c>
      <c r="J843" s="1" t="s">
        <v>3718</v>
      </c>
      <c r="K843" s="1" t="s">
        <v>22</v>
      </c>
      <c r="L843" s="1" t="str">
        <f>HYPERLINK("https://files.afu.se/Downloads/Transcripts/0%20-%20Government/USA%20-%20NASA%20Johnson/2017 02 03 - NASA Johnson - Zero G Hail Mary Pass - UHD_vSjDB9F-9Pk - transcript (automated).pdf","Transcript Link")</f>
        <v>Transcript Link</v>
      </c>
      <c r="M843" s="2" t="str">
        <f>HYPERLINK("https://files.afu.se/Downloads/Transcripts/0%20-%20Government/USA%20-%20NASA%20Johnson/2017 02 03 - NASA Johnson - Zero G Hail Mary Pass - UHD_vSjDB9F-9Pk - transcript (automated).pdf","Transcript Link")</f>
        <v>Transcript Link</v>
      </c>
    </row>
    <row r="844" ht="180" spans="1:13">
      <c r="A844" s="1" t="s">
        <v>3714</v>
      </c>
      <c r="B844" s="1" t="s">
        <v>13</v>
      </c>
      <c r="C844" s="4" t="s">
        <v>3719</v>
      </c>
      <c r="D844" s="1" t="s">
        <v>3720</v>
      </c>
      <c r="E844" s="1" t="s">
        <v>2929</v>
      </c>
      <c r="F844" s="4" t="s">
        <v>17</v>
      </c>
      <c r="G844" s="1" t="s">
        <v>18</v>
      </c>
      <c r="H844" s="1" t="s">
        <v>19</v>
      </c>
      <c r="I844" s="1" t="s">
        <v>20</v>
      </c>
      <c r="J844" s="1" t="s">
        <v>3721</v>
      </c>
      <c r="K844" s="1" t="s">
        <v>22</v>
      </c>
      <c r="L844" s="1" t="str">
        <f>HYPERLINK("https://files.afu.se/Downloads/Transcripts/0%20-%20Government/USA%20-%20NASA%20Johnson/2017 02 03 - NASA Johnson - Space to Ground  Science Touchdown!  02 03 2017_ggh96kR8cu0 - transcript (automated).pdf","Transcript Link")</f>
        <v>Transcript Link</v>
      </c>
      <c r="M844" s="2" t="str">
        <f>HYPERLINK("https://files.afu.se/Downloads/Transcripts/0%20-%20Government/USA%20-%20NASA%20Johnson/2017 02 03 - NASA Johnson - Space to Ground  Science Touchdown!  02 03 2017_ggh96kR8cu0 - transcript (automated).pdf","Transcript Link")</f>
        <v>Transcript Link</v>
      </c>
    </row>
    <row r="845" ht="180" spans="1:13">
      <c r="A845" s="1" t="s">
        <v>3722</v>
      </c>
      <c r="B845" s="1" t="s">
        <v>13</v>
      </c>
      <c r="C845" s="4" t="s">
        <v>3723</v>
      </c>
      <c r="D845" s="1" t="s">
        <v>3724</v>
      </c>
      <c r="E845" s="1" t="s">
        <v>3725</v>
      </c>
      <c r="F845" s="4" t="s">
        <v>17</v>
      </c>
      <c r="G845" s="1" t="s">
        <v>18</v>
      </c>
      <c r="H845" s="1" t="s">
        <v>19</v>
      </c>
      <c r="I845" s="1" t="s">
        <v>20</v>
      </c>
      <c r="J845" s="1" t="s">
        <v>3726</v>
      </c>
      <c r="K845" s="1" t="s">
        <v>22</v>
      </c>
      <c r="L845" s="1" t="str">
        <f>HYPERLINK("https://files.afu.se/Downloads/Transcripts/0%20-%20Government/USA%20-%20NASA%20Johnson/2017 02 02 - NASA Johnson - %23SpaceBowl Football Toss_kK2dLogihpg - transcript (automated).pdf","Transcript Link")</f>
        <v>Transcript Link</v>
      </c>
      <c r="M845" s="2" t="str">
        <f>HYPERLINK("https://files.afu.se/Downloads/Transcripts/0%20-%20Government/USA%20-%20NASA%20Johnson/2017 02 02 - NASA Johnson - %23SpaceBowl Football Toss_kK2dLogihpg - transcript (automated).pdf","Transcript Link")</f>
        <v>Transcript Link</v>
      </c>
    </row>
    <row r="846" ht="180" spans="1:13">
      <c r="A846" s="1" t="s">
        <v>3722</v>
      </c>
      <c r="B846" s="1" t="s">
        <v>13</v>
      </c>
      <c r="C846" s="4" t="s">
        <v>3727</v>
      </c>
      <c r="D846" s="1" t="s">
        <v>3728</v>
      </c>
      <c r="E846" s="1" t="s">
        <v>3729</v>
      </c>
      <c r="F846" s="4" t="s">
        <v>17</v>
      </c>
      <c r="G846" s="1" t="s">
        <v>18</v>
      </c>
      <c r="H846" s="1" t="s">
        <v>19</v>
      </c>
      <c r="I846" s="1" t="s">
        <v>20</v>
      </c>
      <c r="J846" s="1" t="s">
        <v>3730</v>
      </c>
      <c r="K846" s="1" t="s">
        <v>22</v>
      </c>
      <c r="L846" s="1" t="str">
        <f>HYPERLINK("https://files.afu.se/Downloads/Transcripts/0%20-%20Government/USA%20-%20NASA%20Johnson/2017 02 02 - NASA Johnson - How Do Astronauts Stay In Touch with Earth _hBnVSIvDoqQ - transcript (automated).pdf","Transcript Link")</f>
        <v>Transcript Link</v>
      </c>
      <c r="M846" s="2" t="str">
        <f>HYPERLINK("https://files.afu.se/Downloads/Transcripts/0%20-%20Government/USA%20-%20NASA%20Johnson/2017 02 02 - NASA Johnson - How Do Astronauts Stay In Touch with Earth _hBnVSIvDoqQ - transcript (automated).pdf","Transcript Link")</f>
        <v>Transcript Link</v>
      </c>
    </row>
    <row r="847" ht="409.5" spans="1:13">
      <c r="A847" s="1" t="s">
        <v>3731</v>
      </c>
      <c r="B847" s="1" t="s">
        <v>13</v>
      </c>
      <c r="C847" s="4" t="s">
        <v>3732</v>
      </c>
      <c r="D847" s="1" t="s">
        <v>3733</v>
      </c>
      <c r="E847" s="1" t="s">
        <v>3734</v>
      </c>
      <c r="F847" s="4" t="s">
        <v>17</v>
      </c>
      <c r="G847" s="1" t="s">
        <v>18</v>
      </c>
      <c r="H847" s="1" t="s">
        <v>19</v>
      </c>
      <c r="I847" s="1" t="s">
        <v>20</v>
      </c>
      <c r="J847" s="1" t="s">
        <v>3735</v>
      </c>
      <c r="K847" s="1" t="s">
        <v>22</v>
      </c>
      <c r="L847" s="1" t="str">
        <f>HYPERLINK("https://files.afu.se/Downloads/Transcripts/0%20-%20Government/USA%20-%20NASA%20Johnson/2017 01 31 - NASA Johnson - Referee Robonaut  Football Signals_SliwCMZd4R4 - transcript (automated).pdf","Transcript Link")</f>
        <v>Transcript Link</v>
      </c>
      <c r="M847" s="2" t="str">
        <f>HYPERLINK("https://files.afu.se/Downloads/Transcripts/0%20-%20Government/USA%20-%20NASA%20Johnson/2017 01 31 - NASA Johnson - Referee Robonaut  Football Signals_SliwCMZd4R4 - transcript (automated).pdf","Transcript Link")</f>
        <v>Transcript Link</v>
      </c>
    </row>
    <row r="848" ht="180" spans="1:13">
      <c r="A848" s="1" t="s">
        <v>3736</v>
      </c>
      <c r="B848" s="1" t="s">
        <v>13</v>
      </c>
      <c r="C848" s="4" t="s">
        <v>3737</v>
      </c>
      <c r="D848" s="1" t="s">
        <v>3738</v>
      </c>
      <c r="E848" s="1" t="s">
        <v>3739</v>
      </c>
      <c r="F848" s="4" t="s">
        <v>17</v>
      </c>
      <c r="G848" s="1" t="s">
        <v>18</v>
      </c>
      <c r="H848" s="1" t="s">
        <v>19</v>
      </c>
      <c r="I848" s="1" t="s">
        <v>20</v>
      </c>
      <c r="J848" s="1" t="s">
        <v>3740</v>
      </c>
      <c r="K848" s="1" t="s">
        <v>22</v>
      </c>
      <c r="L848" s="1" t="str">
        <f>HYPERLINK("https://files.afu.se/Downloads/Transcripts/0%20-%20Government/USA%20-%20NASA%20Johnson/2017 01 30 - NASA Johnson - Astronaut Tailgating_DWkowyIB1To - transcript (automated).pdf","Transcript Link")</f>
        <v>Transcript Link</v>
      </c>
      <c r="M848" s="2" t="str">
        <f>HYPERLINK("https://files.afu.se/Downloads/Transcripts/0%20-%20Government/USA%20-%20NASA%20Johnson/2017 01 30 - NASA Johnson - Astronaut Tailgating_DWkowyIB1To - transcript (automated).pdf","Transcript Link")</f>
        <v>Transcript Link</v>
      </c>
    </row>
    <row r="849" ht="180" spans="1:13">
      <c r="A849" s="1" t="s">
        <v>3741</v>
      </c>
      <c r="B849" s="1" t="s">
        <v>13</v>
      </c>
      <c r="C849" s="4" t="s">
        <v>3742</v>
      </c>
      <c r="D849" s="1" t="s">
        <v>3743</v>
      </c>
      <c r="E849" s="1" t="s">
        <v>2929</v>
      </c>
      <c r="F849" s="4" t="s">
        <v>17</v>
      </c>
      <c r="G849" s="1" t="s">
        <v>18</v>
      </c>
      <c r="H849" s="1" t="s">
        <v>19</v>
      </c>
      <c r="I849" s="1" t="s">
        <v>20</v>
      </c>
      <c r="J849" s="1" t="s">
        <v>3744</v>
      </c>
      <c r="K849" s="1" t="s">
        <v>22</v>
      </c>
      <c r="L849" s="1" t="str">
        <f>HYPERLINK("https://files.afu.se/Downloads/Transcripts/0%20-%20Government/USA%20-%20NASA%20Johnson/2017 01 27 - NASA Johnson - Space to Ground  Flying a Space KITE  01 27 2017_XXT2jkm2eTw - transcript (automated).pdf","Transcript Link")</f>
        <v>Transcript Link</v>
      </c>
      <c r="M849" s="2" t="str">
        <f>HYPERLINK("https://files.afu.se/Downloads/Transcripts/0%20-%20Government/USA%20-%20NASA%20Johnson/2017 01 27 - NASA Johnson - Space to Ground  Flying a Space KITE  01 27 2017_XXT2jkm2eTw - transcript (automated).pdf","Transcript Link")</f>
        <v>Transcript Link</v>
      </c>
    </row>
    <row r="850" ht="180" spans="1:13">
      <c r="A850" s="1" t="s">
        <v>3745</v>
      </c>
      <c r="B850" s="1" t="s">
        <v>13</v>
      </c>
      <c r="C850" s="4" t="s">
        <v>3746</v>
      </c>
      <c r="D850" s="1" t="s">
        <v>3747</v>
      </c>
      <c r="E850" s="1" t="s">
        <v>3748</v>
      </c>
      <c r="F850" s="4" t="s">
        <v>17</v>
      </c>
      <c r="G850" s="1" t="s">
        <v>18</v>
      </c>
      <c r="H850" s="1" t="s">
        <v>19</v>
      </c>
      <c r="I850" s="1" t="s">
        <v>20</v>
      </c>
      <c r="J850" s="1" t="s">
        <v>3749</v>
      </c>
      <c r="K850" s="1" t="s">
        <v>22</v>
      </c>
      <c r="L850" s="1" t="str">
        <f>HYPERLINK("https://files.afu.se/Downloads/Transcripts/0%20-%20Government/USA%20-%20NASA%20Johnson/2017 01 21 - NASA Johnson - Seven Spacewalks for Peggy Whitson_Sq4KHpbTdTo - transcript (automated).pdf","Transcript Link")</f>
        <v>Transcript Link</v>
      </c>
      <c r="M850" s="2" t="str">
        <f>HYPERLINK("https://files.afu.se/Downloads/Transcripts/0%20-%20Government/USA%20-%20NASA%20Johnson/2017 01 21 - NASA Johnson - Seven Spacewalks for Peggy Whitson_Sq4KHpbTdTo - transcript (automated).pdf","Transcript Link")</f>
        <v>Transcript Link</v>
      </c>
    </row>
    <row r="851" ht="180" spans="1:13">
      <c r="A851" s="1" t="s">
        <v>3750</v>
      </c>
      <c r="B851" s="1" t="s">
        <v>13</v>
      </c>
      <c r="C851" s="4" t="s">
        <v>3751</v>
      </c>
      <c r="D851" s="1" t="s">
        <v>3752</v>
      </c>
      <c r="E851" s="1" t="s">
        <v>2929</v>
      </c>
      <c r="F851" s="4" t="s">
        <v>17</v>
      </c>
      <c r="G851" s="1" t="s">
        <v>18</v>
      </c>
      <c r="H851" s="1" t="s">
        <v>19</v>
      </c>
      <c r="I851" s="1" t="s">
        <v>20</v>
      </c>
      <c r="J851" s="1" t="s">
        <v>3753</v>
      </c>
      <c r="K851" s="1" t="s">
        <v>22</v>
      </c>
      <c r="L851" s="1" t="str">
        <f>HYPERLINK("https://files.afu.se/Downloads/Transcripts/0%20-%20Government/USA%20-%20NASA%20Johnson/2017 01 20 - NASA Johnson - Space to Ground  Satellites Away!  01 20 2017_YQv93BOIJQE - transcript (automated).pdf","Transcript Link")</f>
        <v>Transcript Link</v>
      </c>
      <c r="M851" s="2" t="str">
        <f>HYPERLINK("https://files.afu.se/Downloads/Transcripts/0%20-%20Government/USA%20-%20NASA%20Johnson/2017 01 20 - NASA Johnson - Space to Ground  Satellites Away!  01 20 2017_YQv93BOIJQE - transcript (automated).pdf","Transcript Link")</f>
        <v>Transcript Link</v>
      </c>
    </row>
    <row r="852" ht="405" spans="1:13">
      <c r="A852" s="1" t="s">
        <v>3754</v>
      </c>
      <c r="B852" s="1" t="s">
        <v>13</v>
      </c>
      <c r="C852" s="4" t="s">
        <v>3755</v>
      </c>
      <c r="D852" s="1" t="s">
        <v>3756</v>
      </c>
      <c r="E852" s="1" t="s">
        <v>3757</v>
      </c>
      <c r="F852" s="4" t="s">
        <v>17</v>
      </c>
      <c r="G852" s="1" t="s">
        <v>18</v>
      </c>
      <c r="H852" s="1" t="s">
        <v>19</v>
      </c>
      <c r="I852" s="1" t="s">
        <v>20</v>
      </c>
      <c r="J852" s="1" t="s">
        <v>3758</v>
      </c>
      <c r="K852" s="1" t="s">
        <v>22</v>
      </c>
      <c r="L852" s="1" t="str">
        <f>HYPERLINK("https://files.afu.se/Downloads/Transcripts/0%20-%20Government/USA%20-%20NASA%20Johnson/2017 01 19 - NASA Johnson - Now’s the Time for Science in Space_lBechwsmk1Y - transcript (automated).pdf","Transcript Link")</f>
        <v>Transcript Link</v>
      </c>
      <c r="M852" s="2" t="str">
        <f>HYPERLINK("https://files.afu.se/Downloads/Transcripts/0%20-%20Government/USA%20-%20NASA%20Johnson/2017 01 19 - NASA Johnson - Now’s the Time for Science in Space_lBechwsmk1Y - transcript (automated).pdf","Transcript Link")</f>
        <v>Transcript Link</v>
      </c>
    </row>
    <row r="853" ht="180" spans="1:13">
      <c r="A853" s="1" t="s">
        <v>3759</v>
      </c>
      <c r="B853" s="1" t="s">
        <v>13</v>
      </c>
      <c r="C853" s="4" t="s">
        <v>3760</v>
      </c>
      <c r="D853" s="1" t="s">
        <v>3761</v>
      </c>
      <c r="E853" s="1" t="s">
        <v>3762</v>
      </c>
      <c r="F853" s="4" t="s">
        <v>17</v>
      </c>
      <c r="G853" s="1" t="s">
        <v>18</v>
      </c>
      <c r="H853" s="1" t="s">
        <v>19</v>
      </c>
      <c r="I853" s="1" t="s">
        <v>20</v>
      </c>
      <c r="J853" s="1" t="s">
        <v>3763</v>
      </c>
      <c r="K853" s="1" t="s">
        <v>22</v>
      </c>
      <c r="L853" s="1" t="str">
        <f>HYPERLINK("https://files.afu.se/Downloads/Transcripts/0%20-%20Government/USA%20-%20NASA%20Johnson/2017 01 14 - NASA Johnson - %23ICYMI  Spacewalkers Wrap up Power Upgrades_geHritEjBnY - transcript (automated).pdf","Transcript Link")</f>
        <v>Transcript Link</v>
      </c>
      <c r="M853" s="2" t="str">
        <f>HYPERLINK("https://files.afu.se/Downloads/Transcripts/0%20-%20Government/USA%20-%20NASA%20Johnson/2017 01 14 - NASA Johnson - %23ICYMI  Spacewalkers Wrap up Power Upgrades_geHritEjBnY - transcript (automated).pdf","Transcript Link")</f>
        <v>Transcript Link</v>
      </c>
    </row>
    <row r="854" ht="180" spans="1:13">
      <c r="A854" s="1" t="s">
        <v>3764</v>
      </c>
      <c r="B854" s="1" t="s">
        <v>13</v>
      </c>
      <c r="C854" s="4" t="s">
        <v>3765</v>
      </c>
      <c r="D854" s="1" t="s">
        <v>3766</v>
      </c>
      <c r="E854" s="1" t="s">
        <v>2929</v>
      </c>
      <c r="F854" s="4" t="s">
        <v>17</v>
      </c>
      <c r="G854" s="1" t="s">
        <v>18</v>
      </c>
      <c r="H854" s="1" t="s">
        <v>19</v>
      </c>
      <c r="I854" s="1" t="s">
        <v>20</v>
      </c>
      <c r="J854" s="1" t="s">
        <v>3767</v>
      </c>
      <c r="K854" s="1" t="s">
        <v>22</v>
      </c>
      <c r="L854" s="1" t="str">
        <f>HYPERLINK("https://files.afu.se/Downloads/Transcripts/0%20-%20Government/USA%20-%20NASA%20Johnson/2017 01 13 - NASA Johnson - Space to Ground  A Recharging Spacewalk!  01 13 2017_smtsc5mlex8 - transcript (automated).pdf","Transcript Link")</f>
        <v>Transcript Link</v>
      </c>
      <c r="M854" s="2" t="str">
        <f>HYPERLINK("https://files.afu.se/Downloads/Transcripts/0%20-%20Government/USA%20-%20NASA%20Johnson/2017 01 13 - NASA Johnson - Space to Ground  A Recharging Spacewalk!  01 13 2017_smtsc5mlex8 - transcript (automated).pdf","Transcript Link")</f>
        <v>Transcript Link</v>
      </c>
    </row>
    <row r="855" ht="409.5" spans="1:13">
      <c r="A855" s="1" t="s">
        <v>3768</v>
      </c>
      <c r="B855" s="1" t="s">
        <v>13</v>
      </c>
      <c r="C855" s="4" t="s">
        <v>3769</v>
      </c>
      <c r="D855" s="1" t="s">
        <v>3770</v>
      </c>
      <c r="E855" s="1" t="s">
        <v>3771</v>
      </c>
      <c r="F855" s="4" t="s">
        <v>17</v>
      </c>
      <c r="G855" s="1" t="s">
        <v>18</v>
      </c>
      <c r="H855" s="1" t="s">
        <v>19</v>
      </c>
      <c r="I855" s="1" t="s">
        <v>20</v>
      </c>
      <c r="J855" s="1" t="s">
        <v>3772</v>
      </c>
      <c r="K855" s="1" t="s">
        <v>22</v>
      </c>
      <c r="L855" s="1" t="str">
        <f>HYPERLINK("https://files.afu.se/Downloads/Transcripts/0%20-%20Government/USA%20-%20NASA%20Johnson/2017 01 11 - NASA Johnson - EVERYWEAR in Space_DHrLhm2z3xk - transcript (automated).pdf","Transcript Link")</f>
        <v>Transcript Link</v>
      </c>
      <c r="M855" s="2" t="str">
        <f>HYPERLINK("https://files.afu.se/Downloads/Transcripts/0%20-%20Government/USA%20-%20NASA%20Johnson/2017 01 11 - NASA Johnson - EVERYWEAR in Space_DHrLhm2z3xk - transcript (automated).pdf","Transcript Link")</f>
        <v>Transcript Link</v>
      </c>
    </row>
    <row r="856" ht="300" spans="1:13">
      <c r="A856" s="1" t="s">
        <v>3773</v>
      </c>
      <c r="B856" s="1" t="s">
        <v>13</v>
      </c>
      <c r="C856" s="4" t="s">
        <v>3774</v>
      </c>
      <c r="D856" s="1" t="s">
        <v>3775</v>
      </c>
      <c r="E856" s="1" t="s">
        <v>3776</v>
      </c>
      <c r="F856" s="4" t="s">
        <v>17</v>
      </c>
      <c r="G856" s="1" t="s">
        <v>18</v>
      </c>
      <c r="H856" s="1" t="s">
        <v>19</v>
      </c>
      <c r="I856" s="1" t="s">
        <v>20</v>
      </c>
      <c r="J856" s="1" t="s">
        <v>3777</v>
      </c>
      <c r="K856" s="1" t="s">
        <v>22</v>
      </c>
      <c r="L856" s="1" t="str">
        <f>HYPERLINK("https://files.afu.se/Downloads/Transcripts/0%20-%20Government/USA%20-%20NASA%20Johnson/2017 01 10 - NASA Johnson - Everything About Mission Control Houston_Ne57B7QI4gk - transcript (automated).pdf","Transcript Link")</f>
        <v>Transcript Link</v>
      </c>
      <c r="M856" s="2" t="str">
        <f>HYPERLINK("https://files.afu.se/Downloads/Transcripts/0%20-%20Government/USA%20-%20NASA%20Johnson/2017 01 10 - NASA Johnson - Everything About Mission Control Houston_Ne57B7QI4gk - transcript (automated).pdf","Transcript Link")</f>
        <v>Transcript Link</v>
      </c>
    </row>
    <row r="857" ht="180" spans="1:13">
      <c r="A857" s="1" t="s">
        <v>3778</v>
      </c>
      <c r="B857" s="1" t="s">
        <v>13</v>
      </c>
      <c r="C857" s="4" t="s">
        <v>3779</v>
      </c>
      <c r="D857" s="1" t="s">
        <v>3780</v>
      </c>
      <c r="E857" s="1" t="s">
        <v>2929</v>
      </c>
      <c r="F857" s="4" t="s">
        <v>17</v>
      </c>
      <c r="G857" s="1" t="s">
        <v>18</v>
      </c>
      <c r="H857" s="1" t="s">
        <v>19</v>
      </c>
      <c r="I857" s="1" t="s">
        <v>20</v>
      </c>
      <c r="J857" s="1" t="s">
        <v>3781</v>
      </c>
      <c r="K857" s="1" t="s">
        <v>22</v>
      </c>
      <c r="L857" s="1" t="str">
        <f>HYPERLINK("https://files.afu.se/Downloads/Transcripts/0%20-%20Government/USA%20-%20NASA%20Johnson/2017 01 06 - NASA Johnson - Space to Ground  A Powerful Spacewalk  01 06 2017_Yzh065x917w - transcript (automated).pdf","Transcript Link")</f>
        <v>Transcript Link</v>
      </c>
      <c r="M857" s="2" t="str">
        <f>HYPERLINK("https://files.afu.se/Downloads/Transcripts/0%20-%20Government/USA%20-%20NASA%20Johnson/2017 01 06 - NASA Johnson - Space to Ground  A Powerful Spacewalk  01 06 2017_Yzh065x917w - transcript (automated).pdf","Transcript Link")</f>
        <v>Transcript Link</v>
      </c>
    </row>
    <row r="858" ht="180" spans="1:13">
      <c r="A858" s="1" t="s">
        <v>3782</v>
      </c>
      <c r="B858" s="1" t="s">
        <v>13</v>
      </c>
      <c r="C858" s="4" t="s">
        <v>3783</v>
      </c>
      <c r="D858" s="1" t="s">
        <v>3784</v>
      </c>
      <c r="E858" s="1" t="s">
        <v>3785</v>
      </c>
      <c r="F858" s="4" t="s">
        <v>17</v>
      </c>
      <c r="G858" s="1" t="s">
        <v>18</v>
      </c>
      <c r="H858" s="1" t="s">
        <v>19</v>
      </c>
      <c r="I858" s="1" t="s">
        <v>20</v>
      </c>
      <c r="J858" s="1" t="s">
        <v>3786</v>
      </c>
      <c r="K858" s="1" t="s">
        <v>22</v>
      </c>
      <c r="L858" s="1" t="str">
        <f>HYPERLINK("https://files.afu.se/Downloads/Transcripts/0%20-%20Government/USA%20-%20NASA%20Johnson/2017 01 05 - NASA Johnson - Spacewalk to Upgrade Station Power Systems_BDYbaphIjxI - transcript (automated).pdf","Transcript Link")</f>
        <v>Transcript Link</v>
      </c>
      <c r="M858" s="2" t="str">
        <f>HYPERLINK("https://files.afu.se/Downloads/Transcripts/0%20-%20Government/USA%20-%20NASA%20Johnson/2017 01 05 - NASA Johnson - Spacewalk to Upgrade Station Power Systems_BDYbaphIjxI - transcript (automated).pdf","Transcript Link")</f>
        <v>Transcript Link</v>
      </c>
    </row>
    <row r="859" ht="255" spans="1:13">
      <c r="A859" s="1" t="s">
        <v>3787</v>
      </c>
      <c r="B859" s="1" t="s">
        <v>13</v>
      </c>
      <c r="C859" s="4" t="s">
        <v>3788</v>
      </c>
      <c r="D859" s="1" t="s">
        <v>3789</v>
      </c>
      <c r="E859" s="1" t="s">
        <v>3790</v>
      </c>
      <c r="F859" s="4" t="s">
        <v>17</v>
      </c>
      <c r="G859" s="1" t="s">
        <v>18</v>
      </c>
      <c r="H859" s="1" t="s">
        <v>19</v>
      </c>
      <c r="I859" s="1" t="s">
        <v>20</v>
      </c>
      <c r="J859" s="1" t="s">
        <v>3791</v>
      </c>
      <c r="K859" s="1" t="s">
        <v>22</v>
      </c>
      <c r="L859" s="1" t="str">
        <f>HYPERLINK("https://files.afu.se/Downloads/Transcripts/0%20-%20Government/USA%20-%20NASA%20Johnson/2016 12 30 - NASA Johnson - Piers Sellers  1955 - 2016_sC217wotZy8 - transcript (automated).pdf","Transcript Link")</f>
        <v>Transcript Link</v>
      </c>
      <c r="M859" s="2" t="str">
        <f>HYPERLINK("https://files.afu.se/Downloads/Transcripts/0%20-%20Government/USA%20-%20NASA%20Johnson/2016 12 30 - NASA Johnson - Piers Sellers  1955 - 2016_sC217wotZy8 - transcript (automated).pdf","Transcript Link")</f>
        <v>Transcript Link</v>
      </c>
    </row>
    <row r="860" ht="360" spans="1:13">
      <c r="A860" s="1" t="s">
        <v>3792</v>
      </c>
      <c r="B860" s="1" t="s">
        <v>13</v>
      </c>
      <c r="C860" s="4" t="s">
        <v>3793</v>
      </c>
      <c r="D860" s="1" t="s">
        <v>3794</v>
      </c>
      <c r="E860" s="1" t="s">
        <v>3795</v>
      </c>
      <c r="F860" s="4" t="s">
        <v>17</v>
      </c>
      <c r="G860" s="1" t="s">
        <v>18</v>
      </c>
      <c r="H860" s="1" t="s">
        <v>19</v>
      </c>
      <c r="I860" s="1" t="s">
        <v>20</v>
      </c>
      <c r="J860" s="1" t="s">
        <v>3796</v>
      </c>
      <c r="K860" s="1" t="s">
        <v>22</v>
      </c>
      <c r="L860" s="1" t="str">
        <f>HYPERLINK("https://files.afu.se/Downloads/Transcripts/0%20-%20Government/USA%20-%20NASA%20Johnson/2016 12 29 - NASA Johnson - Jeff’s Earth - 4K_-nmNhKRzy4w - transcript (automated).pdf","Transcript Link")</f>
        <v>Transcript Link</v>
      </c>
      <c r="M860" s="2" t="str">
        <f>HYPERLINK("https://files.afu.se/Downloads/Transcripts/0%20-%20Government/USA%20-%20NASA%20Johnson/2016 12 29 - NASA Johnson - Jeff’s Earth - 4K_-nmNhKRzy4w - transcript (automated).pdf","Transcript Link")</f>
        <v>Transcript Link</v>
      </c>
    </row>
    <row r="861" ht="375" spans="1:13">
      <c r="A861" s="1" t="s">
        <v>3797</v>
      </c>
      <c r="B861" s="1" t="s">
        <v>13</v>
      </c>
      <c r="C861" s="4" t="s">
        <v>3798</v>
      </c>
      <c r="D861" s="1" t="s">
        <v>3799</v>
      </c>
      <c r="E861" s="1" t="s">
        <v>3800</v>
      </c>
      <c r="F861" s="4" t="s">
        <v>17</v>
      </c>
      <c r="G861" s="1" t="s">
        <v>18</v>
      </c>
      <c r="H861" s="1" t="s">
        <v>19</v>
      </c>
      <c r="I861" s="1" t="s">
        <v>20</v>
      </c>
      <c r="J861" s="1" t="s">
        <v>3801</v>
      </c>
      <c r="K861" s="1" t="s">
        <v>22</v>
      </c>
      <c r="L861" s="1" t="str">
        <f>HYPERLINK("https://files.afu.se/Downloads/Transcripts/0%20-%20Government/USA%20-%20NASA%20Johnson/2016 12 28 - NASA Johnson - Space Sniffer_jiL27ptrWDE - transcript (automated).pdf","Transcript Link")</f>
        <v>Transcript Link</v>
      </c>
      <c r="M861" s="2" t="str">
        <f>HYPERLINK("https://files.afu.se/Downloads/Transcripts/0%20-%20Government/USA%20-%20NASA%20Johnson/2016 12 28 - NASA Johnson - Space Sniffer_jiL27ptrWDE - transcript (automated).pdf","Transcript Link")</f>
        <v>Transcript Link</v>
      </c>
    </row>
    <row r="862" ht="409.5" spans="1:13">
      <c r="A862" s="1" t="s">
        <v>3802</v>
      </c>
      <c r="B862" s="1" t="s">
        <v>13</v>
      </c>
      <c r="C862" s="4" t="s">
        <v>3803</v>
      </c>
      <c r="D862" s="1" t="s">
        <v>3804</v>
      </c>
      <c r="E862" s="1" t="s">
        <v>3805</v>
      </c>
      <c r="F862" s="4" t="s">
        <v>17</v>
      </c>
      <c r="G862" s="1" t="s">
        <v>18</v>
      </c>
      <c r="H862" s="1" t="s">
        <v>19</v>
      </c>
      <c r="I862" s="1" t="s">
        <v>20</v>
      </c>
      <c r="J862" s="1" t="s">
        <v>3806</v>
      </c>
      <c r="K862" s="1" t="s">
        <v>22</v>
      </c>
      <c r="L862" s="1" t="str">
        <f>HYPERLINK("https://files.afu.se/Downloads/Transcripts/0%20-%20Government/USA%20-%20NASA%20Johnson/2016 12 27 - NASA Johnson - History of Mission Control_CCW7PGGg7DI - transcript (automated).pdf","Transcript Link")</f>
        <v>Transcript Link</v>
      </c>
      <c r="M862" s="2" t="str">
        <f>HYPERLINK("https://files.afu.se/Downloads/Transcripts/0%20-%20Government/USA%20-%20NASA%20Johnson/2016 12 27 - NASA Johnson - History of Mission Control_CCW7PGGg7DI - transcript (automated).pdf","Transcript Link")</f>
        <v>Transcript Link</v>
      </c>
    </row>
    <row r="863" ht="180" spans="1:13">
      <c r="A863" s="1" t="s">
        <v>3807</v>
      </c>
      <c r="B863" s="1" t="s">
        <v>13</v>
      </c>
      <c r="C863" s="4" t="s">
        <v>3808</v>
      </c>
      <c r="D863" s="1" t="s">
        <v>3809</v>
      </c>
      <c r="E863" s="1" t="s">
        <v>2929</v>
      </c>
      <c r="F863" s="4" t="s">
        <v>17</v>
      </c>
      <c r="G863" s="1" t="s">
        <v>18</v>
      </c>
      <c r="H863" s="1" t="s">
        <v>19</v>
      </c>
      <c r="I863" s="1" t="s">
        <v>20</v>
      </c>
      <c r="J863" s="1" t="s">
        <v>3810</v>
      </c>
      <c r="K863" s="1" t="s">
        <v>22</v>
      </c>
      <c r="L863" s="1" t="str">
        <f>HYPERLINK("https://files.afu.se/Downloads/Transcripts/0%20-%20Government/USA%20-%20NASA%20Johnson/2016 12 22 - NASA Johnson - Space to Ground  2016  A Space Expedition  12 22 2016_HUNfwWGc6Iw - transcript (automated).pdf","Transcript Link")</f>
        <v>Transcript Link</v>
      </c>
      <c r="M863" s="2" t="str">
        <f>HYPERLINK("https://files.afu.se/Downloads/Transcripts/0%20-%20Government/USA%20-%20NASA%20Johnson/2016 12 22 - NASA Johnson - Space to Ground  2016  A Space Expedition  12 22 2016_HUNfwWGc6Iw - transcript (automated).pdf","Transcript Link")</f>
        <v>Transcript Link</v>
      </c>
    </row>
    <row r="864" ht="315" spans="1:13">
      <c r="A864" s="1" t="s">
        <v>3807</v>
      </c>
      <c r="B864" s="1" t="s">
        <v>13</v>
      </c>
      <c r="C864" s="4" t="s">
        <v>3811</v>
      </c>
      <c r="D864" s="1" t="s">
        <v>3812</v>
      </c>
      <c r="E864" s="1" t="s">
        <v>3813</v>
      </c>
      <c r="F864" s="4" t="s">
        <v>17</v>
      </c>
      <c r="G864" s="1" t="s">
        <v>18</v>
      </c>
      <c r="H864" s="1" t="s">
        <v>19</v>
      </c>
      <c r="I864" s="1" t="s">
        <v>20</v>
      </c>
      <c r="J864" s="1" t="s">
        <v>3814</v>
      </c>
      <c r="K864" s="1" t="s">
        <v>22</v>
      </c>
      <c r="L864" s="1" t="str">
        <f>HYPERLINK("https://files.afu.se/Downloads/Transcripts/0%20-%20Government/USA%20-%20NASA%20Johnson/2016 12 22 - NASA Johnson - Packing for the Bottom of the World_AsdngbXX9R0 - transcript (automated).pdf","Transcript Link")</f>
        <v>Transcript Link</v>
      </c>
      <c r="M864" s="2" t="str">
        <f>HYPERLINK("https://files.afu.se/Downloads/Transcripts/0%20-%20Government/USA%20-%20NASA%20Johnson/2016 12 22 - NASA Johnson - Packing for the Bottom of the World_AsdngbXX9R0 - transcript (automated).pdf","Transcript Link")</f>
        <v>Transcript Link</v>
      </c>
    </row>
    <row r="865" ht="180" spans="1:13">
      <c r="A865" s="1" t="s">
        <v>3815</v>
      </c>
      <c r="B865" s="1" t="s">
        <v>13</v>
      </c>
      <c r="C865" s="4" t="s">
        <v>3816</v>
      </c>
      <c r="D865" s="1" t="s">
        <v>3817</v>
      </c>
      <c r="E865" s="1" t="s">
        <v>3818</v>
      </c>
      <c r="F865" s="4" t="s">
        <v>17</v>
      </c>
      <c r="G865" s="1" t="s">
        <v>18</v>
      </c>
      <c r="H865" s="1" t="s">
        <v>19</v>
      </c>
      <c r="I865" s="1" t="s">
        <v>20</v>
      </c>
      <c r="J865" s="1" t="s">
        <v>3819</v>
      </c>
      <c r="K865" s="1" t="s">
        <v>22</v>
      </c>
      <c r="L865" s="1" t="str">
        <f>HYPERLINK("https://files.afu.se/Downloads/Transcripts/0%20-%20Government/USA%20-%20NASA%20Johnson/2016 12 21 - NASA Johnson - From Metal To Masterpiece  Orion's 2016 Progress_3gCvSPTJyHQ - transcript (automated).pdf","Transcript Link")</f>
        <v>Transcript Link</v>
      </c>
      <c r="M865" s="2" t="str">
        <f>HYPERLINK("https://files.afu.se/Downloads/Transcripts/0%20-%20Government/USA%20-%20NASA%20Johnson/2016 12 21 - NASA Johnson - From Metal To Masterpiece  Orion's 2016 Progress_3gCvSPTJyHQ - transcript (automated).pdf","Transcript Link")</f>
        <v>Transcript Link</v>
      </c>
    </row>
    <row r="866" ht="225" spans="1:13">
      <c r="A866" s="1" t="s">
        <v>3820</v>
      </c>
      <c r="B866" s="1" t="s">
        <v>13</v>
      </c>
      <c r="C866" s="4" t="s">
        <v>3821</v>
      </c>
      <c r="D866" s="1" t="s">
        <v>3822</v>
      </c>
      <c r="E866" s="1" t="s">
        <v>3823</v>
      </c>
      <c r="F866" s="4" t="s">
        <v>17</v>
      </c>
      <c r="G866" s="1" t="s">
        <v>18</v>
      </c>
      <c r="H866" s="1" t="s">
        <v>19</v>
      </c>
      <c r="I866" s="1" t="s">
        <v>20</v>
      </c>
      <c r="J866" s="1" t="s">
        <v>3824</v>
      </c>
      <c r="K866" s="1" t="s">
        <v>22</v>
      </c>
      <c r="L866" s="1" t="str">
        <f>HYPERLINK("https://files.afu.se/Downloads/Transcripts/0%20-%20Government/USA%20-%20NASA%20Johnson/2016 12 20 - NASA Johnson - Space Station Crew Celebrates the Holidays Aboard the Orbital Lab_ZPIz9_Zv2FA - transcript (automated).pdf","Transcript Link")</f>
        <v>Transcript Link</v>
      </c>
      <c r="M866" s="2" t="str">
        <f>HYPERLINK("https://files.afu.se/Downloads/Transcripts/0%20-%20Government/USA%20-%20NASA%20Johnson/2016 12 20 - NASA Johnson - Space Station Crew Celebrates the Holidays Aboard the Orbital Lab_ZPIz9_Zv2FA - transcript (automated).pdf","Transcript Link")</f>
        <v>Transcript Link</v>
      </c>
    </row>
    <row r="867" ht="300" spans="1:13">
      <c r="A867" s="1" t="s">
        <v>3825</v>
      </c>
      <c r="B867" s="1" t="s">
        <v>13</v>
      </c>
      <c r="C867" s="4" t="s">
        <v>3826</v>
      </c>
      <c r="D867" s="1" t="s">
        <v>3827</v>
      </c>
      <c r="E867" s="1" t="s">
        <v>3828</v>
      </c>
      <c r="F867" s="4" t="s">
        <v>17</v>
      </c>
      <c r="G867" s="1" t="s">
        <v>18</v>
      </c>
      <c r="H867" s="1" t="s">
        <v>19</v>
      </c>
      <c r="I867" s="1" t="s">
        <v>20</v>
      </c>
      <c r="J867" s="1" t="s">
        <v>3829</v>
      </c>
      <c r="K867" s="1" t="s">
        <v>22</v>
      </c>
      <c r="L867" s="1" t="str">
        <f>HYPERLINK("https://files.afu.se/Downloads/Transcripts/0%20-%20Government/USA%20-%20NASA%20Johnson/2016 12 19 - NASA Johnson - Top 16 Earth Images of 2016_FZrqmg_bm7o - transcript (automated).pdf","Transcript Link")</f>
        <v>Transcript Link</v>
      </c>
      <c r="M867" s="2" t="str">
        <f>HYPERLINK("https://files.afu.se/Downloads/Transcripts/0%20-%20Government/USA%20-%20NASA%20Johnson/2016 12 19 - NASA Johnson - Top 16 Earth Images of 2016_FZrqmg_bm7o - transcript (automated).pdf","Transcript Link")</f>
        <v>Transcript Link</v>
      </c>
    </row>
    <row r="868" ht="180" spans="1:13">
      <c r="A868" s="1" t="s">
        <v>3830</v>
      </c>
      <c r="B868" s="1" t="s">
        <v>13</v>
      </c>
      <c r="C868" s="4" t="s">
        <v>3831</v>
      </c>
      <c r="D868" s="1" t="s">
        <v>3832</v>
      </c>
      <c r="E868" s="1" t="s">
        <v>2929</v>
      </c>
      <c r="F868" s="4" t="s">
        <v>17</v>
      </c>
      <c r="G868" s="1" t="s">
        <v>18</v>
      </c>
      <c r="H868" s="1" t="s">
        <v>19</v>
      </c>
      <c r="I868" s="1" t="s">
        <v>20</v>
      </c>
      <c r="J868" s="1" t="s">
        <v>3833</v>
      </c>
      <c r="K868" s="1" t="s">
        <v>22</v>
      </c>
      <c r="L868" s="1" t="str">
        <f>HYPERLINK("https://files.afu.se/Downloads/Transcripts/0%20-%20Government/USA%20-%20NASA%20Johnson/2016 12 16 - NASA Johnson - Space to Ground  Holiday Delivery  12 15 2016_YqP5wMswxzw - transcript (automated).pdf","Transcript Link")</f>
        <v>Transcript Link</v>
      </c>
      <c r="M868" s="2" t="str">
        <f>HYPERLINK("https://files.afu.se/Downloads/Transcripts/0%20-%20Government/USA%20-%20NASA%20Johnson/2016 12 16 - NASA Johnson - Space to Ground  Holiday Delivery  12 15 2016_YqP5wMswxzw - transcript (automated).pdf","Transcript Link")</f>
        <v>Transcript Link</v>
      </c>
    </row>
    <row r="869" ht="180" spans="1:13">
      <c r="A869" s="1" t="s">
        <v>3834</v>
      </c>
      <c r="B869" s="1" t="s">
        <v>13</v>
      </c>
      <c r="C869" s="4" t="s">
        <v>3835</v>
      </c>
      <c r="D869" s="1" t="s">
        <v>3836</v>
      </c>
      <c r="E869" s="1" t="s">
        <v>3837</v>
      </c>
      <c r="F869" s="4" t="s">
        <v>17</v>
      </c>
      <c r="G869" s="1" t="s">
        <v>18</v>
      </c>
      <c r="H869" s="1" t="s">
        <v>19</v>
      </c>
      <c r="I869" s="1" t="s">
        <v>20</v>
      </c>
      <c r="J869" s="1" t="s">
        <v>3838</v>
      </c>
      <c r="K869" s="1" t="s">
        <v>22</v>
      </c>
      <c r="L869" s="1" t="str">
        <f>HYPERLINK("https://files.afu.se/Downloads/Transcripts/0%20-%20Government/USA%20-%20NASA%20Johnson/2016 12 14 - NASA Johnson - Orion Backstage  NASA's Super Guppy Takes on Heavy Lifting for Orion_pNQ9CTJ7Mxc - transcript (automated).pdf","Transcript Link")</f>
        <v>Transcript Link</v>
      </c>
      <c r="M869" s="2" t="str">
        <f>HYPERLINK("https://files.afu.se/Downloads/Transcripts/0%20-%20Government/USA%20-%20NASA%20Johnson/2016 12 14 - NASA Johnson - Orion Backstage  NASA's Super Guppy Takes on Heavy Lifting for Orion_pNQ9CTJ7Mxc - transcript (automated).pdf","Transcript Link")</f>
        <v>Transcript Link</v>
      </c>
    </row>
    <row r="870" ht="330" spans="1:13">
      <c r="A870" s="1" t="s">
        <v>3834</v>
      </c>
      <c r="B870" s="1" t="s">
        <v>13</v>
      </c>
      <c r="C870" s="4" t="s">
        <v>3839</v>
      </c>
      <c r="D870" s="1" t="s">
        <v>3840</v>
      </c>
      <c r="E870" s="1" t="s">
        <v>3841</v>
      </c>
      <c r="F870" s="4" t="s">
        <v>17</v>
      </c>
      <c r="G870" s="1" t="s">
        <v>18</v>
      </c>
      <c r="H870" s="1" t="s">
        <v>19</v>
      </c>
      <c r="I870" s="1" t="s">
        <v>20</v>
      </c>
      <c r="J870" s="1" t="s">
        <v>3842</v>
      </c>
      <c r="K870" s="1" t="s">
        <v>22</v>
      </c>
      <c r="L870" s="1" t="str">
        <f>HYPERLINK("https://files.afu.se/Downloads/Transcripts/0%20-%20Government/USA%20-%20NASA%20Johnson/2016 12 14 - NASA Johnson - Veggie Grows Again!_HZrg9nvrKkY - transcript (automated).pdf","Transcript Link")</f>
        <v>Transcript Link</v>
      </c>
      <c r="M870" s="2" t="str">
        <f>HYPERLINK("https://files.afu.se/Downloads/Transcripts/0%20-%20Government/USA%20-%20NASA%20Johnson/2016 12 14 - NASA Johnson - Veggie Grows Again!_HZrg9nvrKkY - transcript (automated).pdf","Transcript Link")</f>
        <v>Transcript Link</v>
      </c>
    </row>
    <row r="871" ht="180" spans="1:13">
      <c r="A871" s="1" t="s">
        <v>3843</v>
      </c>
      <c r="B871" s="1" t="s">
        <v>13</v>
      </c>
      <c r="C871" s="4" t="s">
        <v>3844</v>
      </c>
      <c r="D871" s="1" t="s">
        <v>3845</v>
      </c>
      <c r="E871" s="1" t="s">
        <v>3846</v>
      </c>
      <c r="F871" s="4" t="s">
        <v>17</v>
      </c>
      <c r="G871" s="1" t="s">
        <v>18</v>
      </c>
      <c r="H871" s="1" t="s">
        <v>19</v>
      </c>
      <c r="I871" s="1" t="s">
        <v>20</v>
      </c>
      <c r="J871" s="1" t="s">
        <v>3847</v>
      </c>
      <c r="K871" s="1" t="s">
        <v>22</v>
      </c>
      <c r="L871" s="1" t="str">
        <f>HYPERLINK("https://files.afu.se/Downloads/Transcripts/0%20-%20Government/USA%20-%20NASA%20Johnson/2016 12 13 - NASA Johnson - Japan's HTV-6 Makes Four Spacecraft Parked at the Station_HamFcDiqi_M - transcript (automated).pdf","Transcript Link")</f>
        <v>Transcript Link</v>
      </c>
      <c r="M871" s="2" t="str">
        <f>HYPERLINK("https://files.afu.se/Downloads/Transcripts/0%20-%20Government/USA%20-%20NASA%20Johnson/2016 12 13 - NASA Johnson - Japan's HTV-6 Makes Four Spacecraft Parked at the Station_HamFcDiqi_M - transcript (automated).pdf","Transcript Link")</f>
        <v>Transcript Link</v>
      </c>
    </row>
    <row r="872" ht="180" spans="1:13">
      <c r="A872" s="1" t="s">
        <v>3843</v>
      </c>
      <c r="B872" s="1" t="s">
        <v>13</v>
      </c>
      <c r="C872" s="4" t="s">
        <v>3848</v>
      </c>
      <c r="D872" s="1" t="s">
        <v>3849</v>
      </c>
      <c r="E872" s="1" t="s">
        <v>3850</v>
      </c>
      <c r="F872" s="4" t="s">
        <v>17</v>
      </c>
      <c r="G872" s="1" t="s">
        <v>18</v>
      </c>
      <c r="H872" s="1" t="s">
        <v>19</v>
      </c>
      <c r="I872" s="1" t="s">
        <v>20</v>
      </c>
      <c r="J872" s="1" t="s">
        <v>3851</v>
      </c>
      <c r="K872" s="1" t="s">
        <v>22</v>
      </c>
      <c r="L872" s="1" t="str">
        <f>HYPERLINK("https://files.afu.se/Downloads/Transcripts/0%20-%20Government/USA%20-%20NASA%20Johnson/2016 12 13 - NASA Johnson - Two Astronauts Capture Japanese Cargo Craft_IeWOlJf2BJM - transcript (automated).pdf","Transcript Link")</f>
        <v>Transcript Link</v>
      </c>
      <c r="M872" s="2" t="str">
        <f>HYPERLINK("https://files.afu.se/Downloads/Transcripts/0%20-%20Government/USA%20-%20NASA%20Johnson/2016 12 13 - NASA Johnson - Two Astronauts Capture Japanese Cargo Craft_IeWOlJf2BJM - transcript (automated).pdf","Transcript Link")</f>
        <v>Transcript Link</v>
      </c>
    </row>
    <row r="873" ht="180" spans="1:13">
      <c r="A873" s="1" t="s">
        <v>3852</v>
      </c>
      <c r="B873" s="1" t="s">
        <v>13</v>
      </c>
      <c r="C873" s="4" t="s">
        <v>3853</v>
      </c>
      <c r="D873" s="1" t="s">
        <v>3854</v>
      </c>
      <c r="E873" s="1" t="s">
        <v>3855</v>
      </c>
      <c r="F873" s="4" t="s">
        <v>17</v>
      </c>
      <c r="G873" s="1" t="s">
        <v>18</v>
      </c>
      <c r="H873" s="1" t="s">
        <v>19</v>
      </c>
      <c r="I873" s="1" t="s">
        <v>20</v>
      </c>
      <c r="J873" s="1" t="s">
        <v>3856</v>
      </c>
      <c r="K873" s="1" t="s">
        <v>22</v>
      </c>
      <c r="L873" s="1" t="str">
        <f>HYPERLINK("https://files.afu.se/Downloads/Transcripts/0%20-%20Government/USA%20-%20NASA%20Johnson/2016 12 09 - NASA Johnson - Ground and Space Views of Japanese Rocket Launch_xiWO6n_3s70 - transcript (automated).pdf","Transcript Link")</f>
        <v>Transcript Link</v>
      </c>
      <c r="M873" s="2" t="str">
        <f>HYPERLINK("https://files.afu.se/Downloads/Transcripts/0%20-%20Government/USA%20-%20NASA%20Johnson/2016 12 09 - NASA Johnson - Ground and Space Views of Japanese Rocket Launch_xiWO6n_3s70 - transcript (automated).pdf","Transcript Link")</f>
        <v>Transcript Link</v>
      </c>
    </row>
    <row r="874" ht="180" spans="1:13">
      <c r="A874" s="1" t="s">
        <v>3852</v>
      </c>
      <c r="B874" s="1" t="s">
        <v>13</v>
      </c>
      <c r="C874" s="4" t="s">
        <v>3857</v>
      </c>
      <c r="D874" s="1" t="s">
        <v>3858</v>
      </c>
      <c r="E874" s="1" t="s">
        <v>2929</v>
      </c>
      <c r="F874" s="4" t="s">
        <v>17</v>
      </c>
      <c r="G874" s="1" t="s">
        <v>18</v>
      </c>
      <c r="H874" s="1" t="s">
        <v>19</v>
      </c>
      <c r="I874" s="1" t="s">
        <v>20</v>
      </c>
      <c r="J874" s="1" t="s">
        <v>3859</v>
      </c>
      <c r="K874" s="1" t="s">
        <v>22</v>
      </c>
      <c r="L874" s="1" t="str">
        <f>HYPERLINK("https://files.afu.se/Downloads/Transcripts/0%20-%20Government/USA%20-%20NASA%20Johnson/2016 12 09 - NASA Johnson - Space to Ground  Cargo on the Way! 12 09 2016_stPAHJQ8iL4 - transcript (automated).pdf","Transcript Link")</f>
        <v>Transcript Link</v>
      </c>
      <c r="M874" s="2" t="str">
        <f>HYPERLINK("https://files.afu.se/Downloads/Transcripts/0%20-%20Government/USA%20-%20NASA%20Johnson/2016 12 09 - NASA Johnson - Space to Ground  Cargo on the Way! 12 09 2016_stPAHJQ8iL4 - transcript (automated).pdf","Transcript Link")</f>
        <v>Transcript Link</v>
      </c>
    </row>
    <row r="875" ht="180" spans="1:13">
      <c r="A875" s="1" t="s">
        <v>3860</v>
      </c>
      <c r="B875" s="1" t="s">
        <v>13</v>
      </c>
      <c r="C875" s="4" t="s">
        <v>3861</v>
      </c>
      <c r="D875" s="1" t="s">
        <v>3862</v>
      </c>
      <c r="E875" s="1" t="s">
        <v>2929</v>
      </c>
      <c r="F875" s="4" t="s">
        <v>17</v>
      </c>
      <c r="G875" s="1" t="s">
        <v>18</v>
      </c>
      <c r="H875" s="1" t="s">
        <v>19</v>
      </c>
      <c r="I875" s="1" t="s">
        <v>20</v>
      </c>
      <c r="J875" s="1" t="s">
        <v>3863</v>
      </c>
      <c r="K875" s="1" t="s">
        <v>22</v>
      </c>
      <c r="L875" s="1" t="str">
        <f>HYPERLINK("https://files.afu.se/Downloads/Transcripts/0%20-%20Government/USA%20-%20NASA%20Johnson/2016 12 02 - NASA Johnson - Space to Ground  70 Hours of Science  12 01 2016_LL43GAKoH4Q - transcript (automated).pdf","Transcript Link")</f>
        <v>Transcript Link</v>
      </c>
      <c r="M875" s="2" t="str">
        <f>HYPERLINK("https://files.afu.se/Downloads/Transcripts/0%20-%20Government/USA%20-%20NASA%20Johnson/2016 12 02 - NASA Johnson - Space to Ground  70 Hours of Science  12 01 2016_LL43GAKoH4Q - transcript (automated).pdf","Transcript Link")</f>
        <v>Transcript Link</v>
      </c>
    </row>
    <row r="876" ht="180" spans="1:13">
      <c r="A876" s="1" t="s">
        <v>3864</v>
      </c>
      <c r="B876" s="1" t="s">
        <v>13</v>
      </c>
      <c r="C876" s="4" t="s">
        <v>3865</v>
      </c>
      <c r="D876" s="1" t="s">
        <v>3866</v>
      </c>
      <c r="E876" s="1" t="s">
        <v>2929</v>
      </c>
      <c r="F876" s="4" t="s">
        <v>17</v>
      </c>
      <c r="G876" s="1" t="s">
        <v>18</v>
      </c>
      <c r="H876" s="1" t="s">
        <v>19</v>
      </c>
      <c r="I876" s="1" t="s">
        <v>20</v>
      </c>
      <c r="J876" s="1" t="s">
        <v>3867</v>
      </c>
      <c r="K876" s="1" t="s">
        <v>22</v>
      </c>
      <c r="L876" s="1" t="str">
        <f>HYPERLINK("https://files.afu.se/Downloads/Transcripts/0%20-%20Government/USA%20-%20NASA%20Johnson/2016 11 23 - NASA Johnson - Space to Ground  Giving Thanks for a New Crew  11 23 2016_CPvcjRARi68 - transcript (automated).pdf","Transcript Link")</f>
        <v>Transcript Link</v>
      </c>
      <c r="M876" s="2" t="str">
        <f>HYPERLINK("https://files.afu.se/Downloads/Transcripts/0%20-%20Government/USA%20-%20NASA%20Johnson/2016 11 23 - NASA Johnson - Space to Ground  Giving Thanks for a New Crew  11 23 2016_CPvcjRARi68 - transcript (automated).pdf","Transcript Link")</f>
        <v>Transcript Link</v>
      </c>
    </row>
    <row r="877" ht="180" spans="1:13">
      <c r="A877" s="1" t="s">
        <v>3868</v>
      </c>
      <c r="B877" s="1" t="s">
        <v>13</v>
      </c>
      <c r="C877" s="4" t="s">
        <v>3869</v>
      </c>
      <c r="D877" s="1" t="s">
        <v>3870</v>
      </c>
      <c r="E877" s="1" t="s">
        <v>3871</v>
      </c>
      <c r="F877" s="4" t="s">
        <v>17</v>
      </c>
      <c r="G877" s="1" t="s">
        <v>18</v>
      </c>
      <c r="H877" s="1" t="s">
        <v>19</v>
      </c>
      <c r="I877" s="1" t="s">
        <v>20</v>
      </c>
      <c r="J877" s="1" t="s">
        <v>3872</v>
      </c>
      <c r="K877" s="1" t="s">
        <v>22</v>
      </c>
      <c r="L877" s="1" t="str">
        <f>HYPERLINK("https://files.afu.se/Downloads/Transcripts/0%20-%20Government/USA%20-%20NASA%20Johnson/2016 11 22 - NASA Johnson - Orion Backstage  Keeping Orion Weight Off And Crew Weight On_ZvE8jIf5Efw - transcript (automated).pdf","Transcript Link")</f>
        <v>Transcript Link</v>
      </c>
      <c r="M877" s="2" t="str">
        <f>HYPERLINK("https://files.afu.se/Downloads/Transcripts/0%20-%20Government/USA%20-%20NASA%20Johnson/2016 11 22 - NASA Johnson - Orion Backstage  Keeping Orion Weight Off And Crew Weight On_ZvE8jIf5Efw - transcript (automated).pdf","Transcript Link")</f>
        <v>Transcript Link</v>
      </c>
    </row>
    <row r="878" ht="409.5" spans="1:13">
      <c r="A878" s="1" t="s">
        <v>3873</v>
      </c>
      <c r="B878" s="1" t="s">
        <v>13</v>
      </c>
      <c r="C878" s="4" t="s">
        <v>3874</v>
      </c>
      <c r="D878" s="1" t="s">
        <v>3875</v>
      </c>
      <c r="E878" s="1" t="s">
        <v>3876</v>
      </c>
      <c r="F878" s="4" t="s">
        <v>17</v>
      </c>
      <c r="G878" s="1" t="s">
        <v>18</v>
      </c>
      <c r="H878" s="1" t="s">
        <v>19</v>
      </c>
      <c r="I878" s="1" t="s">
        <v>20</v>
      </c>
      <c r="J878" s="1" t="s">
        <v>3877</v>
      </c>
      <c r="K878" s="1" t="s">
        <v>22</v>
      </c>
      <c r="L878" s="1" t="str">
        <f>HYPERLINK("https://files.afu.se/Downloads/Transcripts/0%20-%20Government/USA%20-%20NASA%20Johnson/2016 11 21 - NASA Johnson - BEAM Me Up  Space Habitats_5DZ6RA1__Ts - transcript (automated).pdf","Transcript Link")</f>
        <v>Transcript Link</v>
      </c>
      <c r="M878" s="2" t="str">
        <f>HYPERLINK("https://files.afu.se/Downloads/Transcripts/0%20-%20Government/USA%20-%20NASA%20Johnson/2016 11 21 - NASA Johnson - BEAM Me Up  Space Habitats_5DZ6RA1__Ts - transcript (automated).pdf","Transcript Link")</f>
        <v>Transcript Link</v>
      </c>
    </row>
    <row r="879" ht="180" spans="1:13">
      <c r="A879" s="1" t="s">
        <v>3878</v>
      </c>
      <c r="B879" s="1" t="s">
        <v>13</v>
      </c>
      <c r="C879" s="4" t="s">
        <v>3879</v>
      </c>
      <c r="D879" s="1" t="s">
        <v>3880</v>
      </c>
      <c r="E879" s="1" t="s">
        <v>3881</v>
      </c>
      <c r="F879" s="4" t="s">
        <v>17</v>
      </c>
      <c r="G879" s="1" t="s">
        <v>18</v>
      </c>
      <c r="H879" s="1" t="s">
        <v>19</v>
      </c>
      <c r="I879" s="1" t="s">
        <v>20</v>
      </c>
      <c r="J879" s="1" t="s">
        <v>3882</v>
      </c>
      <c r="K879" s="1" t="s">
        <v>22</v>
      </c>
      <c r="L879" s="1" t="str">
        <f>HYPERLINK("https://files.afu.se/Downloads/Transcripts/0%20-%20Government/USA%20-%20NASA%20Johnson/2016 11 20 - NASA Johnson - Welcome Aboard! New Arrivals Make Six Expedition 50 Crew Members_lYqi-tYxEAI - transcript (automated).pdf","Transcript Link")</f>
        <v>Transcript Link</v>
      </c>
      <c r="M879" s="2" t="str">
        <f>HYPERLINK("https://files.afu.se/Downloads/Transcripts/0%20-%20Government/USA%20-%20NASA%20Johnson/2016 11 20 - NASA Johnson - Welcome Aboard! New Arrivals Make Six Expedition 50 Crew Members_lYqi-tYxEAI - transcript (automated).pdf","Transcript Link")</f>
        <v>Transcript Link</v>
      </c>
    </row>
    <row r="880" ht="255" spans="1:13">
      <c r="A880" s="1" t="s">
        <v>3883</v>
      </c>
      <c r="B880" s="1" t="s">
        <v>13</v>
      </c>
      <c r="C880" s="4" t="s">
        <v>3884</v>
      </c>
      <c r="D880" s="1" t="s">
        <v>3885</v>
      </c>
      <c r="E880" s="1" t="s">
        <v>3886</v>
      </c>
      <c r="F880" s="4" t="s">
        <v>17</v>
      </c>
      <c r="G880" s="1" t="s">
        <v>18</v>
      </c>
      <c r="H880" s="1" t="s">
        <v>19</v>
      </c>
      <c r="I880" s="1" t="s">
        <v>20</v>
      </c>
      <c r="J880" s="1" t="s">
        <v>3887</v>
      </c>
      <c r="K880" s="1" t="s">
        <v>22</v>
      </c>
      <c r="L880" s="1" t="str">
        <f>HYPERLINK("https://files.afu.se/Downloads/Transcripts/0%20-%20Government/USA%20-%20NASA%20Johnson/2016 11 18 - NASA Johnson - Peggy’s Personal Pre-Launch Package_ixvk5al_0bc - transcript (automated).pdf","Transcript Link")</f>
        <v>Transcript Link</v>
      </c>
      <c r="M880" s="2" t="str">
        <f>HYPERLINK("https://files.afu.se/Downloads/Transcripts/0%20-%20Government/USA%20-%20NASA%20Johnson/2016 11 18 - NASA Johnson - Peggy’s Personal Pre-Launch Package_ixvk5al_0bc - transcript (automated).pdf","Transcript Link")</f>
        <v>Transcript Link</v>
      </c>
    </row>
    <row r="881" ht="180" spans="1:13">
      <c r="A881" s="1" t="s">
        <v>3883</v>
      </c>
      <c r="B881" s="1" t="s">
        <v>13</v>
      </c>
      <c r="C881" s="4" t="s">
        <v>3888</v>
      </c>
      <c r="D881" s="1" t="s">
        <v>3889</v>
      </c>
      <c r="E881" s="1" t="s">
        <v>3890</v>
      </c>
      <c r="F881" s="4" t="s">
        <v>17</v>
      </c>
      <c r="G881" s="1" t="s">
        <v>18</v>
      </c>
      <c r="H881" s="1" t="s">
        <v>19</v>
      </c>
      <c r="I881" s="1" t="s">
        <v>20</v>
      </c>
      <c r="J881" s="1" t="s">
        <v>3891</v>
      </c>
      <c r="K881" s="1" t="s">
        <v>22</v>
      </c>
      <c r="L881" s="1" t="str">
        <f>HYPERLINK("https://files.afu.se/Downloads/Transcripts/0%20-%20Government/USA%20-%20NASA%20Johnson/2016 11 18 - NASA Johnson - Expedition 50 Suits Up and Launches_e-GbTqpCLLM - transcript (automated).pdf","Transcript Link")</f>
        <v>Transcript Link</v>
      </c>
      <c r="M881" s="2" t="str">
        <f>HYPERLINK("https://files.afu.se/Downloads/Transcripts/0%20-%20Government/USA%20-%20NASA%20Johnson/2016 11 18 - NASA Johnson - Expedition 50 Suits Up and Launches_e-GbTqpCLLM - transcript (automated).pdf","Transcript Link")</f>
        <v>Transcript Link</v>
      </c>
    </row>
    <row r="882" ht="180" spans="1:13">
      <c r="A882" s="1" t="s">
        <v>3892</v>
      </c>
      <c r="B882" s="1" t="s">
        <v>13</v>
      </c>
      <c r="C882" s="4" t="s">
        <v>3893</v>
      </c>
      <c r="D882" s="1" t="s">
        <v>3894</v>
      </c>
      <c r="E882" s="1" t="s">
        <v>2929</v>
      </c>
      <c r="F882" s="4" t="s">
        <v>17</v>
      </c>
      <c r="G882" s="1" t="s">
        <v>18</v>
      </c>
      <c r="H882" s="1" t="s">
        <v>19</v>
      </c>
      <c r="I882" s="1" t="s">
        <v>20</v>
      </c>
      <c r="J882" s="1" t="s">
        <v>3895</v>
      </c>
      <c r="K882" s="1" t="s">
        <v>22</v>
      </c>
      <c r="L882" s="1" t="str">
        <f>HYPERLINK("https://files.afu.se/Downloads/Transcripts/0%20-%20Government/USA%20-%20NASA%20Johnson/2016 11 17 - NASA Johnson - Space to Ground  That’s no Moon!  11 17 2016_q8cT2b6rrkY - transcript (automated).pdf","Transcript Link")</f>
        <v>Transcript Link</v>
      </c>
      <c r="M882" s="2" t="str">
        <f>HYPERLINK("https://files.afu.se/Downloads/Transcripts/0%20-%20Government/USA%20-%20NASA%20Johnson/2016 11 17 - NASA Johnson - Space to Ground  That’s no Moon!  11 17 2016_q8cT2b6rrkY - transcript (automated).pdf","Transcript Link")</f>
        <v>Transcript Link</v>
      </c>
    </row>
    <row r="883" ht="180" spans="1:13">
      <c r="A883" s="1" t="s">
        <v>3892</v>
      </c>
      <c r="B883" s="1" t="s">
        <v>13</v>
      </c>
      <c r="C883" s="4" t="s">
        <v>3896</v>
      </c>
      <c r="D883" s="1" t="s">
        <v>3897</v>
      </c>
      <c r="E883" s="1" t="s">
        <v>3897</v>
      </c>
      <c r="F883" s="4" t="s">
        <v>17</v>
      </c>
      <c r="G883" s="1" t="s">
        <v>18</v>
      </c>
      <c r="H883" s="1" t="s">
        <v>19</v>
      </c>
      <c r="I883" s="1" t="s">
        <v>20</v>
      </c>
      <c r="J883" s="1" t="s">
        <v>3898</v>
      </c>
      <c r="K883" s="1" t="s">
        <v>22</v>
      </c>
      <c r="L883" s="1" t="str">
        <f>HYPERLINK("https://files.afu.se/Downloads/Transcripts/0%20-%20Government/USA%20-%20NASA%20Johnson/2016 11 17 - NASA Johnson - A Moment with Peggy Whitson_jqHuQ0o4vyo - transcript (automated).pdf","Transcript Link")</f>
        <v>Transcript Link</v>
      </c>
      <c r="M883" s="2" t="str">
        <f>HYPERLINK("https://files.afu.se/Downloads/Transcripts/0%20-%20Government/USA%20-%20NASA%20Johnson/2016 11 17 - NASA Johnson - A Moment with Peggy Whitson_jqHuQ0o4vyo - transcript (automated).pdf","Transcript Link")</f>
        <v>Transcript Link</v>
      </c>
    </row>
    <row r="884" ht="270" spans="1:13">
      <c r="A884" s="1" t="s">
        <v>3899</v>
      </c>
      <c r="B884" s="1" t="s">
        <v>13</v>
      </c>
      <c r="C884" s="4" t="s">
        <v>3900</v>
      </c>
      <c r="D884" s="1" t="s">
        <v>3901</v>
      </c>
      <c r="E884" s="1" t="s">
        <v>3902</v>
      </c>
      <c r="F884" s="4" t="s">
        <v>17</v>
      </c>
      <c r="G884" s="1" t="s">
        <v>18</v>
      </c>
      <c r="H884" s="1" t="s">
        <v>19</v>
      </c>
      <c r="I884" s="1" t="s">
        <v>20</v>
      </c>
      <c r="J884" s="1" t="s">
        <v>3903</v>
      </c>
      <c r="K884" s="1" t="s">
        <v>22</v>
      </c>
      <c r="L884" s="1" t="str">
        <f>HYPERLINK("https://files.afu.se/Downloads/Transcripts/0%20-%20Government/USA%20-%20NASA%20Johnson/2016 11 15 - NASA Johnson - Supermoon over Baikonur_2BB_zxZvaVs - transcript (automated).pdf","Transcript Link")</f>
        <v>Transcript Link</v>
      </c>
      <c r="M884" s="2" t="str">
        <f>HYPERLINK("https://files.afu.se/Downloads/Transcripts/0%20-%20Government/USA%20-%20NASA%20Johnson/2016 11 15 - NASA Johnson - Supermoon over Baikonur_2BB_zxZvaVs - transcript (automated).pdf","Transcript Link")</f>
        <v>Transcript Link</v>
      </c>
    </row>
    <row r="885" ht="240" spans="1:13">
      <c r="A885" s="1" t="s">
        <v>3899</v>
      </c>
      <c r="B885" s="1" t="s">
        <v>13</v>
      </c>
      <c r="C885" s="4" t="s">
        <v>3904</v>
      </c>
      <c r="D885" s="1" t="s">
        <v>3905</v>
      </c>
      <c r="E885" s="1" t="s">
        <v>3906</v>
      </c>
      <c r="F885" s="4" t="s">
        <v>17</v>
      </c>
      <c r="G885" s="1" t="s">
        <v>18</v>
      </c>
      <c r="H885" s="1" t="s">
        <v>19</v>
      </c>
      <c r="I885" s="1" t="s">
        <v>20</v>
      </c>
      <c r="J885" s="1" t="s">
        <v>3907</v>
      </c>
      <c r="K885" s="1" t="s">
        <v>22</v>
      </c>
      <c r="L885" s="1" t="str">
        <f>HYPERLINK("https://files.afu.se/Downloads/Transcripts/0%20-%20Government/USA%20-%20NASA%20Johnson/2016 11 15 - NASA Johnson - 5 Things You Didn’t Know About Astronaut Peggy Whitson_6A3ZHxWwOXI - transcript (automated).pdf","Transcript Link")</f>
        <v>Transcript Link</v>
      </c>
      <c r="M885" s="2" t="str">
        <f>HYPERLINK("https://files.afu.se/Downloads/Transcripts/0%20-%20Government/USA%20-%20NASA%20Johnson/2016 11 15 - NASA Johnson - 5 Things You Didn’t Know About Astronaut Peggy Whitson_6A3ZHxWwOXI - transcript (automated).pdf","Transcript Link")</f>
        <v>Transcript Link</v>
      </c>
    </row>
    <row r="886" ht="225" spans="1:13">
      <c r="A886" s="1" t="s">
        <v>3908</v>
      </c>
      <c r="B886" s="1" t="s">
        <v>13</v>
      </c>
      <c r="C886" s="4" t="s">
        <v>3909</v>
      </c>
      <c r="D886" s="1" t="s">
        <v>3910</v>
      </c>
      <c r="E886" s="1" t="s">
        <v>3911</v>
      </c>
      <c r="F886" s="4" t="s">
        <v>17</v>
      </c>
      <c r="G886" s="1" t="s">
        <v>18</v>
      </c>
      <c r="H886" s="1" t="s">
        <v>19</v>
      </c>
      <c r="I886" s="1" t="s">
        <v>20</v>
      </c>
      <c r="J886" s="1" t="s">
        <v>3912</v>
      </c>
      <c r="K886" s="1" t="s">
        <v>22</v>
      </c>
      <c r="L886" s="1" t="str">
        <f>HYPERLINK("https://files.afu.se/Downloads/Transcripts/0%20-%20Government/USA%20-%20NASA%20Johnson/2016 11 14 - NASA Johnson - Expedition 50 Rocket Comes Together_j0wdRieUQ7g - transcript (automated).pdf","Transcript Link")</f>
        <v>Transcript Link</v>
      </c>
      <c r="M886" s="2" t="str">
        <f>HYPERLINK("https://files.afu.se/Downloads/Transcripts/0%20-%20Government/USA%20-%20NASA%20Johnson/2016 11 14 - NASA Johnson - Expedition 50 Rocket Comes Together_j0wdRieUQ7g - transcript (automated).pdf","Transcript Link")</f>
        <v>Transcript Link</v>
      </c>
    </row>
    <row r="887" ht="240" spans="1:13">
      <c r="A887" s="1" t="s">
        <v>3913</v>
      </c>
      <c r="B887" s="1" t="s">
        <v>13</v>
      </c>
      <c r="C887" s="4" t="s">
        <v>3914</v>
      </c>
      <c r="D887" s="1" t="s">
        <v>3915</v>
      </c>
      <c r="E887" s="1" t="s">
        <v>3916</v>
      </c>
      <c r="F887" s="4" t="s">
        <v>17</v>
      </c>
      <c r="G887" s="1" t="s">
        <v>18</v>
      </c>
      <c r="H887" s="1" t="s">
        <v>19</v>
      </c>
      <c r="I887" s="1" t="s">
        <v>20</v>
      </c>
      <c r="J887" s="1" t="s">
        <v>3917</v>
      </c>
      <c r="K887" s="1" t="s">
        <v>22</v>
      </c>
      <c r="L887" s="1" t="str">
        <f>HYPERLINK("https://files.afu.se/Downloads/Transcripts/0%20-%20Government/USA%20-%20NASA%20Johnson/2016 11 10 - NASA Johnson - Space to Ground  Eyes on Earth  11 10 2016_4Gq8_TcNQbg - transcript (automated).pdf","Transcript Link")</f>
        <v>Transcript Link</v>
      </c>
      <c r="M887" s="2" t="str">
        <f>HYPERLINK("https://files.afu.se/Downloads/Transcripts/0%20-%20Government/USA%20-%20NASA%20Johnson/2016 11 10 - NASA Johnson - Space to Ground  Eyes on Earth  11 10 2016_4Gq8_TcNQbg - transcript (automated).pdf","Transcript Link")</f>
        <v>Transcript Link</v>
      </c>
    </row>
    <row r="888" ht="225" spans="1:13">
      <c r="A888" s="1" t="s">
        <v>3913</v>
      </c>
      <c r="B888" s="1" t="s">
        <v>13</v>
      </c>
      <c r="C888" s="4" t="s">
        <v>3918</v>
      </c>
      <c r="D888" s="1" t="s">
        <v>3919</v>
      </c>
      <c r="E888" s="1" t="s">
        <v>3920</v>
      </c>
      <c r="F888" s="4" t="s">
        <v>17</v>
      </c>
      <c r="G888" s="1" t="s">
        <v>18</v>
      </c>
      <c r="H888" s="1" t="s">
        <v>19</v>
      </c>
      <c r="I888" s="1" t="s">
        <v>20</v>
      </c>
      <c r="J888" s="1" t="s">
        <v>3921</v>
      </c>
      <c r="K888" s="1" t="s">
        <v>22</v>
      </c>
      <c r="L888" s="1" t="str">
        <f>HYPERLINK("https://files.afu.se/Downloads/Transcripts/0%20-%20Government/USA%20-%20NASA%20Johnson/2016 11 10 - NASA Johnson - Expedition 50-51 Crew Prepares for Launch in Kazakhstan_FrkDAk3H96k - transcript (automated).pdf","Transcript Link")</f>
        <v>Transcript Link</v>
      </c>
      <c r="M888" s="2" t="str">
        <f>HYPERLINK("https://files.afu.se/Downloads/Transcripts/0%20-%20Government/USA%20-%20NASA%20Johnson/2016 11 10 - NASA Johnson - Expedition 50-51 Crew Prepares for Launch in Kazakhstan_FrkDAk3H96k - transcript (automated).pdf","Transcript Link")</f>
        <v>Transcript Link</v>
      </c>
    </row>
    <row r="889" ht="180" spans="1:13">
      <c r="A889" s="1" t="s">
        <v>3922</v>
      </c>
      <c r="B889" s="1" t="s">
        <v>13</v>
      </c>
      <c r="C889" s="4" t="s">
        <v>3923</v>
      </c>
      <c r="D889" s="1" t="s">
        <v>3924</v>
      </c>
      <c r="E889" s="1" t="s">
        <v>3925</v>
      </c>
      <c r="F889" s="4" t="s">
        <v>17</v>
      </c>
      <c r="G889" s="1" t="s">
        <v>18</v>
      </c>
      <c r="H889" s="1" t="s">
        <v>19</v>
      </c>
      <c r="I889" s="1" t="s">
        <v>20</v>
      </c>
      <c r="J889" s="1" t="s">
        <v>3926</v>
      </c>
      <c r="K889" s="1" t="s">
        <v>22</v>
      </c>
      <c r="L889" s="1" t="str">
        <f>HYPERLINK("https://files.afu.se/Downloads/Transcripts/0%20-%20Government/USA%20-%20NASA%20Johnson/2016 11 09 - NASA Johnson - Astronaut at a Glance  Jack Fischer_bnWR-Gtrh8A - transcript (automated).pdf","Transcript Link")</f>
        <v>Transcript Link</v>
      </c>
      <c r="M889" s="2" t="str">
        <f>HYPERLINK("https://files.afu.se/Downloads/Transcripts/0%20-%20Government/USA%20-%20NASA%20Johnson/2016 11 09 - NASA Johnson - Astronaut at a Glance  Jack Fischer_bnWR-Gtrh8A - transcript (automated).pdf","Transcript Link")</f>
        <v>Transcript Link</v>
      </c>
    </row>
    <row r="890" ht="180" spans="1:13">
      <c r="A890" s="1" t="s">
        <v>3927</v>
      </c>
      <c r="B890" s="1" t="s">
        <v>13</v>
      </c>
      <c r="C890" s="4" t="s">
        <v>3928</v>
      </c>
      <c r="D890" s="1" t="s">
        <v>3929</v>
      </c>
      <c r="E890" s="1" t="s">
        <v>2929</v>
      </c>
      <c r="F890" s="4" t="s">
        <v>17</v>
      </c>
      <c r="G890" s="1" t="s">
        <v>18</v>
      </c>
      <c r="H890" s="1" t="s">
        <v>19</v>
      </c>
      <c r="I890" s="1" t="s">
        <v>20</v>
      </c>
      <c r="J890" s="1" t="s">
        <v>3930</v>
      </c>
      <c r="K890" s="1" t="s">
        <v>22</v>
      </c>
      <c r="L890" s="1" t="str">
        <f>HYPERLINK("https://files.afu.se/Downloads/Transcripts/0%20-%20Government/USA%20-%20NASA%20Johnson/2016 11 03 - NASA Johnson - Space to Ground  Picture Perfect Landing  11 03 2016_fkuuA7Z2x2Y - transcript (automated).pdf","Transcript Link")</f>
        <v>Transcript Link</v>
      </c>
      <c r="M890" s="2" t="str">
        <f>HYPERLINK("https://files.afu.se/Downloads/Transcripts/0%20-%20Government/USA%20-%20NASA%20Johnson/2016 11 03 - NASA Johnson - Space to Ground  Picture Perfect Landing  11 03 2016_fkuuA7Z2x2Y - transcript (automated).pdf","Transcript Link")</f>
        <v>Transcript Link</v>
      </c>
    </row>
    <row r="891" ht="180" spans="1:13">
      <c r="A891" s="1" t="s">
        <v>3931</v>
      </c>
      <c r="B891" s="1" t="s">
        <v>13</v>
      </c>
      <c r="C891" s="4" t="s">
        <v>3932</v>
      </c>
      <c r="D891" s="1" t="s">
        <v>3933</v>
      </c>
      <c r="E891" s="1" t="s">
        <v>3934</v>
      </c>
      <c r="F891" s="4" t="s">
        <v>17</v>
      </c>
      <c r="G891" s="1" t="s">
        <v>18</v>
      </c>
      <c r="H891" s="1" t="s">
        <v>19</v>
      </c>
      <c r="I891" s="1" t="s">
        <v>20</v>
      </c>
      <c r="J891" s="1" t="s">
        <v>3935</v>
      </c>
      <c r="K891" s="1" t="s">
        <v>22</v>
      </c>
      <c r="L891" s="1" t="str">
        <f>HYPERLINK("https://files.afu.se/Downloads/Transcripts/0%20-%20Government/USA%20-%20NASA%20Johnson/2016 11 02 - NASA Johnson - October Highlights_sSfeJ8qaG7Q - transcript (automated).pdf","Transcript Link")</f>
        <v>Transcript Link</v>
      </c>
      <c r="M891" s="2" t="str">
        <f>HYPERLINK("https://files.afu.se/Downloads/Transcripts/0%20-%20Government/USA%20-%20NASA%20Johnson/2016 11 02 - NASA Johnson - October Highlights_sSfeJ8qaG7Q - transcript (automated).pdf","Transcript Link")</f>
        <v>Transcript Link</v>
      </c>
    </row>
    <row r="892" ht="180" spans="1:13">
      <c r="A892" s="1" t="s">
        <v>3931</v>
      </c>
      <c r="B892" s="1" t="s">
        <v>13</v>
      </c>
      <c r="C892" s="4" t="s">
        <v>3936</v>
      </c>
      <c r="D892" s="1" t="s">
        <v>3937</v>
      </c>
      <c r="E892" s="1" t="s">
        <v>3938</v>
      </c>
      <c r="F892" s="4" t="s">
        <v>17</v>
      </c>
      <c r="G892" s="1" t="s">
        <v>18</v>
      </c>
      <c r="H892" s="1" t="s">
        <v>19</v>
      </c>
      <c r="I892" s="1" t="s">
        <v>20</v>
      </c>
      <c r="J892" s="1" t="s">
        <v>3939</v>
      </c>
      <c r="K892" s="1" t="s">
        <v>22</v>
      </c>
      <c r="L892" s="1" t="str">
        <f>HYPERLINK("https://files.afu.se/Downloads/Transcripts/0%20-%20Government/USA%20-%20NASA%20Johnson/2016 11 02 - NASA Johnson - Monthly ISS Research Video Update for October 2016_iGE81m_c1gA - transcript (automated).pdf","Transcript Link")</f>
        <v>Transcript Link</v>
      </c>
      <c r="M892" s="2" t="str">
        <f>HYPERLINK("https://files.afu.se/Downloads/Transcripts/0%20-%20Government/USA%20-%20NASA%20Johnson/2016 11 02 - NASA Johnson - Monthly ISS Research Video Update for October 2016_iGE81m_c1gA - transcript (automated).pdf","Transcript Link")</f>
        <v>Transcript Link</v>
      </c>
    </row>
    <row r="893" ht="180" spans="1:13">
      <c r="A893" s="1" t="s">
        <v>3940</v>
      </c>
      <c r="B893" s="1" t="s">
        <v>13</v>
      </c>
      <c r="C893" s="4" t="s">
        <v>3941</v>
      </c>
      <c r="D893" s="1" t="s">
        <v>3942</v>
      </c>
      <c r="E893" s="1" t="s">
        <v>3943</v>
      </c>
      <c r="F893" s="4" t="s">
        <v>17</v>
      </c>
      <c r="G893" s="1" t="s">
        <v>18</v>
      </c>
      <c r="H893" s="1" t="s">
        <v>19</v>
      </c>
      <c r="I893" s="1" t="s">
        <v>20</v>
      </c>
      <c r="J893" s="1" t="s">
        <v>3944</v>
      </c>
      <c r="K893" s="1" t="s">
        <v>22</v>
      </c>
      <c r="L893" s="1" t="str">
        <f>HYPERLINK("https://files.afu.se/Downloads/Transcripts/0%20-%20Government/USA%20-%20NASA%20Johnson/2016 11 01 - NASA Johnson - Space Station Astronauts Arrive in Houston for Homecoming_Y-qZMOTT-OM - transcript (automated).pdf","Transcript Link")</f>
        <v>Transcript Link</v>
      </c>
      <c r="M893" s="2" t="str">
        <f>HYPERLINK("https://files.afu.se/Downloads/Transcripts/0%20-%20Government/USA%20-%20NASA%20Johnson/2016 11 01 - NASA Johnson - Space Station Astronauts Arrive in Houston for Homecoming_Y-qZMOTT-OM - transcript (automated).pdf","Transcript Link")</f>
        <v>Transcript Link</v>
      </c>
    </row>
    <row r="894" ht="409.5" spans="1:13">
      <c r="A894" s="1" t="s">
        <v>3940</v>
      </c>
      <c r="B894" s="1" t="s">
        <v>13</v>
      </c>
      <c r="C894" s="4" t="s">
        <v>3945</v>
      </c>
      <c r="D894" s="1" t="s">
        <v>3946</v>
      </c>
      <c r="E894" s="1" t="s">
        <v>3947</v>
      </c>
      <c r="F894" s="4" t="s">
        <v>17</v>
      </c>
      <c r="G894" s="1" t="s">
        <v>18</v>
      </c>
      <c r="H894" s="1" t="s">
        <v>19</v>
      </c>
      <c r="I894" s="1" t="s">
        <v>20</v>
      </c>
      <c r="J894" s="1" t="s">
        <v>3948</v>
      </c>
      <c r="K894" s="1" t="s">
        <v>22</v>
      </c>
      <c r="L894" s="1" t="str">
        <f>HYPERLINK("https://files.afu.se/Downloads/Transcripts/0%20-%20Government/USA%20-%20NASA%20Johnson/2016 11 01 - NASA Johnson - Mars Materials Exposed!_VLnPaP2fGYE - transcript (automated).pdf","Transcript Link")</f>
        <v>Transcript Link</v>
      </c>
      <c r="M894" s="2" t="str">
        <f>HYPERLINK("https://files.afu.se/Downloads/Transcripts/0%20-%20Government/USA%20-%20NASA%20Johnson/2016 11 01 - NASA Johnson - Mars Materials Exposed!_VLnPaP2fGYE - transcript (automated).pdf","Transcript Link")</f>
        <v>Transcript Link</v>
      </c>
    </row>
    <row r="895" ht="285" spans="1:13">
      <c r="A895" s="1" t="s">
        <v>3940</v>
      </c>
      <c r="B895" s="1" t="s">
        <v>13</v>
      </c>
      <c r="C895" s="4" t="s">
        <v>3949</v>
      </c>
      <c r="D895" s="1" t="s">
        <v>3950</v>
      </c>
      <c r="E895" s="1" t="s">
        <v>3951</v>
      </c>
      <c r="F895" s="4" t="s">
        <v>17</v>
      </c>
      <c r="G895" s="1" t="s">
        <v>18</v>
      </c>
      <c r="H895" s="1" t="s">
        <v>19</v>
      </c>
      <c r="I895" s="1" t="s">
        <v>20</v>
      </c>
      <c r="J895" s="1" t="s">
        <v>3952</v>
      </c>
      <c r="K895" s="1" t="s">
        <v>22</v>
      </c>
      <c r="L895" s="1" t="str">
        <f>HYPERLINK("https://files.afu.se/Downloads/Transcripts/0%20-%20Government/USA%20-%20NASA%20Johnson/2016 11 01 - NASA Johnson - NASA on the Edge of Forever  Science in Space_bhPNNIiuEzI - transcript (automated).pdf","Transcript Link")</f>
        <v>Transcript Link</v>
      </c>
      <c r="M895" s="2" t="str">
        <f>HYPERLINK("https://files.afu.se/Downloads/Transcripts/0%20-%20Government/USA%20-%20NASA%20Johnson/2016 11 01 - NASA Johnson - NASA on the Edge of Forever  Science in Space_bhPNNIiuEzI - transcript (automated).pdf","Transcript Link")</f>
        <v>Transcript Link</v>
      </c>
    </row>
    <row r="896" ht="255" spans="1:13">
      <c r="A896" s="1" t="s">
        <v>3940</v>
      </c>
      <c r="B896" s="1" t="s">
        <v>13</v>
      </c>
      <c r="C896" s="4" t="s">
        <v>3953</v>
      </c>
      <c r="D896" s="1" t="s">
        <v>3954</v>
      </c>
      <c r="E896" s="1" t="s">
        <v>3955</v>
      </c>
      <c r="F896" s="4" t="s">
        <v>17</v>
      </c>
      <c r="G896" s="1" t="s">
        <v>18</v>
      </c>
      <c r="H896" s="1" t="s">
        <v>19</v>
      </c>
      <c r="I896" s="1" t="s">
        <v>20</v>
      </c>
      <c r="J896" s="1" t="s">
        <v>3956</v>
      </c>
      <c r="K896" s="1" t="s">
        <v>22</v>
      </c>
      <c r="L896" s="1" t="str">
        <f>HYPERLINK("https://files.afu.se/Downloads/Transcripts/0%20-%20Government/USA%20-%20NASA%20Johnson/2016 11 01 - NASA Johnson - Expedition 50-51 Crew Departs for Kazakh Launch Site_dMNCth_vgr0 - transcript (automated).pdf","Transcript Link")</f>
        <v>Transcript Link</v>
      </c>
      <c r="M896" s="2" t="str">
        <f>HYPERLINK("https://files.afu.se/Downloads/Transcripts/0%20-%20Government/USA%20-%20NASA%20Johnson/2016 11 01 - NASA Johnson - Expedition 50-51 Crew Departs for Kazakh Launch Site_dMNCth_vgr0 - transcript (automated).pdf","Transcript Link")</f>
        <v>Transcript Link</v>
      </c>
    </row>
    <row r="897" ht="180" spans="1:13">
      <c r="A897" s="1" t="s">
        <v>3957</v>
      </c>
      <c r="B897" s="1" t="s">
        <v>13</v>
      </c>
      <c r="C897" s="4" t="s">
        <v>3958</v>
      </c>
      <c r="D897" s="1" t="s">
        <v>3959</v>
      </c>
      <c r="E897" s="1" t="s">
        <v>2929</v>
      </c>
      <c r="F897" s="4" t="s">
        <v>17</v>
      </c>
      <c r="G897" s="1" t="s">
        <v>18</v>
      </c>
      <c r="H897" s="1" t="s">
        <v>19</v>
      </c>
      <c r="I897" s="1" t="s">
        <v>20</v>
      </c>
      <c r="J897" s="1" t="s">
        <v>3960</v>
      </c>
      <c r="K897" s="1" t="s">
        <v>22</v>
      </c>
      <c r="L897" s="1" t="str">
        <f>HYPERLINK("https://files.afu.se/Downloads/Transcripts/0%20-%20Government/USA%20-%20NASA%20Johnson/2016 10 27 - NASA Johnson - Space to Ground  Three Up, Three Down  10 27 2016_HxwHl35LhGQ - transcript (automated).pdf","Transcript Link")</f>
        <v>Transcript Link</v>
      </c>
      <c r="M897" s="2" t="str">
        <f>HYPERLINK("https://files.afu.se/Downloads/Transcripts/0%20-%20Government/USA%20-%20NASA%20Johnson/2016 10 27 - NASA Johnson - Space to Ground  Three Up, Three Down  10 27 2016_HxwHl35LhGQ - transcript (automated).pdf","Transcript Link")</f>
        <v>Transcript Link</v>
      </c>
    </row>
    <row r="898" ht="285" spans="1:13">
      <c r="A898" s="1" t="s">
        <v>3961</v>
      </c>
      <c r="B898" s="1" t="s">
        <v>13</v>
      </c>
      <c r="C898" s="4" t="s">
        <v>3962</v>
      </c>
      <c r="D898" s="1" t="s">
        <v>3963</v>
      </c>
      <c r="E898" s="1" t="s">
        <v>3964</v>
      </c>
      <c r="F898" s="4" t="s">
        <v>17</v>
      </c>
      <c r="G898" s="1" t="s">
        <v>18</v>
      </c>
      <c r="H898" s="1" t="s">
        <v>19</v>
      </c>
      <c r="I898" s="1" t="s">
        <v>20</v>
      </c>
      <c r="J898" s="1" t="s">
        <v>3965</v>
      </c>
      <c r="K898" s="1" t="s">
        <v>22</v>
      </c>
      <c r="L898" s="1" t="str">
        <f>HYPERLINK("https://files.afu.se/Downloads/Transcripts/0%20-%20Government/USA%20-%20NASA%20Johnson/2016 10 26 - NASA Johnson - Expedition 50-51 Crew Conducts Ceremonies  Russia_qam7K5H6Rqo - transcript (automated).pdf","Transcript Link")</f>
        <v>Transcript Link</v>
      </c>
      <c r="M898" s="2" t="str">
        <f>HYPERLINK("https://files.afu.se/Downloads/Transcripts/0%20-%20Government/USA%20-%20NASA%20Johnson/2016 10 26 - NASA Johnson - Expedition 50-51 Crew Conducts Ceremonies  Russia_qam7K5H6Rqo - transcript (automated).pdf","Transcript Link")</f>
        <v>Transcript Link</v>
      </c>
    </row>
    <row r="899" ht="180" spans="1:13">
      <c r="A899" s="1" t="s">
        <v>3966</v>
      </c>
      <c r="B899" s="1" t="s">
        <v>13</v>
      </c>
      <c r="C899" s="4" t="s">
        <v>3967</v>
      </c>
      <c r="D899" s="1" t="s">
        <v>3968</v>
      </c>
      <c r="E899" s="1" t="s">
        <v>3969</v>
      </c>
      <c r="F899" s="4" t="s">
        <v>17</v>
      </c>
      <c r="G899" s="1" t="s">
        <v>18</v>
      </c>
      <c r="H899" s="1" t="s">
        <v>19</v>
      </c>
      <c r="I899" s="1" t="s">
        <v>20</v>
      </c>
      <c r="J899" s="1" t="s">
        <v>3970</v>
      </c>
      <c r="K899" s="1" t="s">
        <v>22</v>
      </c>
      <c r="L899" s="1" t="str">
        <f>HYPERLINK("https://files.afu.se/Downloads/Transcripts/0%20-%20Government/USA%20-%20NASA%20Johnson/2016 10 25 - NASA Johnson - Expedition 50-51 Crew Undergoes Final Training Outside Moscow_BtlJaI3yu2E - transcript (automated).pdf","Transcript Link")</f>
        <v>Transcript Link</v>
      </c>
      <c r="M899" s="2" t="str">
        <f>HYPERLINK("https://files.afu.se/Downloads/Transcripts/0%20-%20Government/USA%20-%20NASA%20Johnson/2016 10 25 - NASA Johnson - Expedition 50-51 Crew Undergoes Final Training Outside Moscow_BtlJaI3yu2E - transcript (automated).pdf","Transcript Link")</f>
        <v>Transcript Link</v>
      </c>
    </row>
    <row r="900" ht="195" spans="1:13">
      <c r="A900" s="1" t="s">
        <v>3971</v>
      </c>
      <c r="B900" s="1" t="s">
        <v>13</v>
      </c>
      <c r="C900" s="4" t="s">
        <v>3972</v>
      </c>
      <c r="D900" s="1" t="s">
        <v>3973</v>
      </c>
      <c r="E900" s="1" t="s">
        <v>3974</v>
      </c>
      <c r="F900" s="4" t="s">
        <v>17</v>
      </c>
      <c r="G900" s="1" t="s">
        <v>18</v>
      </c>
      <c r="H900" s="1" t="s">
        <v>19</v>
      </c>
      <c r="I900" s="1" t="s">
        <v>20</v>
      </c>
      <c r="J900" s="1" t="s">
        <v>3975</v>
      </c>
      <c r="K900" s="1" t="s">
        <v>22</v>
      </c>
      <c r="L900" s="1" t="str">
        <f>HYPERLINK("https://files.afu.se/Downloads/Transcripts/0%20-%20Government/USA%20-%20NASA%20Johnson/2016 10 24 - NASA Johnson - Try This  Spacesuit Gloves_SYHR3UgOhhs - transcript (automated).pdf","Transcript Link")</f>
        <v>Transcript Link</v>
      </c>
      <c r="M900" s="2" t="str">
        <f>HYPERLINK("https://files.afu.se/Downloads/Transcripts/0%20-%20Government/USA%20-%20NASA%20Johnson/2016 10 24 - NASA Johnson - Try This  Spacesuit Gloves_SYHR3UgOhhs - transcript (automated).pdf","Transcript Link")</f>
        <v>Transcript Link</v>
      </c>
    </row>
    <row r="901" ht="180" spans="1:13">
      <c r="A901" s="1" t="s">
        <v>3976</v>
      </c>
      <c r="B901" s="1" t="s">
        <v>13</v>
      </c>
      <c r="C901" s="4" t="s">
        <v>3977</v>
      </c>
      <c r="D901" s="1" t="s">
        <v>3978</v>
      </c>
      <c r="E901" s="1" t="s">
        <v>2929</v>
      </c>
      <c r="F901" s="4" t="s">
        <v>17</v>
      </c>
      <c r="G901" s="1" t="s">
        <v>18</v>
      </c>
      <c r="H901" s="1" t="s">
        <v>19</v>
      </c>
      <c r="I901" s="1" t="s">
        <v>20</v>
      </c>
      <c r="J901" s="1" t="s">
        <v>3979</v>
      </c>
      <c r="K901" s="1" t="s">
        <v>22</v>
      </c>
      <c r="L901" s="1" t="str">
        <f>HYPERLINK("https://files.afu.se/Downloads/Transcripts/0%20-%20Government/USA%20-%20NASA%20Johnson/2016 10 20 - NASA Johnson - Space to Ground  Smoke and Fire  10 20 2016_g0day1xpTzU - transcript (automated).pdf","Transcript Link")</f>
        <v>Transcript Link</v>
      </c>
      <c r="M901" s="2" t="str">
        <f>HYPERLINK("https://files.afu.se/Downloads/Transcripts/0%20-%20Government/USA%20-%20NASA%20Johnson/2016 10 20 - NASA Johnson - Space to Ground  Smoke and Fire  10 20 2016_g0day1xpTzU - transcript (automated).pdf","Transcript Link")</f>
        <v>Transcript Link</v>
      </c>
    </row>
    <row r="902" ht="180" spans="1:13">
      <c r="A902" s="1" t="s">
        <v>3980</v>
      </c>
      <c r="B902" s="1" t="s">
        <v>13</v>
      </c>
      <c r="C902" s="4" t="s">
        <v>3981</v>
      </c>
      <c r="D902" s="1" t="s">
        <v>3982</v>
      </c>
      <c r="E902" s="1" t="s">
        <v>3983</v>
      </c>
      <c r="F902" s="4" t="s">
        <v>17</v>
      </c>
      <c r="G902" s="1" t="s">
        <v>18</v>
      </c>
      <c r="H902" s="1" t="s">
        <v>19</v>
      </c>
      <c r="I902" s="1" t="s">
        <v>20</v>
      </c>
      <c r="J902" s="1" t="s">
        <v>3984</v>
      </c>
      <c r="K902" s="1" t="s">
        <v>22</v>
      </c>
      <c r="L902" s="1" t="str">
        <f>HYPERLINK("https://files.afu.se/Downloads/Transcripts/0%20-%20Government/USA%20-%20NASA%20Johnson/2016 10 19 - NASA Johnson - A Moment With Shane Kimbrough_QfPbemSzFRw - transcript (automated).pdf","Transcript Link")</f>
        <v>Transcript Link</v>
      </c>
      <c r="M902" s="2" t="str">
        <f>HYPERLINK("https://files.afu.se/Downloads/Transcripts/0%20-%20Government/USA%20-%20NASA%20Johnson/2016 10 19 - NASA Johnson - A Moment With Shane Kimbrough_QfPbemSzFRw - transcript (automated).pdf","Transcript Link")</f>
        <v>Transcript Link</v>
      </c>
    </row>
    <row r="903" ht="195" spans="1:13">
      <c r="A903" s="1" t="s">
        <v>3980</v>
      </c>
      <c r="B903" s="1" t="s">
        <v>13</v>
      </c>
      <c r="C903" s="4" t="s">
        <v>3985</v>
      </c>
      <c r="D903" s="1" t="s">
        <v>3986</v>
      </c>
      <c r="E903" s="1" t="s">
        <v>3987</v>
      </c>
      <c r="F903" s="4" t="s">
        <v>17</v>
      </c>
      <c r="G903" s="1" t="s">
        <v>18</v>
      </c>
      <c r="H903" s="1" t="s">
        <v>19</v>
      </c>
      <c r="I903" s="1" t="s">
        <v>20</v>
      </c>
      <c r="J903" s="1" t="s">
        <v>3988</v>
      </c>
      <c r="K903" s="1" t="s">
        <v>22</v>
      </c>
      <c r="L903" s="1" t="str">
        <f>HYPERLINK("https://files.afu.se/Downloads/Transcripts/0%20-%20Government/USA%20-%20NASA%20Johnson/2016 10 19 - NASA Johnson - Expedition 49-50 Launches to the International Space Station_8MpiIFUo8QM - transcript (automated).pdf","Transcript Link")</f>
        <v>Transcript Link</v>
      </c>
      <c r="M903" s="2" t="str">
        <f>HYPERLINK("https://files.afu.se/Downloads/Transcripts/0%20-%20Government/USA%20-%20NASA%20Johnson/2016 10 19 - NASA Johnson - Expedition 49-50 Launches to the International Space Station_8MpiIFUo8QM - transcript (automated).pdf","Transcript Link")</f>
        <v>Transcript Link</v>
      </c>
    </row>
    <row r="904" ht="180" spans="1:13">
      <c r="A904" s="1" t="s">
        <v>3980</v>
      </c>
      <c r="B904" s="1" t="s">
        <v>13</v>
      </c>
      <c r="C904" s="4" t="s">
        <v>3989</v>
      </c>
      <c r="D904" s="1" t="s">
        <v>3990</v>
      </c>
      <c r="E904" s="1" t="s">
        <v>3991</v>
      </c>
      <c r="F904" s="4" t="s">
        <v>17</v>
      </c>
      <c r="G904" s="1" t="s">
        <v>18</v>
      </c>
      <c r="H904" s="1" t="s">
        <v>19</v>
      </c>
      <c r="I904" s="1" t="s">
        <v>20</v>
      </c>
      <c r="J904" s="1" t="s">
        <v>3992</v>
      </c>
      <c r="K904" s="1" t="s">
        <v>22</v>
      </c>
      <c r="L904" s="1" t="str">
        <f>HYPERLINK("https://files.afu.se/Downloads/Transcripts/0%20-%20Government/USA%20-%20NASA%20Johnson/2016 10 19 - NASA Johnson - New Crew Launches on Two-Day Trip to Station_FW-3A78OeNw - transcript (automated).pdf","Transcript Link")</f>
        <v>Transcript Link</v>
      </c>
      <c r="M904" s="2" t="str">
        <f>HYPERLINK("https://files.afu.se/Downloads/Transcripts/0%20-%20Government/USA%20-%20NASA%20Johnson/2016 10 19 - NASA Johnson - New Crew Launches on Two-Day Trip to Station_FW-3A78OeNw - transcript (automated).pdf","Transcript Link")</f>
        <v>Transcript Link</v>
      </c>
    </row>
    <row r="905" ht="180" spans="1:13">
      <c r="A905" s="1" t="s">
        <v>3980</v>
      </c>
      <c r="B905" s="1" t="s">
        <v>13</v>
      </c>
      <c r="C905" s="4" t="s">
        <v>3993</v>
      </c>
      <c r="D905" s="1" t="s">
        <v>3994</v>
      </c>
      <c r="E905" s="1" t="s">
        <v>3995</v>
      </c>
      <c r="F905" s="4" t="s">
        <v>17</v>
      </c>
      <c r="G905" s="1" t="s">
        <v>18</v>
      </c>
      <c r="H905" s="1" t="s">
        <v>19</v>
      </c>
      <c r="I905" s="1" t="s">
        <v>20</v>
      </c>
      <c r="J905" s="1" t="s">
        <v>3996</v>
      </c>
      <c r="K905" s="1" t="s">
        <v>22</v>
      </c>
      <c r="L905" s="1" t="str">
        <f>HYPERLINK("https://files.afu.se/Downloads/Transcripts/0%20-%20Government/USA%20-%20NASA%20Johnson/2016 10 19 - NASA Johnson - The Soyuz Rolls Out to the Launch Pad_H0QbMJqqQwk - transcript (automated).pdf","Transcript Link")</f>
        <v>Transcript Link</v>
      </c>
      <c r="M905" s="2" t="str">
        <f>HYPERLINK("https://files.afu.se/Downloads/Transcripts/0%20-%20Government/USA%20-%20NASA%20Johnson/2016 10 19 - NASA Johnson - The Soyuz Rolls Out to the Launch Pad_H0QbMJqqQwk - transcript (automated).pdf","Transcript Link")</f>
        <v>Transcript Link</v>
      </c>
    </row>
    <row r="906" ht="255" spans="1:13">
      <c r="A906" s="1" t="s">
        <v>3997</v>
      </c>
      <c r="B906" s="1" t="s">
        <v>13</v>
      </c>
      <c r="C906" s="4" t="s">
        <v>3998</v>
      </c>
      <c r="D906" s="1" t="s">
        <v>3999</v>
      </c>
      <c r="E906" s="1" t="s">
        <v>4000</v>
      </c>
      <c r="F906" s="4" t="s">
        <v>17</v>
      </c>
      <c r="G906" s="1" t="s">
        <v>18</v>
      </c>
      <c r="H906" s="1" t="s">
        <v>19</v>
      </c>
      <c r="I906" s="1" t="s">
        <v>20</v>
      </c>
      <c r="J906" s="1" t="s">
        <v>4001</v>
      </c>
      <c r="K906" s="1" t="s">
        <v>22</v>
      </c>
      <c r="L906" s="1" t="str">
        <f>HYPERLINK("https://files.afu.se/Downloads/Transcripts/0%20-%20Government/USA%20-%20NASA%20Johnson/2016 10 18 - NASA Johnson - 5 Things You Didn't Know About Astronaut Shane Kimbrough_FRhIcs3cvJc - transcript (automated).pdf","Transcript Link")</f>
        <v>Transcript Link</v>
      </c>
      <c r="M906" s="2" t="str">
        <f>HYPERLINK("https://files.afu.se/Downloads/Transcripts/0%20-%20Government/USA%20-%20NASA%20Johnson/2016 10 18 - NASA Johnson - 5 Things You Didn't Know About Astronaut Shane Kimbrough_FRhIcs3cvJc - transcript (automated).pdf","Transcript Link")</f>
        <v>Transcript Link</v>
      </c>
    </row>
    <row r="907" ht="180" spans="1:13">
      <c r="A907" s="1" t="s">
        <v>3997</v>
      </c>
      <c r="B907" s="1" t="s">
        <v>13</v>
      </c>
      <c r="C907" s="4" t="s">
        <v>4002</v>
      </c>
      <c r="D907" s="1" t="s">
        <v>4003</v>
      </c>
      <c r="E907" s="1" t="s">
        <v>4004</v>
      </c>
      <c r="F907" s="4" t="s">
        <v>17</v>
      </c>
      <c r="G907" s="1" t="s">
        <v>18</v>
      </c>
      <c r="H907" s="1" t="s">
        <v>19</v>
      </c>
      <c r="I907" s="1" t="s">
        <v>20</v>
      </c>
      <c r="J907" s="1" t="s">
        <v>4005</v>
      </c>
      <c r="K907" s="1" t="s">
        <v>22</v>
      </c>
      <c r="L907" s="1" t="str">
        <f>HYPERLINK("https://files.afu.se/Downloads/Transcripts/0%20-%20Government/USA%20-%20NASA%20Johnson/2016 10 18 - NASA Johnson - Exploring Heart Cells in Space_Sic9M7qGV9g - transcript (automated).pdf","Transcript Link")</f>
        <v>Transcript Link</v>
      </c>
      <c r="M907" s="2" t="str">
        <f>HYPERLINK("https://files.afu.se/Downloads/Transcripts/0%20-%20Government/USA%20-%20NASA%20Johnson/2016 10 18 - NASA Johnson - Exploring Heart Cells in Space_Sic9M7qGV9g - transcript (automated).pdf","Transcript Link")</f>
        <v>Transcript Link</v>
      </c>
    </row>
    <row r="908" ht="285" spans="1:13">
      <c r="A908" s="1" t="s">
        <v>4006</v>
      </c>
      <c r="B908" s="1" t="s">
        <v>13</v>
      </c>
      <c r="C908" s="4" t="s">
        <v>4007</v>
      </c>
      <c r="D908" s="1" t="s">
        <v>4008</v>
      </c>
      <c r="E908" s="1" t="s">
        <v>4009</v>
      </c>
      <c r="F908" s="4" t="s">
        <v>17</v>
      </c>
      <c r="G908" s="1" t="s">
        <v>18</v>
      </c>
      <c r="H908" s="1" t="s">
        <v>19</v>
      </c>
      <c r="I908" s="1" t="s">
        <v>20</v>
      </c>
      <c r="J908" s="1" t="s">
        <v>4010</v>
      </c>
      <c r="K908" s="1" t="s">
        <v>22</v>
      </c>
      <c r="L908" s="1" t="str">
        <f>HYPERLINK("https://files.afu.se/Downloads/Transcripts/0%20-%20Government/USA%20-%20NASA%20Johnson/2016 10 14 - NASA Johnson - Everything About Living in Space_ouDKD9G9jOE - transcript (automated).pdf","Transcript Link")</f>
        <v>Transcript Link</v>
      </c>
      <c r="M908" s="2" t="str">
        <f>HYPERLINK("https://files.afu.se/Downloads/Transcripts/0%20-%20Government/USA%20-%20NASA%20Johnson/2016 10 14 - NASA Johnson - Everything About Living in Space_ouDKD9G9jOE - transcript (automated).pdf","Transcript Link")</f>
        <v>Transcript Link</v>
      </c>
    </row>
    <row r="909" ht="180" spans="1:13">
      <c r="A909" s="1" t="s">
        <v>4006</v>
      </c>
      <c r="B909" s="1" t="s">
        <v>13</v>
      </c>
      <c r="C909" s="4" t="s">
        <v>4011</v>
      </c>
      <c r="D909" s="1" t="s">
        <v>4012</v>
      </c>
      <c r="E909" s="1" t="s">
        <v>2929</v>
      </c>
      <c r="F909" s="4" t="s">
        <v>17</v>
      </c>
      <c r="G909" s="1" t="s">
        <v>18</v>
      </c>
      <c r="H909" s="1" t="s">
        <v>19</v>
      </c>
      <c r="I909" s="1" t="s">
        <v>20</v>
      </c>
      <c r="J909" s="1" t="s">
        <v>4013</v>
      </c>
      <c r="K909" s="1" t="s">
        <v>22</v>
      </c>
      <c r="L909" s="1" t="str">
        <f>HYPERLINK("https://files.afu.se/Downloads/Transcripts/0%20-%20Government/USA%20-%20NASA%20Johnson/2016 10 14 - NASA Johnson - Space to Ground  Astronaut Energy  10 14 2016_oKZvYztlpp4 - transcript (automated).pdf","Transcript Link")</f>
        <v>Transcript Link</v>
      </c>
      <c r="M909" s="2" t="str">
        <f>HYPERLINK("https://files.afu.se/Downloads/Transcripts/0%20-%20Government/USA%20-%20NASA%20Johnson/2016 10 14 - NASA Johnson - Space to Ground  Astronaut Energy  10 14 2016_oKZvYztlpp4 - transcript (automated).pdf","Transcript Link")</f>
        <v>Transcript Link</v>
      </c>
    </row>
    <row r="910" ht="255" spans="1:13">
      <c r="A910" s="1" t="s">
        <v>4014</v>
      </c>
      <c r="B910" s="1" t="s">
        <v>13</v>
      </c>
      <c r="C910" s="4" t="s">
        <v>4015</v>
      </c>
      <c r="D910" s="1" t="s">
        <v>4016</v>
      </c>
      <c r="E910" s="1" t="s">
        <v>4017</v>
      </c>
      <c r="F910" s="4" t="s">
        <v>17</v>
      </c>
      <c r="G910" s="1" t="s">
        <v>18</v>
      </c>
      <c r="H910" s="1" t="s">
        <v>19</v>
      </c>
      <c r="I910" s="1" t="s">
        <v>20</v>
      </c>
      <c r="J910" s="1" t="s">
        <v>4018</v>
      </c>
      <c r="K910" s="1" t="s">
        <v>22</v>
      </c>
      <c r="L910" s="1" t="str">
        <f>HYPERLINK("https://files.afu.se/Downloads/Transcripts/0%20-%20Government/USA%20-%20NASA%20Johnson/2016 10 13 - NASA Johnson - Crew Prepares for October 19th Launch_7FLi1uby_u4 - transcript (automated).pdf","Transcript Link")</f>
        <v>Transcript Link</v>
      </c>
      <c r="M910" s="2" t="str">
        <f>HYPERLINK("https://files.afu.se/Downloads/Transcripts/0%20-%20Government/USA%20-%20NASA%20Johnson/2016 10 13 - NASA Johnson - Crew Prepares for October 19th Launch_7FLi1uby_u4 - transcript (automated).pdf","Transcript Link")</f>
        <v>Transcript Link</v>
      </c>
    </row>
    <row r="911" ht="180" spans="1:13">
      <c r="A911" s="1" t="s">
        <v>4014</v>
      </c>
      <c r="B911" s="1" t="s">
        <v>13</v>
      </c>
      <c r="C911" s="4" t="s">
        <v>4019</v>
      </c>
      <c r="D911" s="1" t="s">
        <v>4020</v>
      </c>
      <c r="E911" s="1" t="s">
        <v>4021</v>
      </c>
      <c r="F911" s="4" t="s">
        <v>17</v>
      </c>
      <c r="G911" s="1" t="s">
        <v>18</v>
      </c>
      <c r="H911" s="1" t="s">
        <v>19</v>
      </c>
      <c r="I911" s="1" t="s">
        <v>20</v>
      </c>
      <c r="J911" s="1" t="s">
        <v>4022</v>
      </c>
      <c r="K911" s="1" t="s">
        <v>22</v>
      </c>
      <c r="L911" s="1" t="str">
        <f>HYPERLINK("https://files.afu.se/Downloads/Transcripts/0%20-%20Government/USA%20-%20NASA%20Johnson/2016 10 13 - NASA Johnson - Hurricane Nicole over Bermuda_TJbk9c594t8 - transcript (automated).pdf","Transcript Link")</f>
        <v>Transcript Link</v>
      </c>
      <c r="M911" s="2" t="str">
        <f>HYPERLINK("https://files.afu.se/Downloads/Transcripts/0%20-%20Government/USA%20-%20NASA%20Johnson/2016 10 13 - NASA Johnson - Hurricane Nicole over Bermuda_TJbk9c594t8 - transcript (automated).pdf","Transcript Link")</f>
        <v>Transcript Link</v>
      </c>
    </row>
    <row r="912" ht="225" spans="1:13">
      <c r="A912" s="1" t="s">
        <v>4014</v>
      </c>
      <c r="B912" s="1" t="s">
        <v>13</v>
      </c>
      <c r="C912" s="4" t="s">
        <v>4023</v>
      </c>
      <c r="D912" s="1" t="s">
        <v>4024</v>
      </c>
      <c r="E912" s="1" t="s">
        <v>4025</v>
      </c>
      <c r="F912" s="4" t="s">
        <v>17</v>
      </c>
      <c r="G912" s="1" t="s">
        <v>18</v>
      </c>
      <c r="H912" s="1" t="s">
        <v>19</v>
      </c>
      <c r="I912" s="1" t="s">
        <v>20</v>
      </c>
      <c r="J912" s="1" t="s">
        <v>4026</v>
      </c>
      <c r="K912" s="1" t="s">
        <v>22</v>
      </c>
      <c r="L912" s="1" t="str">
        <f>HYPERLINK("https://files.afu.se/Downloads/Transcripts/0%20-%20Government/USA%20-%20NASA%20Johnson/2016 10 13 - NASA Johnson - Orion Backstage  Navy diver Beau Lontine prepares for Orion recovery_QR0orgqkLi0 - transcript (automated).pdf","Transcript Link")</f>
        <v>Transcript Link</v>
      </c>
      <c r="M912" s="2" t="str">
        <f>HYPERLINK("https://files.afu.se/Downloads/Transcripts/0%20-%20Government/USA%20-%20NASA%20Johnson/2016 10 13 - NASA Johnson - Orion Backstage  Navy diver Beau Lontine prepares for Orion recovery_QR0orgqkLi0 - transcript (automated).pdf","Transcript Link")</f>
        <v>Transcript Link</v>
      </c>
    </row>
    <row r="913" ht="285" spans="1:13">
      <c r="A913" s="1" t="s">
        <v>4027</v>
      </c>
      <c r="B913" s="1" t="s">
        <v>13</v>
      </c>
      <c r="C913" s="4" t="s">
        <v>4028</v>
      </c>
      <c r="D913" s="1" t="s">
        <v>4029</v>
      </c>
      <c r="E913" s="1" t="s">
        <v>4030</v>
      </c>
      <c r="F913" s="4" t="s">
        <v>17</v>
      </c>
      <c r="G913" s="1" t="s">
        <v>18</v>
      </c>
      <c r="H913" s="1" t="s">
        <v>19</v>
      </c>
      <c r="I913" s="1" t="s">
        <v>20</v>
      </c>
      <c r="J913" s="1" t="s">
        <v>4031</v>
      </c>
      <c r="K913" s="1" t="s">
        <v>22</v>
      </c>
      <c r="L913" s="1" t="str">
        <f>HYPERLINK("https://files.afu.se/Downloads/Transcripts/0%20-%20Government/USA%20-%20NASA%20Johnson/2016 10 12 - NASA Johnson - Hurricane Nicole From Space_lylmTYVwEro - transcript (automated).pdf","Transcript Link")</f>
        <v>Transcript Link</v>
      </c>
      <c r="M913" s="2" t="str">
        <f>HYPERLINK("https://files.afu.se/Downloads/Transcripts/0%20-%20Government/USA%20-%20NASA%20Johnson/2016 10 12 - NASA Johnson - Hurricane Nicole From Space_lylmTYVwEro - transcript (automated).pdf","Transcript Link")</f>
        <v>Transcript Link</v>
      </c>
    </row>
    <row r="914" ht="180" spans="1:13">
      <c r="A914" s="1" t="s">
        <v>4032</v>
      </c>
      <c r="B914" s="1" t="s">
        <v>13</v>
      </c>
      <c r="C914" s="4" t="s">
        <v>4033</v>
      </c>
      <c r="D914" s="1" t="s">
        <v>4034</v>
      </c>
      <c r="E914" s="1" t="s">
        <v>2929</v>
      </c>
      <c r="F914" s="4" t="s">
        <v>17</v>
      </c>
      <c r="G914" s="1" t="s">
        <v>18</v>
      </c>
      <c r="H914" s="1" t="s">
        <v>19</v>
      </c>
      <c r="I914" s="1" t="s">
        <v>20</v>
      </c>
      <c r="J914" s="1" t="s">
        <v>4035</v>
      </c>
      <c r="K914" s="1" t="s">
        <v>22</v>
      </c>
      <c r="L914" s="1" t="str">
        <f>HYPERLINK("https://files.afu.se/Downloads/Transcripts/0%20-%20Government/USA%20-%20NASA%20Johnson/2016 10 07 - NASA Johnson - Space to Ground  A Churning Storm  10 07 2016_72ca0opq92Y - transcript (automated).pdf","Transcript Link")</f>
        <v>Transcript Link</v>
      </c>
      <c r="M914" s="2" t="str">
        <f>HYPERLINK("https://files.afu.se/Downloads/Transcripts/0%20-%20Government/USA%20-%20NASA%20Johnson/2016 10 07 - NASA Johnson - Space to Ground  A Churning Storm  10 07 2016_72ca0opq92Y - transcript (automated).pdf","Transcript Link")</f>
        <v>Transcript Link</v>
      </c>
    </row>
    <row r="915" ht="180" spans="1:13">
      <c r="A915" s="1" t="s">
        <v>4036</v>
      </c>
      <c r="B915" s="1" t="s">
        <v>13</v>
      </c>
      <c r="C915" s="4" t="s">
        <v>4037</v>
      </c>
      <c r="D915" s="1" t="s">
        <v>4038</v>
      </c>
      <c r="E915" s="1" t="s">
        <v>4039</v>
      </c>
      <c r="F915" s="4" t="s">
        <v>17</v>
      </c>
      <c r="G915" s="1" t="s">
        <v>18</v>
      </c>
      <c r="H915" s="1" t="s">
        <v>19</v>
      </c>
      <c r="I915" s="1" t="s">
        <v>20</v>
      </c>
      <c r="J915" s="1" t="s">
        <v>4040</v>
      </c>
      <c r="K915" s="1" t="s">
        <v>22</v>
      </c>
      <c r="L915" s="1" t="str">
        <f>HYPERLINK("https://files.afu.se/Downloads/Transcripts/0%20-%20Government/USA%20-%20NASA%20Johnson/2016 10 06 - NASA Johnson - Hurricane Matthew from the Space Station - Oct. 6 (speed x4)_rfVNn_Y4Onc - transcript (automated).pdf","Transcript Link")</f>
        <v>Transcript Link</v>
      </c>
      <c r="M915" s="2" t="str">
        <f>HYPERLINK("https://files.afu.se/Downloads/Transcripts/0%20-%20Government/USA%20-%20NASA%20Johnson/2016 10 06 - NASA Johnson - Hurricane Matthew from the Space Station - Oct. 6 (speed x4)_rfVNn_Y4Onc - transcript (automated).pdf","Transcript Link")</f>
        <v>Transcript Link</v>
      </c>
    </row>
    <row r="916" ht="409.5" spans="1:13">
      <c r="A916" s="1" t="s">
        <v>4036</v>
      </c>
      <c r="B916" s="1" t="s">
        <v>13</v>
      </c>
      <c r="C916" s="4" t="s">
        <v>4041</v>
      </c>
      <c r="D916" s="1" t="s">
        <v>4042</v>
      </c>
      <c r="E916" s="1" t="s">
        <v>4043</v>
      </c>
      <c r="F916" s="4" t="s">
        <v>17</v>
      </c>
      <c r="G916" s="1" t="s">
        <v>18</v>
      </c>
      <c r="H916" s="1" t="s">
        <v>19</v>
      </c>
      <c r="I916" s="1" t="s">
        <v>20</v>
      </c>
      <c r="J916" s="1" t="s">
        <v>4044</v>
      </c>
      <c r="K916" s="1" t="s">
        <v>22</v>
      </c>
      <c r="L916" s="1" t="str">
        <f>HYPERLINK("https://files.afu.se/Downloads/Transcripts/0%20-%20Government/USA%20-%20NASA%20Johnson/2016 10 06 - NASA Johnson - Welcome to NASA (Based off Flo Rida’s  My House )_cA5OJr3X0vg - transcript (automated).pdf","Transcript Link")</f>
        <v>Transcript Link</v>
      </c>
      <c r="M916" s="2" t="str">
        <f>HYPERLINK("https://files.afu.se/Downloads/Transcripts/0%20-%20Government/USA%20-%20NASA%20Johnson/2016 10 06 - NASA Johnson - Welcome to NASA (Based off Flo Rida’s  My House )_cA5OJr3X0vg - transcript (automated).pdf","Transcript Link")</f>
        <v>Transcript Link</v>
      </c>
    </row>
    <row r="917" ht="240" spans="1:13">
      <c r="A917" s="1" t="s">
        <v>4045</v>
      </c>
      <c r="B917" s="1" t="s">
        <v>13</v>
      </c>
      <c r="C917" s="4" t="s">
        <v>4046</v>
      </c>
      <c r="D917" s="1" t="s">
        <v>4047</v>
      </c>
      <c r="E917" s="1" t="s">
        <v>4048</v>
      </c>
      <c r="F917" s="4" t="s">
        <v>17</v>
      </c>
      <c r="G917" s="1" t="s">
        <v>18</v>
      </c>
      <c r="H917" s="1" t="s">
        <v>19</v>
      </c>
      <c r="I917" s="1" t="s">
        <v>20</v>
      </c>
      <c r="J917" s="1" t="s">
        <v>4049</v>
      </c>
      <c r="K917" s="1" t="s">
        <v>22</v>
      </c>
      <c r="L917" s="1" t="str">
        <f>HYPERLINK("https://files.afu.se/Downloads/Transcripts/0%20-%20Government/USA%20-%20NASA%20Johnson/2016 10 05 - NASA Johnson - Hurricane Matthew from the Space Station on Oct. 5 (speed x4)_1hErxDJC-Yw - transcript (automated).pdf","Transcript Link")</f>
        <v>Transcript Link</v>
      </c>
      <c r="M917" s="2" t="str">
        <f>HYPERLINK("https://files.afu.se/Downloads/Transcripts/0%20-%20Government/USA%20-%20NASA%20Johnson/2016 10 05 - NASA Johnson - Hurricane Matthew from the Space Station on Oct. 5 (speed x4)_1hErxDJC-Yw - transcript (automated).pdf","Transcript Link")</f>
        <v>Transcript Link</v>
      </c>
    </row>
    <row r="918" ht="390" spans="1:13">
      <c r="A918" s="1" t="s">
        <v>4045</v>
      </c>
      <c r="B918" s="1" t="s">
        <v>13</v>
      </c>
      <c r="C918" s="4" t="s">
        <v>4050</v>
      </c>
      <c r="D918" s="1" t="s">
        <v>4051</v>
      </c>
      <c r="E918" s="1" t="s">
        <v>4052</v>
      </c>
      <c r="F918" s="4" t="s">
        <v>17</v>
      </c>
      <c r="G918" s="1" t="s">
        <v>18</v>
      </c>
      <c r="H918" s="1" t="s">
        <v>19</v>
      </c>
      <c r="I918" s="1" t="s">
        <v>20</v>
      </c>
      <c r="J918" s="1" t="s">
        <v>4053</v>
      </c>
      <c r="K918" s="1" t="s">
        <v>22</v>
      </c>
      <c r="L918" s="1" t="str">
        <f>HYPERLINK("https://files.afu.se/Downloads/Transcripts/0%20-%20Government/USA%20-%20NASA%20Johnson/2016 10 05 - NASA Johnson - NASA + JAXA = Partners in Space_86aWDx5SQas - transcript (automated).pdf","Transcript Link")</f>
        <v>Transcript Link</v>
      </c>
      <c r="M918" s="2" t="str">
        <f>HYPERLINK("https://files.afu.se/Downloads/Transcripts/0%20-%20Government/USA%20-%20NASA%20Johnson/2016 10 05 - NASA Johnson - NASA + JAXA = Partners in Space_86aWDx5SQas - transcript (automated).pdf","Transcript Link")</f>
        <v>Transcript Link</v>
      </c>
    </row>
    <row r="919" ht="210" spans="1:13">
      <c r="A919" s="1" t="s">
        <v>4054</v>
      </c>
      <c r="B919" s="1" t="s">
        <v>13</v>
      </c>
      <c r="C919" s="4" t="s">
        <v>4055</v>
      </c>
      <c r="D919" s="1" t="s">
        <v>4056</v>
      </c>
      <c r="E919" s="1" t="s">
        <v>4057</v>
      </c>
      <c r="F919" s="4" t="s">
        <v>17</v>
      </c>
      <c r="G919" s="1" t="s">
        <v>18</v>
      </c>
      <c r="H919" s="1" t="s">
        <v>19</v>
      </c>
      <c r="I919" s="1" t="s">
        <v>20</v>
      </c>
      <c r="J919" s="1" t="s">
        <v>4058</v>
      </c>
      <c r="K919" s="1" t="s">
        <v>22</v>
      </c>
      <c r="L919" s="1" t="str">
        <f>HYPERLINK("https://files.afu.se/Downloads/Transcripts/0%20-%20Government/USA%20-%20NASA%20Johnson/2016 10 04 - NASA Johnson - Hurricane Matthew from the Space Station on Oct. 3 (speed x4)_Z8huapsaouU - transcript (automated).pdf","Transcript Link")</f>
        <v>Transcript Link</v>
      </c>
      <c r="M919" s="2" t="str">
        <f>HYPERLINK("https://files.afu.se/Downloads/Transcripts/0%20-%20Government/USA%20-%20NASA%20Johnson/2016 10 04 - NASA Johnson - Hurricane Matthew from the Space Station on Oct. 3 (speed x4)_Z8huapsaouU - transcript (automated).pdf","Transcript Link")</f>
        <v>Transcript Link</v>
      </c>
    </row>
    <row r="920" ht="180" spans="1:13">
      <c r="A920" s="1" t="s">
        <v>4059</v>
      </c>
      <c r="B920" s="1" t="s">
        <v>13</v>
      </c>
      <c r="C920" s="4" t="s">
        <v>4060</v>
      </c>
      <c r="D920" s="1" t="s">
        <v>4061</v>
      </c>
      <c r="E920" s="1" t="s">
        <v>4062</v>
      </c>
      <c r="F920" s="4" t="s">
        <v>17</v>
      </c>
      <c r="G920" s="1" t="s">
        <v>18</v>
      </c>
      <c r="H920" s="1" t="s">
        <v>19</v>
      </c>
      <c r="I920" s="1" t="s">
        <v>20</v>
      </c>
      <c r="J920" s="1" t="s">
        <v>4063</v>
      </c>
      <c r="K920" s="1" t="s">
        <v>22</v>
      </c>
      <c r="L920" s="1" t="str">
        <f>HYPERLINK("https://files.afu.se/Downloads/Transcripts/0%20-%20Government/USA%20-%20NASA%20Johnson/2016 10 01 - NASA Johnson - September Highlights on the Station_BCWNcYsKRNA - transcript (automated).pdf","Transcript Link")</f>
        <v>Transcript Link</v>
      </c>
      <c r="M920" s="2" t="str">
        <f>HYPERLINK("https://files.afu.se/Downloads/Transcripts/0%20-%20Government/USA%20-%20NASA%20Johnson/2016 10 01 - NASA Johnson - September Highlights on the Station_BCWNcYsKRNA - transcript (automated).pdf","Transcript Link")</f>
        <v>Transcript Link</v>
      </c>
    </row>
    <row r="921" ht="180" spans="1:13">
      <c r="A921" s="1" t="s">
        <v>4064</v>
      </c>
      <c r="B921" s="1" t="s">
        <v>13</v>
      </c>
      <c r="C921" s="4" t="s">
        <v>4065</v>
      </c>
      <c r="D921" s="1" t="s">
        <v>4066</v>
      </c>
      <c r="E921" s="1" t="s">
        <v>2929</v>
      </c>
      <c r="F921" s="4" t="s">
        <v>17</v>
      </c>
      <c r="G921" s="1" t="s">
        <v>18</v>
      </c>
      <c r="H921" s="1" t="s">
        <v>19</v>
      </c>
      <c r="I921" s="1" t="s">
        <v>20</v>
      </c>
      <c r="J921" s="1" t="s">
        <v>4067</v>
      </c>
      <c r="K921" s="1" t="s">
        <v>22</v>
      </c>
      <c r="L921" s="1" t="str">
        <f>HYPERLINK("https://files.afu.se/Downloads/Transcripts/0%20-%20Government/USA%20-%20NASA%20Johnson/2016 09 30 - NASA Johnson - Space to Ground  Knock Knock  09 30 2016_oz9RGRMy7LI - transcript (automated).pdf","Transcript Link")</f>
        <v>Transcript Link</v>
      </c>
      <c r="M921" s="2" t="str">
        <f>HYPERLINK("https://files.afu.se/Downloads/Transcripts/0%20-%20Government/USA%20-%20NASA%20Johnson/2016 09 30 - NASA Johnson - Space to Ground  Knock Knock  09 30 2016_oz9RGRMy7LI - transcript (automated).pdf","Transcript Link")</f>
        <v>Transcript Link</v>
      </c>
    </row>
    <row r="922" ht="270" spans="1:13">
      <c r="A922" s="1" t="s">
        <v>4068</v>
      </c>
      <c r="B922" s="1" t="s">
        <v>13</v>
      </c>
      <c r="C922" s="4" t="s">
        <v>4069</v>
      </c>
      <c r="D922" s="1" t="s">
        <v>4070</v>
      </c>
      <c r="E922" s="1" t="s">
        <v>4071</v>
      </c>
      <c r="F922" s="4" t="s">
        <v>17</v>
      </c>
      <c r="G922" s="1" t="s">
        <v>18</v>
      </c>
      <c r="H922" s="1" t="s">
        <v>19</v>
      </c>
      <c r="I922" s="1" t="s">
        <v>20</v>
      </c>
      <c r="J922" s="1" t="s">
        <v>4072</v>
      </c>
      <c r="K922" s="1" t="s">
        <v>22</v>
      </c>
      <c r="L922" s="1" t="str">
        <f>HYPERLINK("https://files.afu.se/Downloads/Transcripts/0%20-%20Government/USA%20-%20NASA%20Johnson/2016 09 29 - NASA Johnson - The Highest Climb_ndP1GpMgORA - transcript (automated).pdf","Transcript Link")</f>
        <v>Transcript Link</v>
      </c>
      <c r="M922" s="2" t="str">
        <f>HYPERLINK("https://files.afu.se/Downloads/Transcripts/0%20-%20Government/USA%20-%20NASA%20Johnson/2016 09 29 - NASA Johnson - The Highest Climb_ndP1GpMgORA - transcript (automated).pdf","Transcript Link")</f>
        <v>Transcript Link</v>
      </c>
    </row>
    <row r="923" ht="409.5" spans="1:13">
      <c r="A923" s="1" t="s">
        <v>4073</v>
      </c>
      <c r="B923" s="1" t="s">
        <v>13</v>
      </c>
      <c r="C923" s="4" t="s">
        <v>4074</v>
      </c>
      <c r="D923" s="1" t="s">
        <v>4075</v>
      </c>
      <c r="E923" s="1" t="s">
        <v>4076</v>
      </c>
      <c r="F923" s="4" t="s">
        <v>17</v>
      </c>
      <c r="G923" s="1" t="s">
        <v>18</v>
      </c>
      <c r="H923" s="1" t="s">
        <v>19</v>
      </c>
      <c r="I923" s="1" t="s">
        <v>20</v>
      </c>
      <c r="J923" s="1" t="s">
        <v>4077</v>
      </c>
      <c r="K923" s="1" t="s">
        <v>22</v>
      </c>
      <c r="L923" s="1" t="str">
        <f>HYPERLINK("https://files.afu.se/Downloads/Transcripts/0%20-%20Government/USA%20-%20NASA%20Johnson/2016 09 28 - NASA Johnson - The Doctor Is In_z69uruiFH_I - transcript (automated).pdf","Transcript Link")</f>
        <v>Transcript Link</v>
      </c>
      <c r="M923" s="2" t="str">
        <f>HYPERLINK("https://files.afu.se/Downloads/Transcripts/0%20-%20Government/USA%20-%20NASA%20Johnson/2016 09 28 - NASA Johnson - The Doctor Is In_z69uruiFH_I - transcript (automated).pdf","Transcript Link")</f>
        <v>Transcript Link</v>
      </c>
    </row>
    <row r="924" ht="180" spans="1:13">
      <c r="A924" s="1" t="s">
        <v>4078</v>
      </c>
      <c r="B924" s="1" t="s">
        <v>13</v>
      </c>
      <c r="C924" s="4" t="s">
        <v>4079</v>
      </c>
      <c r="D924" s="1" t="s">
        <v>4080</v>
      </c>
      <c r="E924" s="1" t="s">
        <v>2929</v>
      </c>
      <c r="F924" s="4" t="s">
        <v>17</v>
      </c>
      <c r="G924" s="1" t="s">
        <v>18</v>
      </c>
      <c r="H924" s="1" t="s">
        <v>19</v>
      </c>
      <c r="I924" s="1" t="s">
        <v>20</v>
      </c>
      <c r="J924" s="1" t="s">
        <v>4081</v>
      </c>
      <c r="K924" s="1" t="s">
        <v>22</v>
      </c>
      <c r="L924" s="1" t="str">
        <f>HYPERLINK("https://files.afu.se/Downloads/Transcripts/0%20-%20Government/USA%20-%20NASA%20Johnson/2016 09 26 - NASA Johnson - Space to Ground  Launch Delay  09 26 2016_MTebNwoHhDY - transcript (automated).pdf","Transcript Link")</f>
        <v>Transcript Link</v>
      </c>
      <c r="M924" s="2" t="str">
        <f>HYPERLINK("https://files.afu.se/Downloads/Transcripts/0%20-%20Government/USA%20-%20NASA%20Johnson/2016 09 26 - NASA Johnson - Space to Ground  Launch Delay  09 26 2016_MTebNwoHhDY - transcript (automated).pdf","Transcript Link")</f>
        <v>Transcript Link</v>
      </c>
    </row>
    <row r="925" ht="270" spans="1:13">
      <c r="A925" s="1" t="s">
        <v>4082</v>
      </c>
      <c r="B925" s="1" t="s">
        <v>13</v>
      </c>
      <c r="C925" s="4" t="s">
        <v>4083</v>
      </c>
      <c r="D925" s="1" t="s">
        <v>4084</v>
      </c>
      <c r="E925" s="1" t="s">
        <v>4085</v>
      </c>
      <c r="F925" s="4" t="s">
        <v>17</v>
      </c>
      <c r="G925" s="1" t="s">
        <v>18</v>
      </c>
      <c r="H925" s="1" t="s">
        <v>19</v>
      </c>
      <c r="I925" s="1" t="s">
        <v>20</v>
      </c>
      <c r="J925" s="1" t="s">
        <v>4086</v>
      </c>
      <c r="K925" s="1" t="s">
        <v>22</v>
      </c>
      <c r="L925" s="1" t="str">
        <f>HYPERLINK("https://files.afu.se/Downloads/Transcripts/0%20-%20Government/USA%20-%20NASA%20Johnson/2016 09 22 - NASA Johnson - Orion Backstage  Evaluating Radiation Protection Plans for Astronauts_70GrihLXmSs - transcript (automated).pdf","Transcript Link")</f>
        <v>Transcript Link</v>
      </c>
      <c r="M925" s="2" t="str">
        <f>HYPERLINK("https://files.afu.se/Downloads/Transcripts/0%20-%20Government/USA%20-%20NASA%20Johnson/2016 09 22 - NASA Johnson - Orion Backstage  Evaluating Radiation Protection Plans for Astronauts_70GrihLXmSs - transcript (automated).pdf","Transcript Link")</f>
        <v>Transcript Link</v>
      </c>
    </row>
    <row r="926" ht="180" spans="1:13">
      <c r="A926" s="1" t="s">
        <v>4087</v>
      </c>
      <c r="B926" s="1" t="s">
        <v>13</v>
      </c>
      <c r="C926" s="4" t="s">
        <v>4088</v>
      </c>
      <c r="D926" s="1" t="s">
        <v>4089</v>
      </c>
      <c r="E926" s="1" t="s">
        <v>4090</v>
      </c>
      <c r="F926" s="4" t="s">
        <v>17</v>
      </c>
      <c r="G926" s="1" t="s">
        <v>18</v>
      </c>
      <c r="H926" s="1" t="s">
        <v>19</v>
      </c>
      <c r="I926" s="1" t="s">
        <v>20</v>
      </c>
      <c r="J926" s="1" t="s">
        <v>4091</v>
      </c>
      <c r="K926" s="1" t="s">
        <v>22</v>
      </c>
      <c r="L926" s="1" t="str">
        <f>HYPERLINK("https://files.afu.se/Downloads/Transcripts/0%20-%20Government/USA%20-%20NASA%20Johnson/2016 09 16 - NASA Johnson - Expedition 49-50 Crew Prepares for Launch in Kazakhstan160916_VwmmNwFnPvk - transcript (automated).pdf","Transcript Link")</f>
        <v>Transcript Link</v>
      </c>
      <c r="M926" s="2" t="str">
        <f>HYPERLINK("https://files.afu.se/Downloads/Transcripts/0%20-%20Government/USA%20-%20NASA%20Johnson/2016 09 16 - NASA Johnson - Expedition 49-50 Crew Prepares for Launch in Kazakhstan160916_VwmmNwFnPvk - transcript (automated).pdf","Transcript Link")</f>
        <v>Transcript Link</v>
      </c>
    </row>
    <row r="927" ht="180" spans="1:13">
      <c r="A927" s="1" t="s">
        <v>4087</v>
      </c>
      <c r="B927" s="1" t="s">
        <v>13</v>
      </c>
      <c r="C927" s="4" t="s">
        <v>4092</v>
      </c>
      <c r="D927" s="1" t="s">
        <v>4093</v>
      </c>
      <c r="E927" s="1" t="s">
        <v>2929</v>
      </c>
      <c r="F927" s="4" t="s">
        <v>17</v>
      </c>
      <c r="G927" s="1" t="s">
        <v>18</v>
      </c>
      <c r="H927" s="1" t="s">
        <v>19</v>
      </c>
      <c r="I927" s="1" t="s">
        <v>20</v>
      </c>
      <c r="J927" s="1" t="s">
        <v>4094</v>
      </c>
      <c r="K927" s="1" t="s">
        <v>22</v>
      </c>
      <c r="L927" s="1" t="str">
        <f>HYPERLINK("https://files.afu.se/Downloads/Transcripts/0%20-%20Government/USA%20-%20NASA%20Johnson/2016 09 16 - NASA Johnson - Space to Ground  Be Cool  09 16 2016_qPSiGT1JYWk - transcript (automated).pdf","Transcript Link")</f>
        <v>Transcript Link</v>
      </c>
      <c r="M927" s="2" t="str">
        <f>HYPERLINK("https://files.afu.se/Downloads/Transcripts/0%20-%20Government/USA%20-%20NASA%20Johnson/2016 09 16 - NASA Johnson - Space to Ground  Be Cool  09 16 2016_qPSiGT1JYWk - transcript (automated).pdf","Transcript Link")</f>
        <v>Transcript Link</v>
      </c>
    </row>
    <row r="928" ht="180" spans="1:13">
      <c r="A928" s="1" t="s">
        <v>4095</v>
      </c>
      <c r="B928" s="1" t="s">
        <v>13</v>
      </c>
      <c r="C928" s="4" t="s">
        <v>4096</v>
      </c>
      <c r="D928" s="1" t="s">
        <v>4097</v>
      </c>
      <c r="E928" s="1" t="s">
        <v>4098</v>
      </c>
      <c r="F928" s="4" t="s">
        <v>17</v>
      </c>
      <c r="G928" s="1" t="s">
        <v>18</v>
      </c>
      <c r="H928" s="1" t="s">
        <v>19</v>
      </c>
      <c r="I928" s="1" t="s">
        <v>20</v>
      </c>
      <c r="J928" s="1" t="s">
        <v>4099</v>
      </c>
      <c r="K928" s="1" t="s">
        <v>22</v>
      </c>
      <c r="L928" s="1" t="str">
        <f>HYPERLINK("https://files.afu.se/Downloads/Transcripts/0%20-%20Government/USA%20-%20NASA%20Johnson/2016 09 15 - NASA Johnson - Expedition 49-50 Crew Visits Red Square for Traditional Ceremonies_lwt6_ntY7lI - transcript (automated).pdf","Transcript Link")</f>
        <v>Transcript Link</v>
      </c>
      <c r="M928" s="2" t="str">
        <f>HYPERLINK("https://files.afu.se/Downloads/Transcripts/0%20-%20Government/USA%20-%20NASA%20Johnson/2016 09 15 - NASA Johnson - Expedition 49-50 Crew Visits Red Square for Traditional Ceremonies_lwt6_ntY7lI - transcript (automated).pdf","Transcript Link")</f>
        <v>Transcript Link</v>
      </c>
    </row>
    <row r="929" ht="255" spans="1:13">
      <c r="A929" s="1" t="s">
        <v>4100</v>
      </c>
      <c r="B929" s="1" t="s">
        <v>13</v>
      </c>
      <c r="C929" s="4" t="s">
        <v>4101</v>
      </c>
      <c r="D929" s="1" t="s">
        <v>4102</v>
      </c>
      <c r="E929" s="1" t="s">
        <v>4103</v>
      </c>
      <c r="F929" s="4" t="s">
        <v>17</v>
      </c>
      <c r="G929" s="1" t="s">
        <v>18</v>
      </c>
      <c r="H929" s="1" t="s">
        <v>19</v>
      </c>
      <c r="I929" s="1" t="s">
        <v>20</v>
      </c>
      <c r="J929" s="1" t="s">
        <v>4104</v>
      </c>
      <c r="K929" s="1" t="s">
        <v>22</v>
      </c>
      <c r="L929" s="1" t="str">
        <f>HYPERLINK("https://files.afu.se/Downloads/Transcripts/0%20-%20Government/USA%20-%20NASA%20Johnson/2016 09 14 - NASA Johnson - A Gut Feeling_5zSKAoEFD5c - transcript (automated).pdf","Transcript Link")</f>
        <v>Transcript Link</v>
      </c>
      <c r="M929" s="2" t="str">
        <f>HYPERLINK("https://files.afu.se/Downloads/Transcripts/0%20-%20Government/USA%20-%20NASA%20Johnson/2016 09 14 - NASA Johnson - A Gut Feeling_5zSKAoEFD5c - transcript (automated).pdf","Transcript Link")</f>
        <v>Transcript Link</v>
      </c>
    </row>
    <row r="930" ht="255" spans="1:13">
      <c r="A930" s="1" t="s">
        <v>4105</v>
      </c>
      <c r="B930" s="1" t="s">
        <v>13</v>
      </c>
      <c r="C930" s="4" t="s">
        <v>4106</v>
      </c>
      <c r="D930" s="1" t="s">
        <v>4107</v>
      </c>
      <c r="E930" s="1" t="s">
        <v>4108</v>
      </c>
      <c r="F930" s="4" t="s">
        <v>17</v>
      </c>
      <c r="G930" s="1" t="s">
        <v>18</v>
      </c>
      <c r="H930" s="1" t="s">
        <v>19</v>
      </c>
      <c r="I930" s="1" t="s">
        <v>20</v>
      </c>
      <c r="J930" s="1" t="s">
        <v>4109</v>
      </c>
      <c r="K930" s="1" t="s">
        <v>22</v>
      </c>
      <c r="L930" s="1" t="str">
        <f>HYPERLINK("https://files.afu.se/Downloads/Transcripts/0%20-%20Government/USA%20-%20NASA%20Johnson/2016 09 13 - NASA Johnson - Preparing America for Deep Space Exploration Episode 14  Fired Up_rgFeAcnF9tY - transcript (automated).pdf","Transcript Link")</f>
        <v>Transcript Link</v>
      </c>
      <c r="M930" s="2" t="str">
        <f>HYPERLINK("https://files.afu.se/Downloads/Transcripts/0%20-%20Government/USA%20-%20NASA%20Johnson/2016 09 13 - NASA Johnson - Preparing America for Deep Space Exploration Episode 14  Fired Up_rgFeAcnF9tY - transcript (automated).pdf","Transcript Link")</f>
        <v>Transcript Link</v>
      </c>
    </row>
    <row r="931" ht="180" spans="1:13">
      <c r="A931" s="1" t="s">
        <v>4110</v>
      </c>
      <c r="B931" s="1" t="s">
        <v>13</v>
      </c>
      <c r="C931" s="4" t="s">
        <v>4111</v>
      </c>
      <c r="D931" s="1" t="s">
        <v>4112</v>
      </c>
      <c r="E931" s="1" t="s">
        <v>4113</v>
      </c>
      <c r="F931" s="4" t="s">
        <v>17</v>
      </c>
      <c r="G931" s="1" t="s">
        <v>18</v>
      </c>
      <c r="H931" s="1" t="s">
        <v>19</v>
      </c>
      <c r="I931" s="1" t="s">
        <v>20</v>
      </c>
      <c r="J931" s="1" t="s">
        <v>4114</v>
      </c>
      <c r="K931" s="1" t="s">
        <v>22</v>
      </c>
      <c r="L931" s="1" t="str">
        <f>HYPERLINK("https://files.afu.se/Downloads/Transcripts/0%20-%20Government/USA%20-%20NASA%20Johnson/2016 09 09 - NASA Johnson - Astronaut at a Glance  Douglas Hurley_0HoLtbcIsDQ - transcript (automated).pdf","Transcript Link")</f>
        <v>Transcript Link</v>
      </c>
      <c r="M931" s="2" t="str">
        <f>HYPERLINK("https://files.afu.se/Downloads/Transcripts/0%20-%20Government/USA%20-%20NASA%20Johnson/2016 09 09 - NASA Johnson - Astronaut at a Glance  Douglas Hurley_0HoLtbcIsDQ - transcript (automated).pdf","Transcript Link")</f>
        <v>Transcript Link</v>
      </c>
    </row>
    <row r="932" ht="180" spans="1:13">
      <c r="A932" s="1" t="s">
        <v>4110</v>
      </c>
      <c r="B932" s="1" t="s">
        <v>13</v>
      </c>
      <c r="C932" s="4" t="s">
        <v>4115</v>
      </c>
      <c r="D932" s="1" t="s">
        <v>4116</v>
      </c>
      <c r="E932" s="1" t="s">
        <v>2929</v>
      </c>
      <c r="F932" s="4" t="s">
        <v>17</v>
      </c>
      <c r="G932" s="1" t="s">
        <v>18</v>
      </c>
      <c r="H932" s="1" t="s">
        <v>19</v>
      </c>
      <c r="I932" s="1" t="s">
        <v>20</v>
      </c>
      <c r="J932" s="1" t="s">
        <v>4117</v>
      </c>
      <c r="K932" s="1" t="s">
        <v>22</v>
      </c>
      <c r="L932" s="1" t="str">
        <f>HYPERLINK("https://files.afu.se/Downloads/Transcripts/0%20-%20Government/USA%20-%20NASA%20Johnson/2016 09 09 - NASA Johnson - Space to Ground  Record Breaker  09 09 2016_3DX0pkZ1Qu4 - transcript (automated).pdf","Transcript Link")</f>
        <v>Transcript Link</v>
      </c>
      <c r="M932" s="2" t="str">
        <f>HYPERLINK("https://files.afu.se/Downloads/Transcripts/0%20-%20Government/USA%20-%20NASA%20Johnson/2016 09 09 - NASA Johnson - Space to Ground  Record Breaker  09 09 2016_3DX0pkZ1Qu4 - transcript (automated).pdf","Transcript Link")</f>
        <v>Transcript Link</v>
      </c>
    </row>
    <row r="933" ht="180" spans="1:13">
      <c r="A933" s="1" t="s">
        <v>4118</v>
      </c>
      <c r="B933" s="1" t="s">
        <v>13</v>
      </c>
      <c r="C933" s="4" t="s">
        <v>4119</v>
      </c>
      <c r="D933" s="1" t="s">
        <v>4120</v>
      </c>
      <c r="E933" s="1" t="s">
        <v>4121</v>
      </c>
      <c r="F933" s="4" t="s">
        <v>17</v>
      </c>
      <c r="G933" s="1" t="s">
        <v>18</v>
      </c>
      <c r="H933" s="1" t="s">
        <v>19</v>
      </c>
      <c r="I933" s="1" t="s">
        <v>20</v>
      </c>
      <c r="J933" s="1" t="s">
        <v>4122</v>
      </c>
      <c r="K933" s="1" t="s">
        <v>22</v>
      </c>
      <c r="L933" s="1" t="str">
        <f>HYPERLINK("https://files.afu.se/Downloads/Transcripts/0%20-%20Government/USA%20-%20NASA%20Johnson/2016 09 08 - NASA Johnson - NASA  On the Edge of Forever - International Cooperation_lUHx9rFnKjM - transcript (automated).pdf","Transcript Link")</f>
        <v>Transcript Link</v>
      </c>
      <c r="M933" s="2" t="str">
        <f>HYPERLINK("https://files.afu.se/Downloads/Transcripts/0%20-%20Government/USA%20-%20NASA%20Johnson/2016 09 08 - NASA Johnson - NASA  On the Edge of Forever - International Cooperation_lUHx9rFnKjM - transcript (automated).pdf","Transcript Link")</f>
        <v>Transcript Link</v>
      </c>
    </row>
    <row r="934" ht="180" spans="1:13">
      <c r="A934" s="1" t="s">
        <v>4123</v>
      </c>
      <c r="B934" s="1" t="s">
        <v>13</v>
      </c>
      <c r="C934" s="4" t="s">
        <v>4124</v>
      </c>
      <c r="D934" s="1" t="s">
        <v>4125</v>
      </c>
      <c r="E934" s="1" t="s">
        <v>4126</v>
      </c>
      <c r="F934" s="4" t="s">
        <v>17</v>
      </c>
      <c r="G934" s="1" t="s">
        <v>18</v>
      </c>
      <c r="H934" s="1" t="s">
        <v>19</v>
      </c>
      <c r="I934" s="1" t="s">
        <v>20</v>
      </c>
      <c r="J934" s="1" t="s">
        <v>4127</v>
      </c>
      <c r="K934" s="1" t="s">
        <v>22</v>
      </c>
      <c r="L934" s="1" t="str">
        <f>HYPERLINK("https://files.afu.se/Downloads/Transcripts/0%20-%20Government/USA%20-%20NASA%20Johnson/2016 09 07 - NASA Johnson - Expedition 48 Crew Receives a Warm Welcome in Kazakhstan_E-B9uR74YQ4 - transcript (automated).pdf","Transcript Link")</f>
        <v>Transcript Link</v>
      </c>
      <c r="M934" s="2" t="str">
        <f>HYPERLINK("https://files.afu.se/Downloads/Transcripts/0%20-%20Government/USA%20-%20NASA%20Johnson/2016 09 07 - NASA Johnson - Expedition 48 Crew Receives a Warm Welcome in Kazakhstan_E-B9uR74YQ4 - transcript (automated).pdf","Transcript Link")</f>
        <v>Transcript Link</v>
      </c>
    </row>
    <row r="935" ht="315" spans="1:13">
      <c r="A935" s="1" t="s">
        <v>4128</v>
      </c>
      <c r="B935" s="1" t="s">
        <v>13</v>
      </c>
      <c r="C935" s="4" t="s">
        <v>4129</v>
      </c>
      <c r="D935" s="1" t="s">
        <v>4130</v>
      </c>
      <c r="E935" s="1" t="s">
        <v>4131</v>
      </c>
      <c r="F935" s="4" t="s">
        <v>17</v>
      </c>
      <c r="G935" s="1" t="s">
        <v>18</v>
      </c>
      <c r="H935" s="1" t="s">
        <v>19</v>
      </c>
      <c r="I935" s="1" t="s">
        <v>20</v>
      </c>
      <c r="J935" s="1" t="s">
        <v>4132</v>
      </c>
      <c r="K935" s="1" t="s">
        <v>22</v>
      </c>
      <c r="L935" s="1" t="str">
        <f>HYPERLINK("https://files.afu.se/Downloads/Transcripts/0%20-%20Government/USA%20-%20NASA%20Johnson/2016 09 02 - NASA Johnson - Dan Goes to Kazakhstan_ssnUAN82T9g - transcript (automated).pdf","Transcript Link")</f>
        <v>Transcript Link</v>
      </c>
      <c r="M935" s="2" t="str">
        <f>HYPERLINK("https://files.afu.se/Downloads/Transcripts/0%20-%20Government/USA%20-%20NASA%20Johnson/2016 09 02 - NASA Johnson - Dan Goes to Kazakhstan_ssnUAN82T9g - transcript (automated).pdf","Transcript Link")</f>
        <v>Transcript Link</v>
      </c>
    </row>
    <row r="936" ht="180" spans="1:13">
      <c r="A936" s="1" t="s">
        <v>4128</v>
      </c>
      <c r="B936" s="1" t="s">
        <v>13</v>
      </c>
      <c r="C936" s="4" t="s">
        <v>4133</v>
      </c>
      <c r="D936" s="1" t="s">
        <v>4134</v>
      </c>
      <c r="E936" s="1" t="s">
        <v>2929</v>
      </c>
      <c r="F936" s="4" t="s">
        <v>17</v>
      </c>
      <c r="G936" s="1" t="s">
        <v>18</v>
      </c>
      <c r="H936" s="1" t="s">
        <v>19</v>
      </c>
      <c r="I936" s="1" t="s">
        <v>20</v>
      </c>
      <c r="J936" s="1" t="s">
        <v>4135</v>
      </c>
      <c r="K936" s="1" t="s">
        <v>22</v>
      </c>
      <c r="L936" s="1" t="str">
        <f>HYPERLINK("https://files.afu.se/Downloads/Transcripts/0%20-%20Government/USA%20-%20NASA%20Johnson/2016 09 02 - NASA Johnson - Space to Ground  Tracking the Tropics  09 02 2016_PNt6L9dWbZ0 - transcript (automated).pdf","Transcript Link")</f>
        <v>Transcript Link</v>
      </c>
      <c r="M936" s="2" t="str">
        <f>HYPERLINK("https://files.afu.se/Downloads/Transcripts/0%20-%20Government/USA%20-%20NASA%20Johnson/2016 09 02 - NASA Johnson - Space to Ground  Tracking the Tropics  09 02 2016_PNt6L9dWbZ0 - transcript (automated).pdf","Transcript Link")</f>
        <v>Transcript Link</v>
      </c>
    </row>
    <row r="937" ht="240" spans="1:13">
      <c r="A937" s="1" t="s">
        <v>4136</v>
      </c>
      <c r="B937" s="1" t="s">
        <v>13</v>
      </c>
      <c r="C937" s="4" t="s">
        <v>4137</v>
      </c>
      <c r="D937" s="1" t="s">
        <v>4138</v>
      </c>
      <c r="E937" s="1" t="s">
        <v>4139</v>
      </c>
      <c r="F937" s="4" t="s">
        <v>17</v>
      </c>
      <c r="G937" s="1" t="s">
        <v>18</v>
      </c>
      <c r="H937" s="1" t="s">
        <v>19</v>
      </c>
      <c r="I937" s="1" t="s">
        <v>20</v>
      </c>
      <c r="J937" s="1" t="s">
        <v>4140</v>
      </c>
      <c r="K937" s="1" t="s">
        <v>22</v>
      </c>
      <c r="L937" s="1" t="str">
        <f>HYPERLINK("https://files.afu.se/Downloads/Transcripts/0%20-%20Government/USA%20-%20NASA%20Johnson/2016 08 31 - NASA Johnson - Space Station Live  The  Almost  Human Touch__406gfSToBs - transcript (automated).pdf","Transcript Link")</f>
        <v>Transcript Link</v>
      </c>
      <c r="M937" s="2" t="str">
        <f>HYPERLINK("https://files.afu.se/Downloads/Transcripts/0%20-%20Government/USA%20-%20NASA%20Johnson/2016 08 31 - NASA Johnson - Space Station Live  The  Almost  Human Touch__406gfSToBs - transcript (automated).pdf","Transcript Link")</f>
        <v>Transcript Link</v>
      </c>
    </row>
    <row r="938" ht="180" spans="1:13">
      <c r="A938" s="1" t="s">
        <v>4141</v>
      </c>
      <c r="B938" s="1" t="s">
        <v>13</v>
      </c>
      <c r="C938" s="4" t="s">
        <v>4142</v>
      </c>
      <c r="D938" s="1" t="s">
        <v>4143</v>
      </c>
      <c r="E938" s="1" t="s">
        <v>4144</v>
      </c>
      <c r="F938" s="4" t="s">
        <v>17</v>
      </c>
      <c r="G938" s="1" t="s">
        <v>18</v>
      </c>
      <c r="H938" s="1" t="s">
        <v>19</v>
      </c>
      <c r="I938" s="1" t="s">
        <v>20</v>
      </c>
      <c r="J938" s="1" t="s">
        <v>4145</v>
      </c>
      <c r="K938" s="1" t="s">
        <v>22</v>
      </c>
      <c r="L938" s="1" t="str">
        <f>HYPERLINK("https://files.afu.se/Downloads/Transcripts/0%20-%20Government/USA%20-%20NASA%20Johnson/2016 08 30 - NASA Johnson - Station Orbits Over Three Hurricanes_5d-lCAlfr5s - transcript (automated).pdf","Transcript Link")</f>
        <v>Transcript Link</v>
      </c>
      <c r="M938" s="2" t="str">
        <f>HYPERLINK("https://files.afu.se/Downloads/Transcripts/0%20-%20Government/USA%20-%20NASA%20Johnson/2016 08 30 - NASA Johnson - Station Orbits Over Three Hurricanes_5d-lCAlfr5s - transcript (automated).pdf","Transcript Link")</f>
        <v>Transcript Link</v>
      </c>
    </row>
    <row r="939" ht="300" spans="1:13">
      <c r="A939" s="1" t="s">
        <v>4141</v>
      </c>
      <c r="B939" s="1" t="s">
        <v>13</v>
      </c>
      <c r="C939" s="4" t="s">
        <v>4146</v>
      </c>
      <c r="D939" s="1" t="s">
        <v>4147</v>
      </c>
      <c r="E939" s="1" t="s">
        <v>4148</v>
      </c>
      <c r="F939" s="4" t="s">
        <v>17</v>
      </c>
      <c r="G939" s="1" t="s">
        <v>18</v>
      </c>
      <c r="H939" s="1" t="s">
        <v>19</v>
      </c>
      <c r="I939" s="1" t="s">
        <v>20</v>
      </c>
      <c r="J939" s="1" t="s">
        <v>4149</v>
      </c>
      <c r="K939" s="1" t="s">
        <v>22</v>
      </c>
      <c r="L939" s="1" t="str">
        <f>HYPERLINK("https://files.afu.se/Downloads/Transcripts/0%20-%20Government/USA%20-%20NASA%20Johnson/2016 08 30 - NASA Johnson - Space Station Cameras Capture Tropical Systems in the Pacific and the Atlantic_gdouU1IN8TQ - transcript (automated).pdf","Transcript Link")</f>
        <v>Transcript Link</v>
      </c>
      <c r="M939" s="2" t="str">
        <f>HYPERLINK("https://files.afu.se/Downloads/Transcripts/0%20-%20Government/USA%20-%20NASA%20Johnson/2016 08 30 - NASA Johnson - Space Station Cameras Capture Tropical Systems in the Pacific and the Atlantic_gdouU1IN8TQ - transcript (automated).pdf","Transcript Link")</f>
        <v>Transcript Link</v>
      </c>
    </row>
    <row r="940" ht="409.5" spans="1:13">
      <c r="A940" s="1" t="s">
        <v>4150</v>
      </c>
      <c r="B940" s="1" t="s">
        <v>13</v>
      </c>
      <c r="C940" s="4" t="s">
        <v>4151</v>
      </c>
      <c r="D940" s="1" t="s">
        <v>4152</v>
      </c>
      <c r="E940" s="1" t="s">
        <v>4153</v>
      </c>
      <c r="F940" s="4" t="s">
        <v>17</v>
      </c>
      <c r="G940" s="1" t="s">
        <v>18</v>
      </c>
      <c r="H940" s="1" t="s">
        <v>19</v>
      </c>
      <c r="I940" s="1" t="s">
        <v>20</v>
      </c>
      <c r="J940" s="1" t="s">
        <v>4154</v>
      </c>
      <c r="K940" s="1" t="s">
        <v>22</v>
      </c>
      <c r="L940" s="1" t="str">
        <f>HYPERLINK("https://files.afu.se/Downloads/Transcripts/0%20-%20Government/USA%20-%20NASA%20Johnson/2016 08 29 - NASA Johnson - Animation of Sept. 1 Space Station Spacewalk_02TYu73B3jc - transcript (automated).pdf","Transcript Link")</f>
        <v>Transcript Link</v>
      </c>
      <c r="M940" s="2" t="str">
        <f>HYPERLINK("https://files.afu.se/Downloads/Transcripts/0%20-%20Government/USA%20-%20NASA%20Johnson/2016 08 29 - NASA Johnson - Animation of Sept. 1 Space Station Spacewalk_02TYu73B3jc - transcript (automated).pdf","Transcript Link")</f>
        <v>Transcript Link</v>
      </c>
    </row>
    <row r="941" ht="375" spans="1:13">
      <c r="A941" s="1" t="s">
        <v>4150</v>
      </c>
      <c r="B941" s="1" t="s">
        <v>13</v>
      </c>
      <c r="C941" s="4" t="s">
        <v>4155</v>
      </c>
      <c r="D941" s="1" t="s">
        <v>4156</v>
      </c>
      <c r="E941" s="1" t="s">
        <v>4157</v>
      </c>
      <c r="F941" s="4" t="s">
        <v>17</v>
      </c>
      <c r="G941" s="1" t="s">
        <v>18</v>
      </c>
      <c r="H941" s="1" t="s">
        <v>19</v>
      </c>
      <c r="I941" s="1" t="s">
        <v>20</v>
      </c>
      <c r="J941" s="1" t="s">
        <v>4158</v>
      </c>
      <c r="K941" s="1" t="s">
        <v>22</v>
      </c>
      <c r="L941" s="1" t="str">
        <f>HYPERLINK("https://files.afu.se/Downloads/Transcripts/0%20-%20Government/USA%20-%20NASA%20Johnson/2016 08 29 - NASA Johnson - Benefits for Humanity  Know Your Water_TplYDB_csf8 - transcript (automated).pdf","Transcript Link")</f>
        <v>Transcript Link</v>
      </c>
      <c r="M941" s="2" t="str">
        <f>HYPERLINK("https://files.afu.se/Downloads/Transcripts/0%20-%20Government/USA%20-%20NASA%20Johnson/2016 08 29 - NASA Johnson - Benefits for Humanity  Know Your Water_TplYDB_csf8 - transcript (automated).pdf","Transcript Link")</f>
        <v>Transcript Link</v>
      </c>
    </row>
    <row r="942" ht="180" spans="1:13">
      <c r="A942" s="1" t="s">
        <v>4159</v>
      </c>
      <c r="B942" s="1" t="s">
        <v>13</v>
      </c>
      <c r="C942" s="4" t="s">
        <v>4160</v>
      </c>
      <c r="D942" s="1" t="s">
        <v>4161</v>
      </c>
      <c r="E942" s="1" t="s">
        <v>2929</v>
      </c>
      <c r="F942" s="4" t="s">
        <v>17</v>
      </c>
      <c r="G942" s="1" t="s">
        <v>18</v>
      </c>
      <c r="H942" s="1" t="s">
        <v>19</v>
      </c>
      <c r="I942" s="1" t="s">
        <v>20</v>
      </c>
      <c r="J942" s="1" t="s">
        <v>4162</v>
      </c>
      <c r="K942" s="1" t="s">
        <v>22</v>
      </c>
      <c r="L942" s="1" t="str">
        <f>HYPERLINK("https://files.afu.se/Downloads/Transcripts/0%20-%20Government/USA%20-%20NASA%20Johnson/2016 08 26 - NASA Johnson - Space to Ground  520 Days and Counting  08 26 2016_gZCtRccs1xo - transcript (automated).pdf","Transcript Link")</f>
        <v>Transcript Link</v>
      </c>
      <c r="M942" s="2" t="str">
        <f>HYPERLINK("https://files.afu.se/Downloads/Transcripts/0%20-%20Government/USA%20-%20NASA%20Johnson/2016 08 26 - NASA Johnson - Space to Ground  520 Days and Counting  08 26 2016_gZCtRccs1xo - transcript (automated).pdf","Transcript Link")</f>
        <v>Transcript Link</v>
      </c>
    </row>
    <row r="943" ht="255" spans="1:13">
      <c r="A943" s="1" t="s">
        <v>4163</v>
      </c>
      <c r="B943" s="1" t="s">
        <v>13</v>
      </c>
      <c r="C943" s="4" t="s">
        <v>4164</v>
      </c>
      <c r="D943" s="1" t="s">
        <v>4165</v>
      </c>
      <c r="E943" s="1" t="s">
        <v>4166</v>
      </c>
      <c r="F943" s="4" t="s">
        <v>17</v>
      </c>
      <c r="G943" s="1" t="s">
        <v>18</v>
      </c>
      <c r="H943" s="1" t="s">
        <v>19</v>
      </c>
      <c r="I943" s="1" t="s">
        <v>20</v>
      </c>
      <c r="J943" s="1" t="s">
        <v>4167</v>
      </c>
      <c r="K943" s="1" t="s">
        <v>22</v>
      </c>
      <c r="L943" s="1" t="str">
        <f>HYPERLINK("https://files.afu.se/Downloads/Transcripts/0%20-%20Government/USA%20-%20NASA%20Johnson/2016 08 25 - NASA Johnson - NASA Astronaut Jeff Williams Celebrates the National Park Service Centennial from Space_ZFd8gmUTGmw - transcript (automated).pdf","Transcript Link")</f>
        <v>Transcript Link</v>
      </c>
      <c r="M943" s="2" t="str">
        <f>HYPERLINK("https://files.afu.se/Downloads/Transcripts/0%20-%20Government/USA%20-%20NASA%20Johnson/2016 08 25 - NASA Johnson - NASA Astronaut Jeff Williams Celebrates the National Park Service Centennial from Space_ZFd8gmUTGmw - transcript (automated).pdf","Transcript Link")</f>
        <v>Transcript Link</v>
      </c>
    </row>
    <row r="944" ht="180" spans="1:13">
      <c r="A944" s="1" t="s">
        <v>4168</v>
      </c>
      <c r="B944" s="1" t="s">
        <v>13</v>
      </c>
      <c r="C944" s="4" t="s">
        <v>4169</v>
      </c>
      <c r="D944" s="1" t="s">
        <v>4170</v>
      </c>
      <c r="E944" s="1" t="s">
        <v>4171</v>
      </c>
      <c r="F944" s="4" t="s">
        <v>17</v>
      </c>
      <c r="G944" s="1" t="s">
        <v>18</v>
      </c>
      <c r="H944" s="1" t="s">
        <v>19</v>
      </c>
      <c r="I944" s="1" t="s">
        <v>20</v>
      </c>
      <c r="J944" s="1" t="s">
        <v>4172</v>
      </c>
      <c r="K944" s="1" t="s">
        <v>22</v>
      </c>
      <c r="L944" s="1" t="str">
        <f>HYPERLINK("https://files.afu.se/Downloads/Transcripts/0%20-%20Government/USA%20-%20NASA%20Johnson/2016 08 24 - NASA Johnson - Scott Kelly Congratulates Jeff Williams on Breaking Record__403HWLU6Uk - transcript (automated).pdf","Transcript Link")</f>
        <v>Transcript Link</v>
      </c>
      <c r="M944" s="2" t="str">
        <f>HYPERLINK("https://files.afu.se/Downloads/Transcripts/0%20-%20Government/USA%20-%20NASA%20Johnson/2016 08 24 - NASA Johnson - Scott Kelly Congratulates Jeff Williams on Breaking Record__403HWLU6Uk - transcript (automated).pdf","Transcript Link")</f>
        <v>Transcript Link</v>
      </c>
    </row>
    <row r="945" ht="255" spans="1:13">
      <c r="A945" s="1" t="s">
        <v>4168</v>
      </c>
      <c r="B945" s="1" t="s">
        <v>13</v>
      </c>
      <c r="C945" s="4" t="s">
        <v>4173</v>
      </c>
      <c r="D945" s="1" t="s">
        <v>4174</v>
      </c>
      <c r="E945" s="1" t="s">
        <v>4175</v>
      </c>
      <c r="F945" s="4" t="s">
        <v>17</v>
      </c>
      <c r="G945" s="1" t="s">
        <v>18</v>
      </c>
      <c r="H945" s="1" t="s">
        <v>19</v>
      </c>
      <c r="I945" s="1" t="s">
        <v>20</v>
      </c>
      <c r="J945" s="1" t="s">
        <v>4176</v>
      </c>
      <c r="K945" s="1" t="s">
        <v>22</v>
      </c>
      <c r="L945" s="1" t="str">
        <f>HYPERLINK("https://files.afu.se/Downloads/Transcripts/0%20-%20Government/USA%20-%20NASA%20Johnson/2016 08 24 - NASA Johnson - Space Station Live  Measuring Motor Skills_rXVILG8gLVo - transcript (automated).pdf","Transcript Link")</f>
        <v>Transcript Link</v>
      </c>
      <c r="M945" s="2" t="str">
        <f>HYPERLINK("https://files.afu.se/Downloads/Transcripts/0%20-%20Government/USA%20-%20NASA%20Johnson/2016 08 24 - NASA Johnson - Space Station Live  Measuring Motor Skills_rXVILG8gLVo - transcript (automated).pdf","Transcript Link")</f>
        <v>Transcript Link</v>
      </c>
    </row>
    <row r="946" ht="255" spans="1:13">
      <c r="A946" s="1" t="s">
        <v>4177</v>
      </c>
      <c r="B946" s="1" t="s">
        <v>13</v>
      </c>
      <c r="C946" s="4" t="s">
        <v>4178</v>
      </c>
      <c r="D946" s="1" t="s">
        <v>4179</v>
      </c>
      <c r="E946" s="1" t="s">
        <v>4180</v>
      </c>
      <c r="F946" s="4" t="s">
        <v>17</v>
      </c>
      <c r="G946" s="1" t="s">
        <v>18</v>
      </c>
      <c r="H946" s="1" t="s">
        <v>19</v>
      </c>
      <c r="I946" s="1" t="s">
        <v>20</v>
      </c>
      <c r="J946" s="1" t="s">
        <v>4181</v>
      </c>
      <c r="K946" s="1" t="s">
        <v>22</v>
      </c>
      <c r="L946" s="1" t="str">
        <f>HYPERLINK("https://files.afu.se/Downloads/Transcripts/0%20-%20Government/USA%20-%20NASA%20Johnson/2016 08 23 - NASA Johnson - NASA Public Affairs interviews Expedition 48 Crew About Upcoming Activities_Z59pq5JHpnc - transcript (automated).pdf","Transcript Link")</f>
        <v>Transcript Link</v>
      </c>
      <c r="M946" s="2" t="str">
        <f>HYPERLINK("https://files.afu.se/Downloads/Transcripts/0%20-%20Government/USA%20-%20NASA%20Johnson/2016 08 23 - NASA Johnson - NASA Public Affairs interviews Expedition 48 Crew About Upcoming Activities_Z59pq5JHpnc - transcript (automated).pdf","Transcript Link")</f>
        <v>Transcript Link</v>
      </c>
    </row>
    <row r="947" ht="409.5" spans="1:13">
      <c r="A947" s="1" t="s">
        <v>4182</v>
      </c>
      <c r="B947" s="1" t="s">
        <v>13</v>
      </c>
      <c r="C947" s="4" t="s">
        <v>4183</v>
      </c>
      <c r="D947" s="1" t="s">
        <v>4184</v>
      </c>
      <c r="E947" s="1" t="s">
        <v>4185</v>
      </c>
      <c r="F947" s="4" t="s">
        <v>17</v>
      </c>
      <c r="G947" s="1" t="s">
        <v>18</v>
      </c>
      <c r="H947" s="1" t="s">
        <v>19</v>
      </c>
      <c r="I947" s="1" t="s">
        <v>20</v>
      </c>
      <c r="J947" s="1" t="s">
        <v>4186</v>
      </c>
      <c r="K947" s="1" t="s">
        <v>22</v>
      </c>
      <c r="L947" s="1" t="str">
        <f>HYPERLINK("https://files.afu.se/Downloads/Transcripts/0%20-%20Government/USA%20-%20NASA%20Johnson/2016 08 22 - NASA Johnson - Benefits for Humanity  Engaging the Next Generation_nbdrZ2JUOw0 - transcript (automated).pdf","Transcript Link")</f>
        <v>Transcript Link</v>
      </c>
      <c r="M947" s="2" t="str">
        <f>HYPERLINK("https://files.afu.se/Downloads/Transcripts/0%20-%20Government/USA%20-%20NASA%20Johnson/2016 08 22 - NASA Johnson - Benefits for Humanity  Engaging the Next Generation_nbdrZ2JUOw0 - transcript (automated).pdf","Transcript Link")</f>
        <v>Transcript Link</v>
      </c>
    </row>
    <row r="948" ht="180" spans="1:13">
      <c r="A948" s="1" t="s">
        <v>4182</v>
      </c>
      <c r="B948" s="1" t="s">
        <v>13</v>
      </c>
      <c r="C948" s="4" t="s">
        <v>4187</v>
      </c>
      <c r="D948" s="1" t="s">
        <v>4188</v>
      </c>
      <c r="E948" s="1" t="s">
        <v>4189</v>
      </c>
      <c r="F948" s="4" t="s">
        <v>17</v>
      </c>
      <c r="G948" s="1" t="s">
        <v>18</v>
      </c>
      <c r="H948" s="1" t="s">
        <v>19</v>
      </c>
      <c r="I948" s="1" t="s">
        <v>20</v>
      </c>
      <c r="J948" s="1" t="s">
        <v>4190</v>
      </c>
      <c r="K948" s="1" t="s">
        <v>22</v>
      </c>
      <c r="L948" s="1" t="str">
        <f>HYPERLINK("https://files.afu.se/Downloads/Transcripts/0%20-%20Government/USA%20-%20NASA%20Johnson/2016 08 22 - NASA Johnson - Two Spacewalkers, One New Port_SUJUlt5BNFg - transcript (automated).pdf","Transcript Link")</f>
        <v>Transcript Link</v>
      </c>
      <c r="M948" s="2" t="str">
        <f>HYPERLINK("https://files.afu.se/Downloads/Transcripts/0%20-%20Government/USA%20-%20NASA%20Johnson/2016 08 22 - NASA Johnson - Two Spacewalkers, One New Port_SUJUlt5BNFg - transcript (automated).pdf","Transcript Link")</f>
        <v>Transcript Link</v>
      </c>
    </row>
    <row r="949" ht="180" spans="1:13">
      <c r="A949" s="1" t="s">
        <v>4191</v>
      </c>
      <c r="B949" s="1" t="s">
        <v>13</v>
      </c>
      <c r="C949" s="4" t="s">
        <v>4192</v>
      </c>
      <c r="D949" s="1" t="s">
        <v>4193</v>
      </c>
      <c r="E949" s="1" t="s">
        <v>2929</v>
      </c>
      <c r="F949" s="4" t="s">
        <v>17</v>
      </c>
      <c r="G949" s="1" t="s">
        <v>18</v>
      </c>
      <c r="H949" s="1" t="s">
        <v>19</v>
      </c>
      <c r="I949" s="1" t="s">
        <v>20</v>
      </c>
      <c r="J949" s="1" t="s">
        <v>4194</v>
      </c>
      <c r="K949" s="1" t="s">
        <v>22</v>
      </c>
      <c r="L949" s="1" t="str">
        <f>HYPERLINK("https://files.afu.se/Downloads/Transcripts/0%20-%20Government/USA%20-%20NASA%20Johnson/2016 08 19 - NASA Johnson - Space to Ground  A Gateway for Future Spacecraft  08 19 2016_UCjlfPS_6ZM - transcript (automated).pdf","Transcript Link")</f>
        <v>Transcript Link</v>
      </c>
      <c r="M949" s="2" t="str">
        <f>HYPERLINK("https://files.afu.se/Downloads/Transcripts/0%20-%20Government/USA%20-%20NASA%20Johnson/2016 08 19 - NASA Johnson - Space to Ground  A Gateway for Future Spacecraft  08 19 2016_UCjlfPS_6ZM - transcript (automated).pdf","Transcript Link")</f>
        <v>Transcript Link</v>
      </c>
    </row>
    <row r="950" ht="180" spans="1:13">
      <c r="A950" s="1" t="s">
        <v>4195</v>
      </c>
      <c r="B950" s="1" t="s">
        <v>13</v>
      </c>
      <c r="C950" s="4" t="s">
        <v>4196</v>
      </c>
      <c r="D950" s="1" t="s">
        <v>4197</v>
      </c>
      <c r="E950" s="1" t="s">
        <v>4198</v>
      </c>
      <c r="F950" s="4" t="s">
        <v>17</v>
      </c>
      <c r="G950" s="1" t="s">
        <v>18</v>
      </c>
      <c r="H950" s="1" t="s">
        <v>19</v>
      </c>
      <c r="I950" s="1" t="s">
        <v>20</v>
      </c>
      <c r="J950" s="1" t="s">
        <v>4199</v>
      </c>
      <c r="K950" s="1" t="s">
        <v>22</v>
      </c>
      <c r="L950" s="1" t="str">
        <f>HYPERLINK("https://files.afu.se/Downloads/Transcripts/0%20-%20Government/USA%20-%20NASA%20Johnson/2016 08 18 - NASA Johnson - International Docking Adapter Is Extracted From SpaceX Dragon_-kg6Zw3Hufo - transcript (automated).pdf","Transcript Link")</f>
        <v>Transcript Link</v>
      </c>
      <c r="M950" s="2" t="str">
        <f>HYPERLINK("https://files.afu.se/Downloads/Transcripts/0%20-%20Government/USA%20-%20NASA%20Johnson/2016 08 18 - NASA Johnson - International Docking Adapter Is Extracted From SpaceX Dragon_-kg6Zw3Hufo - transcript (automated).pdf","Transcript Link")</f>
        <v>Transcript Link</v>
      </c>
    </row>
    <row r="951" ht="180" spans="1:13">
      <c r="A951" s="1" t="s">
        <v>4200</v>
      </c>
      <c r="B951" s="1" t="s">
        <v>13</v>
      </c>
      <c r="C951" s="4" t="s">
        <v>4201</v>
      </c>
      <c r="D951" s="1" t="s">
        <v>4202</v>
      </c>
      <c r="E951" s="1" t="s">
        <v>4203</v>
      </c>
      <c r="F951" s="4" t="s">
        <v>17</v>
      </c>
      <c r="G951" s="1" t="s">
        <v>18</v>
      </c>
      <c r="H951" s="1" t="s">
        <v>19</v>
      </c>
      <c r="I951" s="1" t="s">
        <v>20</v>
      </c>
      <c r="J951" s="1" t="s">
        <v>4204</v>
      </c>
      <c r="K951" s="1" t="s">
        <v>22</v>
      </c>
      <c r="L951" s="1" t="str">
        <f>HYPERLINK("https://files.afu.se/Downloads/Transcripts/0%20-%20Government/USA%20-%20NASA%20Johnson/2016 08 17 - NASA Johnson - Space Station Live  A Pain in the Back_Gtaoc_5y8VE - transcript (automated).pdf","Transcript Link")</f>
        <v>Transcript Link</v>
      </c>
      <c r="M951" s="2" t="str">
        <f>HYPERLINK("https://files.afu.se/Downloads/Transcripts/0%20-%20Government/USA%20-%20NASA%20Johnson/2016 08 17 - NASA Johnson - Space Station Live  A Pain in the Back_Gtaoc_5y8VE - transcript (automated).pdf","Transcript Link")</f>
        <v>Transcript Link</v>
      </c>
    </row>
    <row r="952" ht="180" spans="1:13">
      <c r="A952" s="1" t="s">
        <v>4200</v>
      </c>
      <c r="B952" s="1" t="s">
        <v>13</v>
      </c>
      <c r="C952" s="4" t="s">
        <v>4205</v>
      </c>
      <c r="D952" s="1" t="s">
        <v>4206</v>
      </c>
      <c r="E952" s="1" t="s">
        <v>4207</v>
      </c>
      <c r="F952" s="4" t="s">
        <v>17</v>
      </c>
      <c r="G952" s="1" t="s">
        <v>18</v>
      </c>
      <c r="H952" s="1" t="s">
        <v>19</v>
      </c>
      <c r="I952" s="1" t="s">
        <v>20</v>
      </c>
      <c r="J952" s="1" t="s">
        <v>4208</v>
      </c>
      <c r="K952" s="1" t="s">
        <v>22</v>
      </c>
      <c r="L952" s="1" t="str">
        <f>HYPERLINK("https://files.afu.se/Downloads/Transcripts/0%20-%20Government/USA%20-%20NASA%20Johnson/2016 08 17 - NASA Johnson - Exploring Beyond_Tijap2ocSs4 - transcript (automated).pdf","Transcript Link")</f>
        <v>Transcript Link</v>
      </c>
      <c r="M952" s="2" t="str">
        <f>HYPERLINK("https://files.afu.se/Downloads/Transcripts/0%20-%20Government/USA%20-%20NASA%20Johnson/2016 08 17 - NASA Johnson - Exploring Beyond_Tijap2ocSs4 - transcript (automated).pdf","Transcript Link")</f>
        <v>Transcript Link</v>
      </c>
    </row>
    <row r="953" ht="180" spans="1:13">
      <c r="A953" s="1" t="s">
        <v>4209</v>
      </c>
      <c r="B953" s="1" t="s">
        <v>13</v>
      </c>
      <c r="C953" s="4" t="s">
        <v>4210</v>
      </c>
      <c r="D953" s="1" t="s">
        <v>4211</v>
      </c>
      <c r="E953" s="1" t="s">
        <v>4212</v>
      </c>
      <c r="F953" s="4" t="s">
        <v>17</v>
      </c>
      <c r="G953" s="1" t="s">
        <v>18</v>
      </c>
      <c r="H953" s="1" t="s">
        <v>19</v>
      </c>
      <c r="I953" s="1" t="s">
        <v>20</v>
      </c>
      <c r="J953" s="1" t="s">
        <v>4213</v>
      </c>
      <c r="K953" s="1" t="s">
        <v>22</v>
      </c>
      <c r="L953" s="1" t="str">
        <f>HYPERLINK("https://files.afu.se/Downloads/Transcripts/0%20-%20Government/USA%20-%20NASA%20Johnson/2016 08 16 - NASA Johnson - Monthly ISS Research Video Update for August 2016_Ka3jRmDRAKk - transcript (automated).pdf","Transcript Link")</f>
        <v>Transcript Link</v>
      </c>
      <c r="M953" s="2" t="str">
        <f>HYPERLINK("https://files.afu.se/Downloads/Transcripts/0%20-%20Government/USA%20-%20NASA%20Johnson/2016 08 16 - NASA Johnson - Monthly ISS Research Video Update for August 2016_Ka3jRmDRAKk - transcript (automated).pdf","Transcript Link")</f>
        <v>Transcript Link</v>
      </c>
    </row>
    <row r="954" ht="270" spans="1:13">
      <c r="A954" s="1" t="s">
        <v>4209</v>
      </c>
      <c r="B954" s="1" t="s">
        <v>13</v>
      </c>
      <c r="C954" s="4" t="s">
        <v>4214</v>
      </c>
      <c r="D954" s="1" t="s">
        <v>4215</v>
      </c>
      <c r="E954" s="1" t="s">
        <v>4216</v>
      </c>
      <c r="F954" s="4" t="s">
        <v>17</v>
      </c>
      <c r="G954" s="1" t="s">
        <v>18</v>
      </c>
      <c r="H954" s="1" t="s">
        <v>19</v>
      </c>
      <c r="I954" s="1" t="s">
        <v>20</v>
      </c>
      <c r="J954" s="1" t="s">
        <v>4217</v>
      </c>
      <c r="K954" s="1" t="s">
        <v>22</v>
      </c>
      <c r="L954" s="1" t="str">
        <f>HYPERLINK("https://files.afu.se/Downloads/Transcripts/0%20-%20Government/USA%20-%20NASA%20Johnson/2016 08 16 - NASA Johnson - Animation of Aug. 19 Space Station Spacewalk_cSVpRPLu3EA - transcript (automated).pdf","Transcript Link")</f>
        <v>Transcript Link</v>
      </c>
      <c r="M954" s="2" t="str">
        <f>HYPERLINK("https://files.afu.se/Downloads/Transcripts/0%20-%20Government/USA%20-%20NASA%20Johnson/2016 08 16 - NASA Johnson - Animation of Aug. 19 Space Station Spacewalk_cSVpRPLu3EA - transcript (automated).pdf","Transcript Link")</f>
        <v>Transcript Link</v>
      </c>
    </row>
    <row r="955" ht="180" spans="1:13">
      <c r="A955" s="1" t="s">
        <v>4218</v>
      </c>
      <c r="B955" s="1" t="s">
        <v>13</v>
      </c>
      <c r="C955" s="4" t="s">
        <v>4219</v>
      </c>
      <c r="D955" s="1" t="s">
        <v>4220</v>
      </c>
      <c r="E955" s="1" t="s">
        <v>4221</v>
      </c>
      <c r="F955" s="4" t="s">
        <v>17</v>
      </c>
      <c r="G955" s="1" t="s">
        <v>18</v>
      </c>
      <c r="H955" s="1" t="s">
        <v>19</v>
      </c>
      <c r="I955" s="1" t="s">
        <v>20</v>
      </c>
      <c r="J955" s="1" t="s">
        <v>4222</v>
      </c>
      <c r="K955" s="1" t="s">
        <v>22</v>
      </c>
      <c r="L955" s="1" t="str">
        <f>HYPERLINK("https://files.afu.se/Downloads/Transcripts/0%20-%20Government/USA%20-%20NASA%20Johnson/2016 08 15 - NASA Johnson - The Road to IDA_SEst1lHWgwk - transcript (automated).pdf","Transcript Link")</f>
        <v>Transcript Link</v>
      </c>
      <c r="M955" s="2" t="str">
        <f>HYPERLINK("https://files.afu.se/Downloads/Transcripts/0%20-%20Government/USA%20-%20NASA%20Johnson/2016 08 15 - NASA Johnson - The Road to IDA_SEst1lHWgwk - transcript (automated).pdf","Transcript Link")</f>
        <v>Transcript Link</v>
      </c>
    </row>
    <row r="956" ht="210" spans="1:13">
      <c r="A956" s="1" t="s">
        <v>4223</v>
      </c>
      <c r="B956" s="1" t="s">
        <v>13</v>
      </c>
      <c r="C956" s="4" t="s">
        <v>4224</v>
      </c>
      <c r="D956" s="1" t="s">
        <v>4225</v>
      </c>
      <c r="E956" s="1" t="s">
        <v>4226</v>
      </c>
      <c r="F956" s="4" t="s">
        <v>17</v>
      </c>
      <c r="G956" s="1" t="s">
        <v>18</v>
      </c>
      <c r="H956" s="1" t="s">
        <v>19</v>
      </c>
      <c r="I956" s="1" t="s">
        <v>20</v>
      </c>
      <c r="J956" s="1" t="s">
        <v>4227</v>
      </c>
      <c r="K956" s="1" t="s">
        <v>22</v>
      </c>
      <c r="L956" s="1" t="str">
        <f>HYPERLINK("https://files.afu.se/Downloads/Transcripts/0%20-%20Government/USA%20-%20NASA%20Johnson/2016 08 12 - NASA Johnson - Space to Ground  Well-Suited For A Spacewalk  08 11 2016_UbvgIG5AyUs - transcript (automated).pdf","Transcript Link")</f>
        <v>Transcript Link</v>
      </c>
      <c r="M956" s="2" t="str">
        <f>HYPERLINK("https://files.afu.se/Downloads/Transcripts/0%20-%20Government/USA%20-%20NASA%20Johnson/2016 08 12 - NASA Johnson - Space to Ground  Well-Suited For A Spacewalk  08 11 2016_UbvgIG5AyUs - transcript (automated).pdf","Transcript Link")</f>
        <v>Transcript Link</v>
      </c>
    </row>
    <row r="957" ht="210" spans="1:13">
      <c r="A957" s="1" t="s">
        <v>4228</v>
      </c>
      <c r="B957" s="1" t="s">
        <v>13</v>
      </c>
      <c r="C957" s="4" t="s">
        <v>4229</v>
      </c>
      <c r="D957" s="1" t="s">
        <v>4230</v>
      </c>
      <c r="E957" s="1" t="s">
        <v>4231</v>
      </c>
      <c r="F957" s="4" t="s">
        <v>17</v>
      </c>
      <c r="G957" s="1" t="s">
        <v>18</v>
      </c>
      <c r="H957" s="1" t="s">
        <v>19</v>
      </c>
      <c r="I957" s="1" t="s">
        <v>20</v>
      </c>
      <c r="J957" s="1" t="s">
        <v>4232</v>
      </c>
      <c r="K957" s="1" t="s">
        <v>22</v>
      </c>
      <c r="L957" s="1" t="str">
        <f>HYPERLINK("https://files.afu.se/Downloads/Transcripts/0%20-%20Government/USA%20-%20NASA%20Johnson/2016 08 10 - NASA Johnson - Space Station Live  Eye Opening Results_C_hs7Gw_6g8 - transcript (automated).pdf","Transcript Link")</f>
        <v>Transcript Link</v>
      </c>
      <c r="M957" s="2" t="str">
        <f>HYPERLINK("https://files.afu.se/Downloads/Transcripts/0%20-%20Government/USA%20-%20NASA%20Johnson/2016 08 10 - NASA Johnson - Space Station Live  Eye Opening Results_C_hs7Gw_6g8 - transcript (automated).pdf","Transcript Link")</f>
        <v>Transcript Link</v>
      </c>
    </row>
    <row r="958" ht="180" spans="1:13">
      <c r="A958" s="1" t="s">
        <v>4233</v>
      </c>
      <c r="B958" s="1" t="s">
        <v>13</v>
      </c>
      <c r="C958" s="4" t="s">
        <v>4234</v>
      </c>
      <c r="D958" s="1" t="s">
        <v>4235</v>
      </c>
      <c r="E958" s="1" t="s">
        <v>2929</v>
      </c>
      <c r="F958" s="4" t="s">
        <v>17</v>
      </c>
      <c r="G958" s="1" t="s">
        <v>18</v>
      </c>
      <c r="H958" s="1" t="s">
        <v>19</v>
      </c>
      <c r="I958" s="1" t="s">
        <v>20</v>
      </c>
      <c r="J958" s="1" t="s">
        <v>4236</v>
      </c>
      <c r="K958" s="1" t="s">
        <v>22</v>
      </c>
      <c r="L958" s="1" t="str">
        <f>HYPERLINK("https://files.afu.se/Downloads/Transcripts/0%20-%20Government/USA%20-%20NASA%20Johnson/2016 08 05 - NASA Johnson - Space to Ground  Taking a Breather  08 05 2016_Hi7YK7g_LZA - transcript (automated).pdf","Transcript Link")</f>
        <v>Transcript Link</v>
      </c>
      <c r="M958" s="2" t="str">
        <f>HYPERLINK("https://files.afu.se/Downloads/Transcripts/0%20-%20Government/USA%20-%20NASA%20Johnson/2016 08 05 - NASA Johnson - Space to Ground  Taking a Breather  08 05 2016_Hi7YK7g_LZA - transcript (automated).pdf","Transcript Link")</f>
        <v>Transcript Link</v>
      </c>
    </row>
    <row r="959" ht="225" spans="1:13">
      <c r="A959" s="1" t="s">
        <v>4237</v>
      </c>
      <c r="B959" s="1" t="s">
        <v>13</v>
      </c>
      <c r="C959" s="4" t="s">
        <v>4238</v>
      </c>
      <c r="D959" s="1" t="s">
        <v>4239</v>
      </c>
      <c r="E959" s="1" t="s">
        <v>4240</v>
      </c>
      <c r="F959" s="4" t="s">
        <v>17</v>
      </c>
      <c r="G959" s="1" t="s">
        <v>18</v>
      </c>
      <c r="H959" s="1" t="s">
        <v>19</v>
      </c>
      <c r="I959" s="1" t="s">
        <v>20</v>
      </c>
      <c r="J959" s="1" t="s">
        <v>4241</v>
      </c>
      <c r="K959" s="1" t="s">
        <v>22</v>
      </c>
      <c r="L959" s="1" t="str">
        <f>HYPERLINK("https://files.afu.se/Downloads/Transcripts/0%20-%20Government/USA%20-%20NASA%20Johnson/2016 08 03 - NASA Johnson - Space Station Live  Make Room for Big Brother_JhkyhhyQo_I - transcript (automated).pdf","Transcript Link")</f>
        <v>Transcript Link</v>
      </c>
      <c r="M959" s="2" t="str">
        <f>HYPERLINK("https://files.afu.se/Downloads/Transcripts/0%20-%20Government/USA%20-%20NASA%20Johnson/2016 08 03 - NASA Johnson - Space Station Live  Make Room for Big Brother_JhkyhhyQo_I - transcript (automated).pdf","Transcript Link")</f>
        <v>Transcript Link</v>
      </c>
    </row>
    <row r="960" ht="270" spans="1:13">
      <c r="A960" s="1" t="s">
        <v>4237</v>
      </c>
      <c r="B960" s="1" t="s">
        <v>13</v>
      </c>
      <c r="C960" s="4" t="s">
        <v>4242</v>
      </c>
      <c r="D960" s="1" t="s">
        <v>4243</v>
      </c>
      <c r="E960" s="1" t="s">
        <v>4244</v>
      </c>
      <c r="F960" s="4" t="s">
        <v>17</v>
      </c>
      <c r="G960" s="1" t="s">
        <v>18</v>
      </c>
      <c r="H960" s="1" t="s">
        <v>19</v>
      </c>
      <c r="I960" s="1" t="s">
        <v>20</v>
      </c>
      <c r="J960" s="1" t="s">
        <v>4245</v>
      </c>
      <c r="K960" s="1" t="s">
        <v>22</v>
      </c>
      <c r="L960" s="1" t="str">
        <f>HYPERLINK("https://files.afu.se/Downloads/Transcripts/0%20-%20Government/USA%20-%20NASA%20Johnson/2016 08 03 - NASA Johnson - Orion Backstage  Up the Hatch with Astronauts_X-I0katihQo - transcript (automated).pdf","Transcript Link")</f>
        <v>Transcript Link</v>
      </c>
      <c r="M960" s="2" t="str">
        <f>HYPERLINK("https://files.afu.se/Downloads/Transcripts/0%20-%20Government/USA%20-%20NASA%20Johnson/2016 08 03 - NASA Johnson - Orion Backstage  Up the Hatch with Astronauts_X-I0katihQo - transcript (automated).pdf","Transcript Link")</f>
        <v>Transcript Link</v>
      </c>
    </row>
    <row r="961" ht="195" spans="1:13">
      <c r="A961" s="1" t="s">
        <v>4246</v>
      </c>
      <c r="B961" s="1" t="s">
        <v>13</v>
      </c>
      <c r="C961" s="4" t="s">
        <v>4247</v>
      </c>
      <c r="D961" s="1" t="s">
        <v>4248</v>
      </c>
      <c r="E961" s="1" t="s">
        <v>4249</v>
      </c>
      <c r="F961" s="4" t="s">
        <v>17</v>
      </c>
      <c r="G961" s="1" t="s">
        <v>18</v>
      </c>
      <c r="H961" s="1" t="s">
        <v>19</v>
      </c>
      <c r="I961" s="1" t="s">
        <v>20</v>
      </c>
      <c r="J961" s="1" t="s">
        <v>4250</v>
      </c>
      <c r="K961" s="1" t="s">
        <v>22</v>
      </c>
      <c r="L961" s="1" t="str">
        <f>HYPERLINK("https://files.afu.se/Downloads/Transcripts/0%20-%20Government/USA%20-%20NASA%20Johnson/2016 07 29 - NASA Johnson - Space to Ground  From The Heart  07 29 2016_hJl5J8M2H-Q - transcript (automated).pdf","Transcript Link")</f>
        <v>Transcript Link</v>
      </c>
      <c r="M961" s="2" t="str">
        <f>HYPERLINK("https://files.afu.se/Downloads/Transcripts/0%20-%20Government/USA%20-%20NASA%20Johnson/2016 07 29 - NASA Johnson - Space to Ground  From The Heart  07 29 2016_hJl5J8M2H-Q - transcript (automated).pdf","Transcript Link")</f>
        <v>Transcript Link</v>
      </c>
    </row>
    <row r="962" ht="195" spans="1:13">
      <c r="A962" s="1" t="s">
        <v>4251</v>
      </c>
      <c r="B962" s="1" t="s">
        <v>13</v>
      </c>
      <c r="C962" s="4" t="s">
        <v>4252</v>
      </c>
      <c r="D962" s="1" t="s">
        <v>4253</v>
      </c>
      <c r="E962" s="1" t="s">
        <v>4254</v>
      </c>
      <c r="F962" s="4" t="s">
        <v>17</v>
      </c>
      <c r="G962" s="1" t="s">
        <v>18</v>
      </c>
      <c r="H962" s="1" t="s">
        <v>19</v>
      </c>
      <c r="I962" s="1" t="s">
        <v>20</v>
      </c>
      <c r="J962" s="1" t="s">
        <v>4255</v>
      </c>
      <c r="K962" s="1" t="s">
        <v>22</v>
      </c>
      <c r="L962" s="1" t="str">
        <f>HYPERLINK("https://files.afu.se/Downloads/Transcripts/0%20-%20Government/USA%20-%20NASA%20Johnson/2016 07 28 - NASA Johnson - Space Station Live  How the Garden Grows in Zero G_GiUvFpUK0ME - transcript (automated).pdf","Transcript Link")</f>
        <v>Transcript Link</v>
      </c>
      <c r="M962" s="2" t="str">
        <f>HYPERLINK("https://files.afu.se/Downloads/Transcripts/0%20-%20Government/USA%20-%20NASA%20Johnson/2016 07 28 - NASA Johnson - Space Station Live  How the Garden Grows in Zero G_GiUvFpUK0ME - transcript (automated).pdf","Transcript Link")</f>
        <v>Transcript Link</v>
      </c>
    </row>
    <row r="963" ht="240" spans="1:13">
      <c r="A963" s="1" t="s">
        <v>4256</v>
      </c>
      <c r="B963" s="1" t="s">
        <v>13</v>
      </c>
      <c r="C963" s="4" t="s">
        <v>4257</v>
      </c>
      <c r="D963" s="1" t="s">
        <v>4258</v>
      </c>
      <c r="E963" s="1" t="s">
        <v>4259</v>
      </c>
      <c r="F963" s="4" t="s">
        <v>17</v>
      </c>
      <c r="G963" s="1" t="s">
        <v>18</v>
      </c>
      <c r="H963" s="1" t="s">
        <v>19</v>
      </c>
      <c r="I963" s="1" t="s">
        <v>20</v>
      </c>
      <c r="J963" s="1" t="s">
        <v>4260</v>
      </c>
      <c r="K963" s="1" t="s">
        <v>22</v>
      </c>
      <c r="L963" s="1" t="str">
        <f>HYPERLINK("https://files.afu.se/Downloads/Transcripts/0%20-%20Government/USA%20-%20NASA%20Johnson/2016 07 26 - NASA Johnson - Space Station Live  Hooking Up the New Docking Hardware_iHomPzdPcH4 - transcript (automated).pdf","Transcript Link")</f>
        <v>Transcript Link</v>
      </c>
      <c r="M963" s="2" t="str">
        <f>HYPERLINK("https://files.afu.se/Downloads/Transcripts/0%20-%20Government/USA%20-%20NASA%20Johnson/2016 07 26 - NASA Johnson - Space Station Live  Hooking Up the New Docking Hardware_iHomPzdPcH4 - transcript (automated).pdf","Transcript Link")</f>
        <v>Transcript Link</v>
      </c>
    </row>
    <row r="964" ht="180" spans="1:13">
      <c r="A964" s="1" t="s">
        <v>4261</v>
      </c>
      <c r="B964" s="1" t="s">
        <v>13</v>
      </c>
      <c r="C964" s="4" t="s">
        <v>4262</v>
      </c>
      <c r="D964" s="1" t="s">
        <v>4263</v>
      </c>
      <c r="E964" s="1" t="s">
        <v>4264</v>
      </c>
      <c r="F964" s="4" t="s">
        <v>17</v>
      </c>
      <c r="G964" s="1" t="s">
        <v>18</v>
      </c>
      <c r="H964" s="1" t="s">
        <v>19</v>
      </c>
      <c r="I964" s="1" t="s">
        <v>20</v>
      </c>
      <c r="J964" s="1" t="s">
        <v>4265</v>
      </c>
      <c r="K964" s="1" t="s">
        <v>22</v>
      </c>
      <c r="L964" s="1" t="str">
        <f>HYPERLINK("https://files.afu.se/Downloads/Transcripts/0%20-%20Government/USA%20-%20NASA%20Johnson/2016 07 23 - NASA Johnson - Tale of Two Ships_1-awgz5DfeU - transcript (automated).pdf","Transcript Link")</f>
        <v>Transcript Link</v>
      </c>
      <c r="M964" s="2" t="str">
        <f>HYPERLINK("https://files.afu.se/Downloads/Transcripts/0%20-%20Government/USA%20-%20NASA%20Johnson/2016 07 23 - NASA Johnson - Tale of Two Ships_1-awgz5DfeU - transcript (automated).pdf","Transcript Link")</f>
        <v>Transcript Link</v>
      </c>
    </row>
    <row r="965" ht="409.5" spans="1:13">
      <c r="A965" s="1" t="s">
        <v>4266</v>
      </c>
      <c r="B965" s="1" t="s">
        <v>13</v>
      </c>
      <c r="C965" s="4" t="s">
        <v>4267</v>
      </c>
      <c r="D965" s="1" t="s">
        <v>4268</v>
      </c>
      <c r="E965" s="1" t="s">
        <v>4269</v>
      </c>
      <c r="F965" s="4" t="s">
        <v>17</v>
      </c>
      <c r="G965" s="1" t="s">
        <v>18</v>
      </c>
      <c r="H965" s="1" t="s">
        <v>19</v>
      </c>
      <c r="I965" s="1" t="s">
        <v>20</v>
      </c>
      <c r="J965" s="1" t="s">
        <v>4270</v>
      </c>
      <c r="K965" s="1" t="s">
        <v>22</v>
      </c>
      <c r="L965" s="1" t="str">
        <f>HYPERLINK("https://files.afu.se/Downloads/Transcripts/0%20-%20Government/USA%20-%20NASA%20Johnson/2016 07 22 - NASA Johnson - NASA  On the Edge of Forever_-yHH6Uf5Fps - transcript (automated).pdf","Transcript Link")</f>
        <v>Transcript Link</v>
      </c>
      <c r="M965" s="2" t="str">
        <f>HYPERLINK("https://files.afu.se/Downloads/Transcripts/0%20-%20Government/USA%20-%20NASA%20Johnson/2016 07 22 - NASA Johnson - NASA  On the Edge of Forever_-yHH6Uf5Fps - transcript (automated).pdf","Transcript Link")</f>
        <v>Transcript Link</v>
      </c>
    </row>
    <row r="966" ht="180" spans="1:13">
      <c r="A966" s="1" t="s">
        <v>4266</v>
      </c>
      <c r="B966" s="1" t="s">
        <v>13</v>
      </c>
      <c r="C966" s="4" t="s">
        <v>4271</v>
      </c>
      <c r="D966" s="1" t="s">
        <v>4272</v>
      </c>
      <c r="E966" s="1" t="s">
        <v>4273</v>
      </c>
      <c r="F966" s="4" t="s">
        <v>17</v>
      </c>
      <c r="G966" s="1" t="s">
        <v>18</v>
      </c>
      <c r="H966" s="1" t="s">
        <v>19</v>
      </c>
      <c r="I966" s="1" t="s">
        <v>20</v>
      </c>
      <c r="J966" s="1" t="s">
        <v>4274</v>
      </c>
      <c r="K966" s="1" t="s">
        <v>22</v>
      </c>
      <c r="L966" s="1" t="str">
        <f>HYPERLINK("https://files.afu.se/Downloads/Transcripts/0%20-%20Government/USA%20-%20NASA%20Johnson/2016 07 22 - NASA Johnson - Space to Ground  Double Down  07 22 2016_OCbPTwrIuWg - transcript (automated).pdf","Transcript Link")</f>
        <v>Transcript Link</v>
      </c>
      <c r="M966" s="2" t="str">
        <f>HYPERLINK("https://files.afu.se/Downloads/Transcripts/0%20-%20Government/USA%20-%20NASA%20Johnson/2016 07 22 - NASA Johnson - Space to Ground  Double Down  07 22 2016_OCbPTwrIuWg - transcript (automated).pdf","Transcript Link")</f>
        <v>Transcript Link</v>
      </c>
    </row>
    <row r="967" ht="225" spans="1:13">
      <c r="A967" s="1" t="s">
        <v>4275</v>
      </c>
      <c r="B967" s="1" t="s">
        <v>13</v>
      </c>
      <c r="C967" s="4" t="s">
        <v>4276</v>
      </c>
      <c r="D967" s="1" t="s">
        <v>4277</v>
      </c>
      <c r="E967" s="1" t="s">
        <v>4278</v>
      </c>
      <c r="F967" s="4" t="s">
        <v>17</v>
      </c>
      <c r="G967" s="1" t="s">
        <v>18</v>
      </c>
      <c r="H967" s="1" t="s">
        <v>19</v>
      </c>
      <c r="I967" s="1" t="s">
        <v>20</v>
      </c>
      <c r="J967" s="1" t="s">
        <v>4279</v>
      </c>
      <c r="K967" s="1" t="s">
        <v>22</v>
      </c>
      <c r="L967" s="1" t="str">
        <f>HYPERLINK("https://files.afu.se/Downloads/Transcripts/0%20-%20Government/USA%20-%20NASA%20Johnson/2016 07 21 - NASA Johnson - Space Station Live  Big DNA Science in a Small Package_x0K7yi6yi4Y - transcript (automated).pdf","Transcript Link")</f>
        <v>Transcript Link</v>
      </c>
      <c r="M967" s="2" t="str">
        <f>HYPERLINK("https://files.afu.se/Downloads/Transcripts/0%20-%20Government/USA%20-%20NASA%20Johnson/2016 07 21 - NASA Johnson - Space Station Live  Big DNA Science in a Small Package_x0K7yi6yi4Y - transcript (automated).pdf","Transcript Link")</f>
        <v>Transcript Link</v>
      </c>
    </row>
    <row r="968" ht="180" spans="1:13">
      <c r="A968" s="1" t="s">
        <v>4280</v>
      </c>
      <c r="B968" s="1" t="s">
        <v>13</v>
      </c>
      <c r="C968" s="4" t="s">
        <v>4281</v>
      </c>
      <c r="D968" s="1" t="s">
        <v>4282</v>
      </c>
      <c r="E968" s="1" t="s">
        <v>4283</v>
      </c>
      <c r="F968" s="4" t="s">
        <v>17</v>
      </c>
      <c r="G968" s="1" t="s">
        <v>18</v>
      </c>
      <c r="H968" s="1" t="s">
        <v>19</v>
      </c>
      <c r="I968" s="1" t="s">
        <v>20</v>
      </c>
      <c r="J968" s="1" t="s">
        <v>4284</v>
      </c>
      <c r="K968" s="1" t="s">
        <v>22</v>
      </c>
      <c r="L968" s="1" t="str">
        <f>HYPERLINK("https://files.afu.se/Downloads/Transcripts/0%20-%20Government/USA%20-%20NASA%20Johnson/2016 07 19 - NASA Johnson - Space Station Live  Looking Into Space Vision Issues_37j7NNV-_A0 - transcript (automated).pdf","Transcript Link")</f>
        <v>Transcript Link</v>
      </c>
      <c r="M968" s="2" t="str">
        <f>HYPERLINK("https://files.afu.se/Downloads/Transcripts/0%20-%20Government/USA%20-%20NASA%20Johnson/2016 07 19 - NASA Johnson - Space Station Live  Looking Into Space Vision Issues_37j7NNV-_A0 - transcript (automated).pdf","Transcript Link")</f>
        <v>Transcript Link</v>
      </c>
    </row>
    <row r="969" ht="180" spans="1:13">
      <c r="A969" s="1" t="s">
        <v>4285</v>
      </c>
      <c r="B969" s="1" t="s">
        <v>13</v>
      </c>
      <c r="C969" s="4" t="s">
        <v>4286</v>
      </c>
      <c r="D969" s="1" t="s">
        <v>4287</v>
      </c>
      <c r="E969" s="1" t="s">
        <v>2929</v>
      </c>
      <c r="F969" s="4" t="s">
        <v>17</v>
      </c>
      <c r="G969" s="1" t="s">
        <v>18</v>
      </c>
      <c r="H969" s="1" t="s">
        <v>19</v>
      </c>
      <c r="I969" s="1" t="s">
        <v>20</v>
      </c>
      <c r="J969" s="1" t="s">
        <v>4288</v>
      </c>
      <c r="K969" s="1" t="s">
        <v>22</v>
      </c>
      <c r="L969" s="1" t="str">
        <f>HYPERLINK("https://files.afu.se/Downloads/Transcripts/0%20-%20Government/USA%20-%20NASA%20Johnson/2016 07 15 - NASA Johnson - Space-to-Ground  A New Crew Arrives  07 15 2016_uyEqztKclx8 - transcript (automated).pdf","Transcript Link")</f>
        <v>Transcript Link</v>
      </c>
      <c r="M969" s="2" t="str">
        <f>HYPERLINK("https://files.afu.se/Downloads/Transcripts/0%20-%20Government/USA%20-%20NASA%20Johnson/2016 07 15 - NASA Johnson - Space-to-Ground  A New Crew Arrives  07 15 2016_uyEqztKclx8 - transcript (automated).pdf","Transcript Link")</f>
        <v>Transcript Link</v>
      </c>
    </row>
    <row r="970" ht="180" spans="1:13">
      <c r="A970" s="1" t="s">
        <v>4289</v>
      </c>
      <c r="B970" s="1" t="s">
        <v>13</v>
      </c>
      <c r="C970" s="4" t="s">
        <v>4290</v>
      </c>
      <c r="D970" s="1" t="s">
        <v>4291</v>
      </c>
      <c r="E970" s="1" t="s">
        <v>4292</v>
      </c>
      <c r="F970" s="4" t="s">
        <v>17</v>
      </c>
      <c r="G970" s="1" t="s">
        <v>18</v>
      </c>
      <c r="H970" s="1" t="s">
        <v>19</v>
      </c>
      <c r="I970" s="1" t="s">
        <v>20</v>
      </c>
      <c r="J970" s="1" t="s">
        <v>4293</v>
      </c>
      <c r="K970" s="1" t="s">
        <v>22</v>
      </c>
      <c r="L970" s="1" t="str">
        <f>HYPERLINK("https://files.afu.se/Downloads/Transcripts/0%20-%20Government/USA%20-%20NASA%20Johnson/2016 07 14 - NASA Johnson - Space Station Live  The Heart of the Matter_99tglc1o04U - transcript (automated).pdf","Transcript Link")</f>
        <v>Transcript Link</v>
      </c>
      <c r="M970" s="2" t="str">
        <f>HYPERLINK("https://files.afu.se/Downloads/Transcripts/0%20-%20Government/USA%20-%20NASA%20Johnson/2016 07 14 - NASA Johnson - Space Station Live  The Heart of the Matter_99tglc1o04U - transcript (automated).pdf","Transcript Link")</f>
        <v>Transcript Link</v>
      </c>
    </row>
    <row r="971" ht="180" spans="1:13">
      <c r="A971" s="1" t="s">
        <v>4294</v>
      </c>
      <c r="B971" s="1" t="s">
        <v>13</v>
      </c>
      <c r="C971" s="4" t="s">
        <v>4295</v>
      </c>
      <c r="D971" s="1" t="s">
        <v>4296</v>
      </c>
      <c r="E971" s="1" t="s">
        <v>4297</v>
      </c>
      <c r="F971" s="4" t="s">
        <v>17</v>
      </c>
      <c r="G971" s="1" t="s">
        <v>18</v>
      </c>
      <c r="H971" s="1" t="s">
        <v>19</v>
      </c>
      <c r="I971" s="1" t="s">
        <v>20</v>
      </c>
      <c r="J971" s="1" t="s">
        <v>4298</v>
      </c>
      <c r="K971" s="1" t="s">
        <v>22</v>
      </c>
      <c r="L971" s="1" t="str">
        <f>HYPERLINK("https://files.afu.se/Downloads/Transcripts/0%20-%20Government/USA%20-%20NASA%20Johnson/2016 07 09 - NASA Johnson - New Crew Completes Two-Day Trip to Station_yAQJsHaQ41E - transcript (automated).pdf","Transcript Link")</f>
        <v>Transcript Link</v>
      </c>
      <c r="M971" s="2" t="str">
        <f>HYPERLINK("https://files.afu.se/Downloads/Transcripts/0%20-%20Government/USA%20-%20NASA%20Johnson/2016 07 09 - NASA Johnson - New Crew Completes Two-Day Trip to Station_yAQJsHaQ41E - transcript (automated).pdf","Transcript Link")</f>
        <v>Transcript Link</v>
      </c>
    </row>
    <row r="972" ht="285" spans="1:13">
      <c r="A972" s="1" t="s">
        <v>4294</v>
      </c>
      <c r="B972" s="1" t="s">
        <v>13</v>
      </c>
      <c r="C972" s="4" t="s">
        <v>4299</v>
      </c>
      <c r="D972" s="1" t="s">
        <v>4300</v>
      </c>
      <c r="E972" s="1" t="s">
        <v>4301</v>
      </c>
      <c r="F972" s="4" t="s">
        <v>17</v>
      </c>
      <c r="G972" s="1" t="s">
        <v>18</v>
      </c>
      <c r="H972" s="1" t="s">
        <v>19</v>
      </c>
      <c r="I972" s="1" t="s">
        <v>20</v>
      </c>
      <c r="J972" s="1" t="s">
        <v>4302</v>
      </c>
      <c r="K972" s="1" t="s">
        <v>22</v>
      </c>
      <c r="L972" s="1" t="str">
        <f>HYPERLINK("https://files.afu.se/Downloads/Transcripts/0%20-%20Government/USA%20-%20NASA%20Johnson/2016 07 09 - NASA Johnson - Rubins, Ivanishin and Onishi Arrive to Space Station_dTJoDVBOxPE - transcript (automated).pdf","Transcript Link")</f>
        <v>Transcript Link</v>
      </c>
      <c r="M972" s="2" t="str">
        <f>HYPERLINK("https://files.afu.se/Downloads/Transcripts/0%20-%20Government/USA%20-%20NASA%20Johnson/2016 07 09 - NASA Johnson - Rubins, Ivanishin and Onishi Arrive to Space Station_dTJoDVBOxPE - transcript (automated).pdf","Transcript Link")</f>
        <v>Transcript Link</v>
      </c>
    </row>
    <row r="973" ht="180" spans="1:13">
      <c r="A973" s="1" t="s">
        <v>4303</v>
      </c>
      <c r="B973" s="1" t="s">
        <v>13</v>
      </c>
      <c r="C973" s="4" t="s">
        <v>4304</v>
      </c>
      <c r="D973" s="1" t="s">
        <v>4305</v>
      </c>
      <c r="E973" s="1" t="s">
        <v>4306</v>
      </c>
      <c r="F973" s="4" t="s">
        <v>17</v>
      </c>
      <c r="G973" s="1" t="s">
        <v>18</v>
      </c>
      <c r="H973" s="1" t="s">
        <v>19</v>
      </c>
      <c r="I973" s="1" t="s">
        <v>20</v>
      </c>
      <c r="J973" s="1" t="s">
        <v>4307</v>
      </c>
      <c r="K973" s="1" t="s">
        <v>22</v>
      </c>
      <c r="L973" s="1" t="str">
        <f>HYPERLINK("https://files.afu.se/Downloads/Transcripts/0%20-%20Government/USA%20-%20NASA%20Johnson/2016 07 08 - NASA Johnson - Space Station Live  TReKking Station Science_5xGcAJtkBUg - transcript (automated).pdf","Transcript Link")</f>
        <v>Transcript Link</v>
      </c>
      <c r="M973" s="2" t="str">
        <f>HYPERLINK("https://files.afu.se/Downloads/Transcripts/0%20-%20Government/USA%20-%20NASA%20Johnson/2016 07 08 - NASA Johnson - Space Station Live  TReKking Station Science_5xGcAJtkBUg - transcript (automated).pdf","Transcript Link")</f>
        <v>Transcript Link</v>
      </c>
    </row>
    <row r="974" ht="180" spans="1:13">
      <c r="A974" s="1" t="s">
        <v>4303</v>
      </c>
      <c r="B974" s="1" t="s">
        <v>13</v>
      </c>
      <c r="C974" s="4" t="s">
        <v>4308</v>
      </c>
      <c r="D974" s="1" t="s">
        <v>4309</v>
      </c>
      <c r="E974" s="1" t="s">
        <v>2929</v>
      </c>
      <c r="F974" s="4" t="s">
        <v>17</v>
      </c>
      <c r="G974" s="1" t="s">
        <v>18</v>
      </c>
      <c r="H974" s="1" t="s">
        <v>19</v>
      </c>
      <c r="I974" s="1" t="s">
        <v>20</v>
      </c>
      <c r="J974" s="1" t="s">
        <v>4310</v>
      </c>
      <c r="K974" s="1" t="s">
        <v>22</v>
      </c>
      <c r="L974" s="1" t="str">
        <f>HYPERLINK("https://files.afu.se/Downloads/Transcripts/0%20-%20Government/USA%20-%20NASA%20Johnson/2016 07 08 - NASA Johnson - Space-to-Ground  New Crew, New Ride  07 08 2016_2B0azyRf4QU - transcript (automated).pdf","Transcript Link")</f>
        <v>Transcript Link</v>
      </c>
      <c r="M974" s="2" t="str">
        <f>HYPERLINK("https://files.afu.se/Downloads/Transcripts/0%20-%20Government/USA%20-%20NASA%20Johnson/2016 07 08 - NASA Johnson - Space-to-Ground  New Crew, New Ride  07 08 2016_2B0azyRf4QU - transcript (automated).pdf","Transcript Link")</f>
        <v>Transcript Link</v>
      </c>
    </row>
    <row r="975" ht="180" spans="1:13">
      <c r="A975" s="1" t="s">
        <v>4303</v>
      </c>
      <c r="B975" s="1" t="s">
        <v>13</v>
      </c>
      <c r="C975" s="4" t="s">
        <v>4311</v>
      </c>
      <c r="D975" s="1" t="s">
        <v>4312</v>
      </c>
      <c r="E975" s="1" t="s">
        <v>4313</v>
      </c>
      <c r="F975" s="4" t="s">
        <v>17</v>
      </c>
      <c r="G975" s="1" t="s">
        <v>18</v>
      </c>
      <c r="H975" s="1" t="s">
        <v>19</v>
      </c>
      <c r="I975" s="1" t="s">
        <v>20</v>
      </c>
      <c r="J975" s="1" t="s">
        <v>4314</v>
      </c>
      <c r="K975" s="1" t="s">
        <v>22</v>
      </c>
      <c r="L975" s="1" t="str">
        <f>HYPERLINK("https://files.afu.se/Downloads/Transcripts/0%20-%20Government/USA%20-%20NASA%20Johnson/2016 07 08 - NASA Johnson - Moment with Kate Rubins_3y6jNsuSrz4 - transcript (automated).pdf","Transcript Link")</f>
        <v>Transcript Link</v>
      </c>
      <c r="M975" s="2" t="str">
        <f>HYPERLINK("https://files.afu.se/Downloads/Transcripts/0%20-%20Government/USA%20-%20NASA%20Johnson/2016 07 08 - NASA Johnson - Moment with Kate Rubins_3y6jNsuSrz4 - transcript (automated).pdf","Transcript Link")</f>
        <v>Transcript Link</v>
      </c>
    </row>
    <row r="976" ht="180" spans="1:13">
      <c r="A976" s="1" t="s">
        <v>4315</v>
      </c>
      <c r="B976" s="1" t="s">
        <v>13</v>
      </c>
      <c r="C976" s="4" t="s">
        <v>4316</v>
      </c>
      <c r="D976" s="1" t="s">
        <v>4317</v>
      </c>
      <c r="E976" s="1" t="s">
        <v>4318</v>
      </c>
      <c r="F976" s="4" t="s">
        <v>17</v>
      </c>
      <c r="G976" s="1" t="s">
        <v>18</v>
      </c>
      <c r="H976" s="1" t="s">
        <v>19</v>
      </c>
      <c r="I976" s="1" t="s">
        <v>20</v>
      </c>
      <c r="J976" s="1" t="s">
        <v>4319</v>
      </c>
      <c r="K976" s="1" t="s">
        <v>22</v>
      </c>
      <c r="L976" s="1" t="str">
        <f>HYPERLINK("https://files.afu.se/Downloads/Transcripts/0%20-%20Government/USA%20-%20NASA%20Johnson/2016 07 07 - NASA Johnson - Monthly ISS Research Video Update for July 2016_QE0LbWntBv4 - transcript (automated).pdf","Transcript Link")</f>
        <v>Transcript Link</v>
      </c>
      <c r="M976" s="2" t="str">
        <f>HYPERLINK("https://files.afu.se/Downloads/Transcripts/0%20-%20Government/USA%20-%20NASA%20Johnson/2016 07 07 - NASA Johnson - Monthly ISS Research Video Update for July 2016_QE0LbWntBv4 - transcript (automated).pdf","Transcript Link")</f>
        <v>Transcript Link</v>
      </c>
    </row>
    <row r="977" ht="180" spans="1:13">
      <c r="A977" s="1" t="s">
        <v>4315</v>
      </c>
      <c r="B977" s="1" t="s">
        <v>13</v>
      </c>
      <c r="C977" s="4" t="s">
        <v>4320</v>
      </c>
      <c r="D977" s="1" t="s">
        <v>4321</v>
      </c>
      <c r="E977" s="1" t="s">
        <v>4322</v>
      </c>
      <c r="F977" s="4" t="s">
        <v>17</v>
      </c>
      <c r="G977" s="1" t="s">
        <v>18</v>
      </c>
      <c r="H977" s="1" t="s">
        <v>19</v>
      </c>
      <c r="I977" s="1" t="s">
        <v>20</v>
      </c>
      <c r="J977" s="1" t="s">
        <v>4323</v>
      </c>
      <c r="K977" s="1" t="s">
        <v>22</v>
      </c>
      <c r="L977" s="1" t="str">
        <f>HYPERLINK("https://files.afu.se/Downloads/Transcripts/0%20-%20Government/USA%20-%20NASA%20Johnson/2016 07 07 - NASA Johnson - Space Station Live  The New, Improved Soyuz Spacecraft_vsdklArMnCU - transcript (automated).pdf","Transcript Link")</f>
        <v>Transcript Link</v>
      </c>
      <c r="M977" s="2" t="str">
        <f>HYPERLINK("https://files.afu.se/Downloads/Transcripts/0%20-%20Government/USA%20-%20NASA%20Johnson/2016 07 07 - NASA Johnson - Space Station Live  The New, Improved Soyuz Spacecraft_vsdklArMnCU - transcript (automated).pdf","Transcript Link")</f>
        <v>Transcript Link</v>
      </c>
    </row>
    <row r="978" ht="210" spans="1:13">
      <c r="A978" s="1" t="s">
        <v>4315</v>
      </c>
      <c r="B978" s="1" t="s">
        <v>13</v>
      </c>
      <c r="C978" s="4" t="s">
        <v>4324</v>
      </c>
      <c r="D978" s="1" t="s">
        <v>4325</v>
      </c>
      <c r="E978" s="1" t="s">
        <v>4326</v>
      </c>
      <c r="F978" s="4" t="s">
        <v>17</v>
      </c>
      <c r="G978" s="1" t="s">
        <v>18</v>
      </c>
      <c r="H978" s="1" t="s">
        <v>19</v>
      </c>
      <c r="I978" s="1" t="s">
        <v>20</v>
      </c>
      <c r="J978" s="1" t="s">
        <v>4327</v>
      </c>
      <c r="K978" s="1" t="s">
        <v>22</v>
      </c>
      <c r="L978" s="1" t="str">
        <f>HYPERLINK("https://files.afu.se/Downloads/Transcripts/0%20-%20Government/USA%20-%20NASA%20Johnson/2016 07 07 - NASA Johnson - Expedition 48-49 launches to the ISS_q6A8nparbuk - transcript (automated).pdf","Transcript Link")</f>
        <v>Transcript Link</v>
      </c>
      <c r="M978" s="2" t="str">
        <f>HYPERLINK("https://files.afu.se/Downloads/Transcripts/0%20-%20Government/USA%20-%20NASA%20Johnson/2016 07 07 - NASA Johnson - Expedition 48-49 launches to the ISS_q6A8nparbuk - transcript (automated).pdf","Transcript Link")</f>
        <v>Transcript Link</v>
      </c>
    </row>
    <row r="979" ht="285" spans="1:13">
      <c r="A979" s="1" t="s">
        <v>4328</v>
      </c>
      <c r="B979" s="1" t="s">
        <v>13</v>
      </c>
      <c r="C979" s="4" t="s">
        <v>4329</v>
      </c>
      <c r="D979" s="1" t="s">
        <v>4330</v>
      </c>
      <c r="E979" s="1" t="s">
        <v>4331</v>
      </c>
      <c r="F979" s="4" t="s">
        <v>17</v>
      </c>
      <c r="G979" s="1" t="s">
        <v>18</v>
      </c>
      <c r="H979" s="1" t="s">
        <v>19</v>
      </c>
      <c r="I979" s="1" t="s">
        <v>20</v>
      </c>
      <c r="J979" s="1" t="s">
        <v>4332</v>
      </c>
      <c r="K979" s="1" t="s">
        <v>22</v>
      </c>
      <c r="L979" s="1" t="str">
        <f>HYPERLINK("https://files.afu.se/Downloads/Transcripts/0%20-%20Government/USA%20-%20NASA%20Johnson/2016 07 06 - NASA Johnson - Ready for Flight_6VPaf525lF0 - transcript (automated).pdf","Transcript Link")</f>
        <v>Transcript Link</v>
      </c>
      <c r="M979" s="2" t="str">
        <f>HYPERLINK("https://files.afu.se/Downloads/Transcripts/0%20-%20Government/USA%20-%20NASA%20Johnson/2016 07 06 - NASA Johnson - Ready for Flight_6VPaf525lF0 - transcript (automated).pdf","Transcript Link")</f>
        <v>Transcript Link</v>
      </c>
    </row>
    <row r="980" ht="180" spans="1:13">
      <c r="A980" s="1" t="s">
        <v>4333</v>
      </c>
      <c r="B980" s="1" t="s">
        <v>13</v>
      </c>
      <c r="C980" s="4" t="s">
        <v>4334</v>
      </c>
      <c r="D980" s="1" t="s">
        <v>4335</v>
      </c>
      <c r="E980" s="1" t="s">
        <v>4336</v>
      </c>
      <c r="F980" s="4" t="s">
        <v>17</v>
      </c>
      <c r="G980" s="1" t="s">
        <v>18</v>
      </c>
      <c r="H980" s="1" t="s">
        <v>19</v>
      </c>
      <c r="I980" s="1" t="s">
        <v>20</v>
      </c>
      <c r="J980" s="1" t="s">
        <v>4337</v>
      </c>
      <c r="K980" s="1" t="s">
        <v>22</v>
      </c>
      <c r="L980" s="1" t="str">
        <f>HYPERLINK("https://files.afu.se/Downloads/Transcripts/0%20-%20Government/USA%20-%20NASA%20Johnson/2016 07 04 - NASA Johnson - The Expedition 48-49 Soyuz Rocket Comes Together and Moves to Its Launch Pad_JW0jGcNO7V8 - transcript (automated).pdf","Transcript Link")</f>
        <v>Transcript Link</v>
      </c>
      <c r="M980" s="2" t="str">
        <f>HYPERLINK("https://files.afu.se/Downloads/Transcripts/0%20-%20Government/USA%20-%20NASA%20Johnson/2016 07 04 - NASA Johnson - The Expedition 48-49 Soyuz Rocket Comes Together and Moves to Its Launch Pad_JW0jGcNO7V8 - transcript (automated).pdf","Transcript Link")</f>
        <v>Transcript Link</v>
      </c>
    </row>
    <row r="981" ht="180" spans="1:13">
      <c r="A981" s="1" t="s">
        <v>4338</v>
      </c>
      <c r="B981" s="1" t="s">
        <v>13</v>
      </c>
      <c r="C981" s="4" t="s">
        <v>4339</v>
      </c>
      <c r="D981" s="1" t="s">
        <v>4340</v>
      </c>
      <c r="E981" s="1" t="s">
        <v>4341</v>
      </c>
      <c r="F981" s="4" t="s">
        <v>17</v>
      </c>
      <c r="G981" s="1" t="s">
        <v>18</v>
      </c>
      <c r="H981" s="1" t="s">
        <v>19</v>
      </c>
      <c r="I981" s="1" t="s">
        <v>20</v>
      </c>
      <c r="J981" s="1" t="s">
        <v>4342</v>
      </c>
      <c r="K981" s="1" t="s">
        <v>22</v>
      </c>
      <c r="L981" s="1" t="str">
        <f>HYPERLINK("https://files.afu.se/Downloads/Transcripts/0%20-%20Government/USA%20-%20NASA%20Johnson/2016 07 02 - NASA Johnson - Cargo Ship Succesfully Re-Docks After Test_HbWFaw6uDUU - transcript (automated).pdf","Transcript Link")</f>
        <v>Transcript Link</v>
      </c>
      <c r="M981" s="2" t="str">
        <f>HYPERLINK("https://files.afu.se/Downloads/Transcripts/0%20-%20Government/USA%20-%20NASA%20Johnson/2016 07 02 - NASA Johnson - Cargo Ship Succesfully Re-Docks After Test_HbWFaw6uDUU - transcript (automated).pdf","Transcript Link")</f>
        <v>Transcript Link</v>
      </c>
    </row>
    <row r="982" ht="180" spans="1:13">
      <c r="A982" s="1" t="s">
        <v>4338</v>
      </c>
      <c r="B982" s="1" t="s">
        <v>13</v>
      </c>
      <c r="C982" s="4" t="s">
        <v>4343</v>
      </c>
      <c r="D982" s="1" t="s">
        <v>4344</v>
      </c>
      <c r="E982" s="1" t="s">
        <v>4345</v>
      </c>
      <c r="F982" s="4" t="s">
        <v>17</v>
      </c>
      <c r="G982" s="1" t="s">
        <v>18</v>
      </c>
      <c r="H982" s="1" t="s">
        <v>19</v>
      </c>
      <c r="I982" s="1" t="s">
        <v>20</v>
      </c>
      <c r="J982" s="1" t="s">
        <v>4346</v>
      </c>
      <c r="K982" s="1" t="s">
        <v>22</v>
      </c>
      <c r="L982" s="1" t="str">
        <f>HYPERLINK("https://files.afu.se/Downloads/Transcripts/0%20-%20Government/USA%20-%20NASA%20Johnson/2016 07 02 - NASA Johnson - Expedition 48-49 Crew Final Launch Preparations in Kazakhstan_Fdn8c7Bm5hw - transcript (automated).pdf","Transcript Link")</f>
        <v>Transcript Link</v>
      </c>
      <c r="M982" s="2" t="str">
        <f>HYPERLINK("https://files.afu.se/Downloads/Transcripts/0%20-%20Government/USA%20-%20NASA%20Johnson/2016 07 02 - NASA Johnson - Expedition 48-49 Crew Final Launch Preparations in Kazakhstan_Fdn8c7Bm5hw - transcript (automated).pdf","Transcript Link")</f>
        <v>Transcript Link</v>
      </c>
    </row>
    <row r="983" ht="180" spans="1:13">
      <c r="A983" s="1" t="s">
        <v>4347</v>
      </c>
      <c r="B983" s="1" t="s">
        <v>13</v>
      </c>
      <c r="C983" s="4" t="s">
        <v>4348</v>
      </c>
      <c r="D983" s="1" t="s">
        <v>4349</v>
      </c>
      <c r="E983" s="1" t="s">
        <v>2929</v>
      </c>
      <c r="F983" s="4" t="s">
        <v>17</v>
      </c>
      <c r="G983" s="1" t="s">
        <v>18</v>
      </c>
      <c r="H983" s="1" t="s">
        <v>19</v>
      </c>
      <c r="I983" s="1" t="s">
        <v>20</v>
      </c>
      <c r="J983" s="1" t="s">
        <v>4350</v>
      </c>
      <c r="K983" s="1" t="s">
        <v>22</v>
      </c>
      <c r="L983" s="1" t="str">
        <f>HYPERLINK("https://files.afu.se/Downloads/Transcripts/0%20-%20Government/USA%20-%20NASA%20Johnson/2016 07 01 - NASA Johnson - Space to Ground  3D Printing in Zero G  07 01 2016_T_vpsqVn2A8 - transcript (automated).pdf","Transcript Link")</f>
        <v>Transcript Link</v>
      </c>
      <c r="M983" s="2" t="str">
        <f>HYPERLINK("https://files.afu.se/Downloads/Transcripts/0%20-%20Government/USA%20-%20NASA%20Johnson/2016 07 01 - NASA Johnson - Space to Ground  3D Printing in Zero G  07 01 2016_T_vpsqVn2A8 - transcript (automated).pdf","Transcript Link")</f>
        <v>Transcript Link</v>
      </c>
    </row>
    <row r="984" ht="180" spans="1:13">
      <c r="A984" s="1" t="s">
        <v>4351</v>
      </c>
      <c r="B984" s="1" t="s">
        <v>13</v>
      </c>
      <c r="C984" s="4" t="s">
        <v>4352</v>
      </c>
      <c r="D984" s="1" t="s">
        <v>4353</v>
      </c>
      <c r="E984" s="1" t="s">
        <v>4354</v>
      </c>
      <c r="F984" s="4" t="s">
        <v>17</v>
      </c>
      <c r="G984" s="1" t="s">
        <v>18</v>
      </c>
      <c r="H984" s="1" t="s">
        <v>19</v>
      </c>
      <c r="I984" s="1" t="s">
        <v>20</v>
      </c>
      <c r="J984" s="1" t="s">
        <v>4355</v>
      </c>
      <c r="K984" s="1" t="s">
        <v>22</v>
      </c>
      <c r="L984" s="1" t="str">
        <f>HYPERLINK("https://files.afu.se/Downloads/Transcripts/0%20-%20Government/USA%20-%20NASA%20Johnson/2016 06 30 - NASA Johnson - Expedition 48-49 Crew Prepares For Launch in Kazakhstan_w4bEWb_zU90 - transcript (automated).pdf","Transcript Link")</f>
        <v>Transcript Link</v>
      </c>
      <c r="M984" s="2" t="str">
        <f>HYPERLINK("https://files.afu.se/Downloads/Transcripts/0%20-%20Government/USA%20-%20NASA%20Johnson/2016 06 30 - NASA Johnson - Expedition 48-49 Crew Prepares For Launch in Kazakhstan_w4bEWb_zU90 - transcript (automated).pdf","Transcript Link")</f>
        <v>Transcript Link</v>
      </c>
    </row>
    <row r="985" ht="180" spans="1:13">
      <c r="A985" s="1" t="s">
        <v>4351</v>
      </c>
      <c r="B985" s="1" t="s">
        <v>13</v>
      </c>
      <c r="C985" s="4" t="s">
        <v>4356</v>
      </c>
      <c r="D985" s="1" t="s">
        <v>4357</v>
      </c>
      <c r="E985" s="1" t="s">
        <v>4358</v>
      </c>
      <c r="F985" s="4" t="s">
        <v>17</v>
      </c>
      <c r="G985" s="1" t="s">
        <v>18</v>
      </c>
      <c r="H985" s="1" t="s">
        <v>19</v>
      </c>
      <c r="I985" s="1" t="s">
        <v>20</v>
      </c>
      <c r="J985" s="1" t="s">
        <v>4359</v>
      </c>
      <c r="K985" s="1" t="s">
        <v>22</v>
      </c>
      <c r="L985" s="1" t="str">
        <f>HYPERLINK("https://files.afu.se/Downloads/Transcripts/0%20-%20Government/USA%20-%20NASA%20Johnson/2016 06 30 - NASA Johnson - Space Station Live  A Look at the New Science Lineup_-f4dfaaG8BE - transcript (automated).pdf","Transcript Link")</f>
        <v>Transcript Link</v>
      </c>
      <c r="M985" s="2" t="str">
        <f>HYPERLINK("https://files.afu.se/Downloads/Transcripts/0%20-%20Government/USA%20-%20NASA%20Johnson/2016 06 30 - NASA Johnson - Space Station Live  A Look at the New Science Lineup_-f4dfaaG8BE - transcript (automated).pdf","Transcript Link")</f>
        <v>Transcript Link</v>
      </c>
    </row>
    <row r="986" ht="210" spans="1:13">
      <c r="A986" s="1" t="s">
        <v>4351</v>
      </c>
      <c r="B986" s="1" t="s">
        <v>13</v>
      </c>
      <c r="C986" s="4" t="s">
        <v>4360</v>
      </c>
      <c r="D986" s="1" t="s">
        <v>4361</v>
      </c>
      <c r="E986" s="1" t="s">
        <v>4362</v>
      </c>
      <c r="F986" s="4" t="s">
        <v>17</v>
      </c>
      <c r="G986" s="1" t="s">
        <v>18</v>
      </c>
      <c r="H986" s="1" t="s">
        <v>19</v>
      </c>
      <c r="I986" s="1" t="s">
        <v>20</v>
      </c>
      <c r="J986" s="1" t="s">
        <v>4363</v>
      </c>
      <c r="K986" s="1" t="s">
        <v>22</v>
      </c>
      <c r="L986" s="1" t="str">
        <f>HYPERLINK("https://files.afu.se/Downloads/Transcripts/0%20-%20Government/USA%20-%20NASA%20Johnson/2016 06 30 - NASA Johnson - Space Station Live  Coldest Spot Off the Earth_kcBnW8BW9uQ - transcript (automated).pdf","Transcript Link")</f>
        <v>Transcript Link</v>
      </c>
      <c r="M986" s="2" t="str">
        <f>HYPERLINK("https://files.afu.se/Downloads/Transcripts/0%20-%20Government/USA%20-%20NASA%20Johnson/2016 06 30 - NASA Johnson - Space Station Live  Coldest Spot Off the Earth_kcBnW8BW9uQ - transcript (automated).pdf","Transcript Link")</f>
        <v>Transcript Link</v>
      </c>
    </row>
    <row r="987" ht="180" spans="1:13">
      <c r="A987" s="1" t="s">
        <v>4364</v>
      </c>
      <c r="B987" s="1" t="s">
        <v>13</v>
      </c>
      <c r="C987" s="4" t="s">
        <v>4365</v>
      </c>
      <c r="D987" s="1" t="s">
        <v>4366</v>
      </c>
      <c r="E987" s="1" t="s">
        <v>2929</v>
      </c>
      <c r="F987" s="4" t="s">
        <v>17</v>
      </c>
      <c r="G987" s="1" t="s">
        <v>18</v>
      </c>
      <c r="H987" s="1" t="s">
        <v>19</v>
      </c>
      <c r="I987" s="1" t="s">
        <v>20</v>
      </c>
      <c r="J987" s="1" t="s">
        <v>4367</v>
      </c>
      <c r="K987" s="1" t="s">
        <v>22</v>
      </c>
      <c r="L987" s="1" t="str">
        <f>HYPERLINK("https://files.afu.se/Downloads/Transcripts/0%20-%20Government/USA%20-%20NASA%20Johnson/2016 06 24 - NASA Johnson - Space to Ground  Touchdown!  06 24 2016_oOYz-Ru-vjM - transcript (automated).pdf","Transcript Link")</f>
        <v>Transcript Link</v>
      </c>
      <c r="M987" s="2" t="str">
        <f>HYPERLINK("https://files.afu.se/Downloads/Transcripts/0%20-%20Government/USA%20-%20NASA%20Johnson/2016 06 24 - NASA Johnson - Space to Ground  Touchdown!  06 24 2016_oOYz-Ru-vjM - transcript (automated).pdf","Transcript Link")</f>
        <v>Transcript Link</v>
      </c>
    </row>
    <row r="988" ht="180" spans="1:13">
      <c r="A988" s="1" t="s">
        <v>4368</v>
      </c>
      <c r="B988" s="1" t="s">
        <v>13</v>
      </c>
      <c r="C988" s="4" t="s">
        <v>4369</v>
      </c>
      <c r="D988" s="1" t="s">
        <v>4370</v>
      </c>
      <c r="E988" s="1" t="s">
        <v>4371</v>
      </c>
      <c r="F988" s="4" t="s">
        <v>17</v>
      </c>
      <c r="G988" s="1" t="s">
        <v>18</v>
      </c>
      <c r="H988" s="1" t="s">
        <v>19</v>
      </c>
      <c r="I988" s="1" t="s">
        <v>20</v>
      </c>
      <c r="J988" s="1" t="s">
        <v>4372</v>
      </c>
      <c r="K988" s="1" t="s">
        <v>22</v>
      </c>
      <c r="L988" s="1" t="str">
        <f>HYPERLINK("https://files.afu.se/Downloads/Transcripts/0%20-%20Government/USA%20-%20NASA%20Johnson/2016 06 22 - NASA Johnson - Monthly ISS Research Video Update for June 2016_QOS7ddCiKMQ - transcript (automated).pdf","Transcript Link")</f>
        <v>Transcript Link</v>
      </c>
      <c r="M988" s="2" t="str">
        <f>HYPERLINK("https://files.afu.se/Downloads/Transcripts/0%20-%20Government/USA%20-%20NASA%20Johnson/2016 06 22 - NASA Johnson - Monthly ISS Research Video Update for June 2016_QOS7ddCiKMQ - transcript (automated).pdf","Transcript Link")</f>
        <v>Transcript Link</v>
      </c>
    </row>
    <row r="989" ht="225" spans="1:13">
      <c r="A989" s="1" t="s">
        <v>4368</v>
      </c>
      <c r="B989" s="1" t="s">
        <v>13</v>
      </c>
      <c r="C989" s="4" t="s">
        <v>4373</v>
      </c>
      <c r="D989" s="1" t="s">
        <v>4374</v>
      </c>
      <c r="E989" s="1" t="s">
        <v>4375</v>
      </c>
      <c r="F989" s="4" t="s">
        <v>17</v>
      </c>
      <c r="G989" s="1" t="s">
        <v>18</v>
      </c>
      <c r="H989" s="1" t="s">
        <v>19</v>
      </c>
      <c r="I989" s="1" t="s">
        <v>20</v>
      </c>
      <c r="J989" s="1" t="s">
        <v>4376</v>
      </c>
      <c r="K989" s="1" t="s">
        <v>22</v>
      </c>
      <c r="L989" s="1" t="str">
        <f>HYPERLINK("https://files.afu.se/Downloads/Transcripts/0%20-%20Government/USA%20-%20NASA%20Johnson/2016 06 22 - NASA Johnson - Space Station Live  Chasing a Dream_KKb75sZRsgw - transcript (automated).pdf","Transcript Link")</f>
        <v>Transcript Link</v>
      </c>
      <c r="M989" s="2" t="str">
        <f>HYPERLINK("https://files.afu.se/Downloads/Transcripts/0%20-%20Government/USA%20-%20NASA%20Johnson/2016 06 22 - NASA Johnson - Space Station Live  Chasing a Dream_KKb75sZRsgw - transcript (automated).pdf","Transcript Link")</f>
        <v>Transcript Link</v>
      </c>
    </row>
    <row r="990" ht="180" spans="1:13">
      <c r="A990" s="1" t="s">
        <v>4377</v>
      </c>
      <c r="B990" s="1" t="s">
        <v>13</v>
      </c>
      <c r="C990" s="4" t="s">
        <v>4378</v>
      </c>
      <c r="D990" s="1" t="s">
        <v>4379</v>
      </c>
      <c r="E990" s="1" t="s">
        <v>4380</v>
      </c>
      <c r="F990" s="4" t="s">
        <v>17</v>
      </c>
      <c r="G990" s="1" t="s">
        <v>18</v>
      </c>
      <c r="H990" s="1" t="s">
        <v>19</v>
      </c>
      <c r="I990" s="1" t="s">
        <v>20</v>
      </c>
      <c r="J990" s="1" t="s">
        <v>4381</v>
      </c>
      <c r="K990" s="1" t="s">
        <v>22</v>
      </c>
      <c r="L990" s="1" t="str">
        <f>HYPERLINK("https://files.afu.se/Downloads/Transcripts/0%20-%20Government/USA%20-%20NASA%20Johnson/2016 06 18 - NASA Johnson - Expedition 47 Swaps Command and Lands the Next Day_bqO3ET4Zxu0 - transcript (automated).pdf","Transcript Link")</f>
        <v>Transcript Link</v>
      </c>
      <c r="M990" s="2" t="str">
        <f>HYPERLINK("https://files.afu.se/Downloads/Transcripts/0%20-%20Government/USA%20-%20NASA%20Johnson/2016 06 18 - NASA Johnson - Expedition 47 Swaps Command and Lands the Next Day_bqO3ET4Zxu0 - transcript (automated).pdf","Transcript Link")</f>
        <v>Transcript Link</v>
      </c>
    </row>
    <row r="991" ht="180" spans="1:13">
      <c r="A991" s="1" t="s">
        <v>4377</v>
      </c>
      <c r="B991" s="1" t="s">
        <v>13</v>
      </c>
      <c r="C991" s="4" t="s">
        <v>4382</v>
      </c>
      <c r="D991" s="1" t="s">
        <v>4383</v>
      </c>
      <c r="E991" s="1" t="s">
        <v>4384</v>
      </c>
      <c r="F991" s="4" t="s">
        <v>17</v>
      </c>
      <c r="G991" s="1" t="s">
        <v>18</v>
      </c>
      <c r="H991" s="1" t="s">
        <v>19</v>
      </c>
      <c r="I991" s="1" t="s">
        <v>20</v>
      </c>
      <c r="J991" s="1" t="s">
        <v>4385</v>
      </c>
      <c r="K991" s="1" t="s">
        <v>22</v>
      </c>
      <c r="L991" s="1" t="str">
        <f>HYPERLINK("https://files.afu.se/Downloads/Transcripts/0%20-%20Government/USA%20-%20NASA%20Johnson/2016 06 18 - NASA Johnson - Crew Leaves Station After 186 Days in Space_eAlTbpIcbXE - transcript (automated).pdf","Transcript Link")</f>
        <v>Transcript Link</v>
      </c>
      <c r="M991" s="2" t="str">
        <f>HYPERLINK("https://files.afu.se/Downloads/Transcripts/0%20-%20Government/USA%20-%20NASA%20Johnson/2016 06 18 - NASA Johnson - Crew Leaves Station After 186 Days in Space_eAlTbpIcbXE - transcript (automated).pdf","Transcript Link")</f>
        <v>Transcript Link</v>
      </c>
    </row>
    <row r="992" ht="180" spans="1:13">
      <c r="A992" s="1" t="s">
        <v>4377</v>
      </c>
      <c r="B992" s="1" t="s">
        <v>13</v>
      </c>
      <c r="C992" s="4" t="s">
        <v>4386</v>
      </c>
      <c r="D992" s="1" t="s">
        <v>4387</v>
      </c>
      <c r="E992" s="1" t="s">
        <v>4388</v>
      </c>
      <c r="F992" s="4" t="s">
        <v>17</v>
      </c>
      <c r="G992" s="1" t="s">
        <v>18</v>
      </c>
      <c r="H992" s="1" t="s">
        <v>19</v>
      </c>
      <c r="I992" s="1" t="s">
        <v>20</v>
      </c>
      <c r="J992" s="1" t="s">
        <v>4389</v>
      </c>
      <c r="K992" s="1" t="s">
        <v>22</v>
      </c>
      <c r="L992" s="1" t="str">
        <f>HYPERLINK("https://files.afu.se/Downloads/Transcripts/0%20-%20Government/USA%20-%20NASA%20Johnson/2016 06 18 - NASA Johnson - Expedition 47 Trio Says Farewell_QL5fcsQT0_M - transcript (automated).pdf","Transcript Link")</f>
        <v>Transcript Link</v>
      </c>
      <c r="M992" s="2" t="str">
        <f>HYPERLINK("https://files.afu.se/Downloads/Transcripts/0%20-%20Government/USA%20-%20NASA%20Johnson/2016 06 18 - NASA Johnson - Expedition 47 Trio Says Farewell_QL5fcsQT0_M - transcript (automated).pdf","Transcript Link")</f>
        <v>Transcript Link</v>
      </c>
    </row>
    <row r="993" ht="180" spans="1:13">
      <c r="A993" s="1" t="s">
        <v>4390</v>
      </c>
      <c r="B993" s="1" t="s">
        <v>13</v>
      </c>
      <c r="C993" s="4" t="s">
        <v>4391</v>
      </c>
      <c r="D993" s="1" t="s">
        <v>4392</v>
      </c>
      <c r="E993" s="1" t="s">
        <v>4393</v>
      </c>
      <c r="F993" s="4" t="s">
        <v>17</v>
      </c>
      <c r="G993" s="1" t="s">
        <v>18</v>
      </c>
      <c r="H993" s="1" t="s">
        <v>19</v>
      </c>
      <c r="I993" s="1" t="s">
        <v>20</v>
      </c>
      <c r="J993" s="1" t="s">
        <v>4394</v>
      </c>
      <c r="K993" s="1" t="s">
        <v>22</v>
      </c>
      <c r="L993" s="1" t="str">
        <f>HYPERLINK("https://files.afu.se/Downloads/Transcripts/0%20-%20Government/USA%20-%20NASA%20Johnson/2016 06 17 - NASA Johnson - Station Change of Command Ceremony_gURSwQQJcX4 - transcript (automated).pdf","Transcript Link")</f>
        <v>Transcript Link</v>
      </c>
      <c r="M993" s="2" t="str">
        <f>HYPERLINK("https://files.afu.se/Downloads/Transcripts/0%20-%20Government/USA%20-%20NASA%20Johnson/2016 06 17 - NASA Johnson - Station Change of Command Ceremony_gURSwQQJcX4 - transcript (automated).pdf","Transcript Link")</f>
        <v>Transcript Link</v>
      </c>
    </row>
    <row r="994" ht="255" spans="1:13">
      <c r="A994" s="1" t="s">
        <v>4390</v>
      </c>
      <c r="B994" s="1" t="s">
        <v>13</v>
      </c>
      <c r="C994" s="4" t="s">
        <v>4395</v>
      </c>
      <c r="D994" s="1" t="s">
        <v>4396</v>
      </c>
      <c r="E994" s="1" t="s">
        <v>4397</v>
      </c>
      <c r="F994" s="4" t="s">
        <v>17</v>
      </c>
      <c r="G994" s="1" t="s">
        <v>18</v>
      </c>
      <c r="H994" s="1" t="s">
        <v>19</v>
      </c>
      <c r="I994" s="1" t="s">
        <v>20</v>
      </c>
      <c r="J994" s="1" t="s">
        <v>4398</v>
      </c>
      <c r="K994" s="1" t="s">
        <v>22</v>
      </c>
      <c r="L994" s="1" t="str">
        <f>HYPERLINK("https://files.afu.se/Downloads/Transcripts/0%20-%20Government/USA%20-%20NASA%20Johnson/2016 06 17 - NASA Johnson - Space Station Live  The Real Story of Returning to Earth_kaBPXOylItw - transcript (automated).pdf","Transcript Link")</f>
        <v>Transcript Link</v>
      </c>
      <c r="M994" s="2" t="str">
        <f>HYPERLINK("https://files.afu.se/Downloads/Transcripts/0%20-%20Government/USA%20-%20NASA%20Johnson/2016 06 17 - NASA Johnson - Space Station Live  The Real Story of Returning to Earth_kaBPXOylItw - transcript (automated).pdf","Transcript Link")</f>
        <v>Transcript Link</v>
      </c>
    </row>
    <row r="995" ht="180" spans="1:13">
      <c r="A995" s="1" t="s">
        <v>4390</v>
      </c>
      <c r="B995" s="1" t="s">
        <v>13</v>
      </c>
      <c r="C995" s="4" t="s">
        <v>4399</v>
      </c>
      <c r="D995" s="1" t="s">
        <v>4400</v>
      </c>
      <c r="E995" s="1" t="s">
        <v>2929</v>
      </c>
      <c r="F995" s="4" t="s">
        <v>17</v>
      </c>
      <c r="G995" s="1" t="s">
        <v>18</v>
      </c>
      <c r="H995" s="1" t="s">
        <v>19</v>
      </c>
      <c r="I995" s="1" t="s">
        <v>20</v>
      </c>
      <c r="J995" s="1" t="s">
        <v>4401</v>
      </c>
      <c r="K995" s="1" t="s">
        <v>22</v>
      </c>
      <c r="L995" s="1" t="str">
        <f>HYPERLINK("https://files.afu.se/Downloads/Transcripts/0%20-%20Government/USA%20-%20NASA%20Johnson/2016 06 17 - NASA Johnson - Space to Ground  How Fires Spread in Space   06 17 2016_cFxxsb-pinA - transcript (automated).pdf","Transcript Link")</f>
        <v>Transcript Link</v>
      </c>
      <c r="M995" s="2" t="str">
        <f>HYPERLINK("https://files.afu.se/Downloads/Transcripts/0%20-%20Government/USA%20-%20NASA%20Johnson/2016 06 17 - NASA Johnson - Space to Ground  How Fires Spread in Space   06 17 2016_cFxxsb-pinA - transcript (automated).pdf","Transcript Link")</f>
        <v>Transcript Link</v>
      </c>
    </row>
    <row r="996" ht="360" spans="1:13">
      <c r="A996" s="1" t="s">
        <v>4402</v>
      </c>
      <c r="B996" s="1" t="s">
        <v>13</v>
      </c>
      <c r="C996" s="4" t="s">
        <v>4403</v>
      </c>
      <c r="D996" s="1" t="s">
        <v>4404</v>
      </c>
      <c r="E996" s="1" t="s">
        <v>4405</v>
      </c>
      <c r="F996" s="4" t="s">
        <v>17</v>
      </c>
      <c r="G996" s="1" t="s">
        <v>18</v>
      </c>
      <c r="H996" s="1" t="s">
        <v>19</v>
      </c>
      <c r="I996" s="1" t="s">
        <v>20</v>
      </c>
      <c r="J996" s="1" t="s">
        <v>4406</v>
      </c>
      <c r="K996" s="1" t="s">
        <v>22</v>
      </c>
      <c r="L996" s="1" t="str">
        <f>HYPERLINK("https://files.afu.se/Downloads/Transcripts/0%20-%20Government/USA%20-%20NASA%20Johnson/2016 06 16 - NASA Johnson - 'Home' - 4K Views from Space_FlJaF2XkR6k - transcript (automated).pdf","Transcript Link")</f>
        <v>Transcript Link</v>
      </c>
      <c r="M996" s="2" t="str">
        <f>HYPERLINK("https://files.afu.se/Downloads/Transcripts/0%20-%20Government/USA%20-%20NASA%20Johnson/2016 06 16 - NASA Johnson - 'Home' - 4K Views from Space_FlJaF2XkR6k - transcript (automated).pdf","Transcript Link")</f>
        <v>Transcript Link</v>
      </c>
    </row>
    <row r="997" ht="180" spans="1:13">
      <c r="A997" s="1" t="s">
        <v>4407</v>
      </c>
      <c r="B997" s="1" t="s">
        <v>13</v>
      </c>
      <c r="C997" s="4" t="s">
        <v>4408</v>
      </c>
      <c r="D997" s="1" t="s">
        <v>4409</v>
      </c>
      <c r="E997" s="1" t="s">
        <v>4410</v>
      </c>
      <c r="F997" s="4" t="s">
        <v>17</v>
      </c>
      <c r="G997" s="1" t="s">
        <v>18</v>
      </c>
      <c r="H997" s="1" t="s">
        <v>19</v>
      </c>
      <c r="I997" s="1" t="s">
        <v>20</v>
      </c>
      <c r="J997" s="1" t="s">
        <v>4411</v>
      </c>
      <c r="K997" s="1" t="s">
        <v>22</v>
      </c>
      <c r="L997" s="1" t="str">
        <f>HYPERLINK("https://files.afu.se/Downloads/Transcripts/0%20-%20Government/USA%20-%20NASA%20Johnson/2016 06 15 - NASA Johnson - Cygnus Leaves Station and Begins Fire Research_f9zB7g01QFQ - transcript (automated).pdf","Transcript Link")</f>
        <v>Transcript Link</v>
      </c>
      <c r="M997" s="2" t="str">
        <f>HYPERLINK("https://files.afu.se/Downloads/Transcripts/0%20-%20Government/USA%20-%20NASA%20Johnson/2016 06 15 - NASA Johnson - Cygnus Leaves Station and Begins Fire Research_f9zB7g01QFQ - transcript (automated).pdf","Transcript Link")</f>
        <v>Transcript Link</v>
      </c>
    </row>
    <row r="998" ht="180" spans="1:13">
      <c r="A998" s="1" t="s">
        <v>4407</v>
      </c>
      <c r="B998" s="1" t="s">
        <v>13</v>
      </c>
      <c r="C998" s="4" t="s">
        <v>4412</v>
      </c>
      <c r="D998" s="1" t="s">
        <v>4413</v>
      </c>
      <c r="E998" s="1" t="s">
        <v>4414</v>
      </c>
      <c r="F998" s="4" t="s">
        <v>17</v>
      </c>
      <c r="G998" s="1" t="s">
        <v>18</v>
      </c>
      <c r="H998" s="1" t="s">
        <v>19</v>
      </c>
      <c r="I998" s="1" t="s">
        <v>20</v>
      </c>
      <c r="J998" s="1" t="s">
        <v>4415</v>
      </c>
      <c r="K998" s="1" t="s">
        <v>22</v>
      </c>
      <c r="L998" s="1" t="str">
        <f>HYPERLINK("https://files.afu.se/Downloads/Transcripts/0%20-%20Government/USA%20-%20NASA%20Johnson/2016 06 15 - NASA Johnson - Space Station Live  3-D Printing of a Student Design_XL1K3odUvQk - transcript (automated).pdf","Transcript Link")</f>
        <v>Transcript Link</v>
      </c>
      <c r="M998" s="2" t="str">
        <f>HYPERLINK("https://files.afu.se/Downloads/Transcripts/0%20-%20Government/USA%20-%20NASA%20Johnson/2016 06 15 - NASA Johnson - Space Station Live  3-D Printing of a Student Design_XL1K3odUvQk - transcript (automated).pdf","Transcript Link")</f>
        <v>Transcript Link</v>
      </c>
    </row>
    <row r="999" ht="180" spans="1:13">
      <c r="A999" s="1" t="s">
        <v>4416</v>
      </c>
      <c r="B999" s="1" t="s">
        <v>13</v>
      </c>
      <c r="C999" s="4" t="s">
        <v>4417</v>
      </c>
      <c r="D999" s="1" t="s">
        <v>4418</v>
      </c>
      <c r="E999" s="1" t="s">
        <v>2929</v>
      </c>
      <c r="F999" s="4" t="s">
        <v>17</v>
      </c>
      <c r="G999" s="1" t="s">
        <v>18</v>
      </c>
      <c r="H999" s="1" t="s">
        <v>19</v>
      </c>
      <c r="I999" s="1" t="s">
        <v>20</v>
      </c>
      <c r="J999" s="1" t="s">
        <v>4419</v>
      </c>
      <c r="K999" s="1" t="s">
        <v>22</v>
      </c>
      <c r="L999" s="1" t="str">
        <f>HYPERLINK("https://files.afu.se/Downloads/Transcripts/0%20-%20Government/USA%20-%20NASA%20Johnson/2016 06 10 - NASA Johnson - Space to Ground  Enter the BEAM   06 10 2016_pYT2H9DdE0g - transcript (automated).pdf","Transcript Link")</f>
        <v>Transcript Link</v>
      </c>
      <c r="M999" s="2" t="str">
        <f>HYPERLINK("https://files.afu.se/Downloads/Transcripts/0%20-%20Government/USA%20-%20NASA%20Johnson/2016 06 10 - NASA Johnson - Space to Ground  Enter the BEAM   06 10 2016_pYT2H9DdE0g - transcript (automated).pdf","Transcript Link")</f>
        <v>Transcript Link</v>
      </c>
    </row>
    <row r="1000" ht="330" spans="1:13">
      <c r="A1000" s="1" t="s">
        <v>4416</v>
      </c>
      <c r="B1000" s="1" t="s">
        <v>13</v>
      </c>
      <c r="C1000" s="4" t="s">
        <v>4420</v>
      </c>
      <c r="D1000" s="1" t="s">
        <v>4421</v>
      </c>
      <c r="E1000" s="1" t="s">
        <v>4422</v>
      </c>
      <c r="F1000" s="4" t="s">
        <v>17</v>
      </c>
      <c r="G1000" s="1" t="s">
        <v>18</v>
      </c>
      <c r="H1000" s="1" t="s">
        <v>19</v>
      </c>
      <c r="I1000" s="1" t="s">
        <v>20</v>
      </c>
      <c r="J1000" s="1" t="s">
        <v>4423</v>
      </c>
      <c r="K1000" s="1" t="s">
        <v>22</v>
      </c>
      <c r="L1000" s="1" t="str">
        <f>HYPERLINK("https://files.afu.se/Downloads/Transcripts/0%20-%20Government/USA%20-%20NASA%20Johnson/2016 06 10 - NASA Johnson - Space Station Stories  Charting the Course_s2urx_NvXPo - transcript (automated).pdf","Transcript Link")</f>
        <v>Transcript Link</v>
      </c>
      <c r="M1000" s="2" t="str">
        <f>HYPERLINK("https://files.afu.se/Downloads/Transcripts/0%20-%20Government/USA%20-%20NASA%20Johnson/2016 06 10 - NASA Johnson - Space Station Stories  Charting the Course_s2urx_NvXPo - transcript (automated).pdf","Transcript Link")</f>
        <v>Transcript Link</v>
      </c>
    </row>
    <row r="1001" ht="255" spans="1:13">
      <c r="A1001" s="1" t="s">
        <v>4424</v>
      </c>
      <c r="B1001" s="1" t="s">
        <v>13</v>
      </c>
      <c r="C1001" s="4" t="s">
        <v>4425</v>
      </c>
      <c r="D1001" s="1" t="s">
        <v>4426</v>
      </c>
      <c r="E1001" s="1" t="s">
        <v>4427</v>
      </c>
      <c r="F1001" s="4" t="s">
        <v>17</v>
      </c>
      <c r="G1001" s="1" t="s">
        <v>18</v>
      </c>
      <c r="H1001" s="1" t="s">
        <v>19</v>
      </c>
      <c r="I1001" s="1" t="s">
        <v>20</v>
      </c>
      <c r="J1001" s="1" t="s">
        <v>4428</v>
      </c>
      <c r="K1001" s="1" t="s">
        <v>22</v>
      </c>
      <c r="L1001" s="1" t="str">
        <f>HYPERLINK("https://files.afu.se/Downloads/Transcripts/0%20-%20Government/USA%20-%20NASA%20Johnson/2016 06 09 - NASA Johnson - Space Station Live  Cygnus Prepped for Departure_M1IBg6VheqA - transcript (automated).pdf","Transcript Link")</f>
        <v>Transcript Link</v>
      </c>
      <c r="M1001" s="2" t="str">
        <f>HYPERLINK("https://files.afu.se/Downloads/Transcripts/0%20-%20Government/USA%20-%20NASA%20Johnson/2016 06 09 - NASA Johnson - Space Station Live  Cygnus Prepped for Departure_M1IBg6VheqA - transcript (automated).pdf","Transcript Link")</f>
        <v>Transcript Link</v>
      </c>
    </row>
    <row r="1002" ht="180" spans="1:13">
      <c r="A1002" s="1" t="s">
        <v>4429</v>
      </c>
      <c r="B1002" s="1" t="s">
        <v>13</v>
      </c>
      <c r="C1002" s="4" t="s">
        <v>4430</v>
      </c>
      <c r="D1002" s="1" t="s">
        <v>4431</v>
      </c>
      <c r="E1002" s="1" t="s">
        <v>4432</v>
      </c>
      <c r="F1002" s="4" t="s">
        <v>17</v>
      </c>
      <c r="G1002" s="1" t="s">
        <v>18</v>
      </c>
      <c r="H1002" s="1" t="s">
        <v>19</v>
      </c>
      <c r="I1002" s="1" t="s">
        <v>20</v>
      </c>
      <c r="J1002" s="1" t="s">
        <v>4433</v>
      </c>
      <c r="K1002" s="1" t="s">
        <v>22</v>
      </c>
      <c r="L1002" s="1" t="str">
        <f>HYPERLINK("https://files.afu.se/Downloads/Transcripts/0%20-%20Government/USA%20-%20NASA%20Johnson/2016 06 08 - NASA Johnson - Space Station Live  Operating on Their Own_knmoXlTFKsQ - transcript (automated).pdf","Transcript Link")</f>
        <v>Transcript Link</v>
      </c>
      <c r="M1002" s="2" t="str">
        <f>HYPERLINK("https://files.afu.se/Downloads/Transcripts/0%20-%20Government/USA%20-%20NASA%20Johnson/2016 06 08 - NASA Johnson - Space Station Live  Operating on Their Own_knmoXlTFKsQ - transcript (automated).pdf","Transcript Link")</f>
        <v>Transcript Link</v>
      </c>
    </row>
    <row r="1003" ht="180" spans="1:13">
      <c r="A1003" s="1" t="s">
        <v>4434</v>
      </c>
      <c r="B1003" s="1" t="s">
        <v>13</v>
      </c>
      <c r="C1003" s="4" t="s">
        <v>4435</v>
      </c>
      <c r="D1003" s="1" t="s">
        <v>4436</v>
      </c>
      <c r="E1003" s="1" t="s">
        <v>4437</v>
      </c>
      <c r="F1003" s="4" t="s">
        <v>17</v>
      </c>
      <c r="G1003" s="1" t="s">
        <v>18</v>
      </c>
      <c r="H1003" s="1" t="s">
        <v>19</v>
      </c>
      <c r="I1003" s="1" t="s">
        <v>20</v>
      </c>
      <c r="J1003" s="1" t="s">
        <v>4438</v>
      </c>
      <c r="K1003" s="1" t="s">
        <v>22</v>
      </c>
      <c r="L1003" s="1" t="str">
        <f>HYPERLINK("https://files.afu.se/Downloads/Transcripts/0%20-%20Government/USA%20-%20NASA%20Johnson/2016 06 07 - NASA Johnson - Monthly ISS Research Video Update for May 2016_8nKjqWX7o5U - transcript (automated).pdf","Transcript Link")</f>
        <v>Transcript Link</v>
      </c>
      <c r="M1003" s="2" t="str">
        <f>HYPERLINK("https://files.afu.se/Downloads/Transcripts/0%20-%20Government/USA%20-%20NASA%20Johnson/2016 06 07 - NASA Johnson - Monthly ISS Research Video Update for May 2016_8nKjqWX7o5U - transcript (automated).pdf","Transcript Link")</f>
        <v>Transcript Link</v>
      </c>
    </row>
    <row r="1004" ht="195" spans="1:13">
      <c r="A1004" s="1" t="s">
        <v>4439</v>
      </c>
      <c r="B1004" s="1" t="s">
        <v>13</v>
      </c>
      <c r="C1004" s="4" t="s">
        <v>4440</v>
      </c>
      <c r="D1004" s="1" t="s">
        <v>4441</v>
      </c>
      <c r="E1004" s="1" t="s">
        <v>4442</v>
      </c>
      <c r="F1004" s="4" t="s">
        <v>17</v>
      </c>
      <c r="G1004" s="1" t="s">
        <v>18</v>
      </c>
      <c r="H1004" s="1" t="s">
        <v>19</v>
      </c>
      <c r="I1004" s="1" t="s">
        <v>20</v>
      </c>
      <c r="J1004" s="1" t="s">
        <v>4443</v>
      </c>
      <c r="K1004" s="1" t="s">
        <v>22</v>
      </c>
      <c r="L1004" s="1" t="str">
        <f>HYPERLINK("https://files.afu.se/Downloads/Transcripts/0%20-%20Government/USA%20-%20NASA%20Johnson/2016 06 06 - NASA Johnson - Space Station Live  Great “Space” Balls of Fire_vVUJaGichGk - transcript (automated).pdf","Transcript Link")</f>
        <v>Transcript Link</v>
      </c>
      <c r="M1004" s="2" t="str">
        <f>HYPERLINK("https://files.afu.se/Downloads/Transcripts/0%20-%20Government/USA%20-%20NASA%20Johnson/2016 06 06 - NASA Johnson - Space Station Live  Great “Space” Balls of Fire_vVUJaGichGk - transcript (automated).pdf","Transcript Link")</f>
        <v>Transcript Link</v>
      </c>
    </row>
    <row r="1005" ht="195" spans="1:13">
      <c r="A1005" s="1" t="s">
        <v>4439</v>
      </c>
      <c r="B1005" s="1" t="s">
        <v>13</v>
      </c>
      <c r="C1005" s="4" t="s">
        <v>4444</v>
      </c>
      <c r="D1005" s="1" t="s">
        <v>4445</v>
      </c>
      <c r="E1005" s="1" t="s">
        <v>4446</v>
      </c>
      <c r="F1005" s="4" t="s">
        <v>17</v>
      </c>
      <c r="G1005" s="1" t="s">
        <v>18</v>
      </c>
      <c r="H1005" s="1" t="s">
        <v>19</v>
      </c>
      <c r="I1005" s="1" t="s">
        <v>20</v>
      </c>
      <c r="J1005" s="1" t="s">
        <v>4447</v>
      </c>
      <c r="K1005" s="1" t="s">
        <v>22</v>
      </c>
      <c r="L1005" s="1" t="str">
        <f>HYPERLINK("https://files.afu.se/Downloads/Transcripts/0%20-%20Government/USA%20-%20NASA%20Johnson/2016 06 06 - NASA Johnson - Space Station Live   Astronaut Jeff Williams Enters BEAM Expandable Module_5kZZdp727ek - transcript (automated).pdf","Transcript Link")</f>
        <v>Transcript Link</v>
      </c>
      <c r="M1005" s="2" t="str">
        <f>HYPERLINK("https://files.afu.se/Downloads/Transcripts/0%20-%20Government/USA%20-%20NASA%20Johnson/2016 06 06 - NASA Johnson - Space Station Live   Astronaut Jeff Williams Enters BEAM Expandable Module_5kZZdp727ek - transcript (automated).pdf","Transcript Link")</f>
        <v>Transcript Link</v>
      </c>
    </row>
    <row r="1006" ht="180" spans="1:13">
      <c r="A1006" s="1" t="s">
        <v>4448</v>
      </c>
      <c r="B1006" s="1" t="s">
        <v>13</v>
      </c>
      <c r="C1006" s="4" t="s">
        <v>4449</v>
      </c>
      <c r="D1006" s="1" t="s">
        <v>4450</v>
      </c>
      <c r="E1006" s="1" t="s">
        <v>2929</v>
      </c>
      <c r="F1006" s="4" t="s">
        <v>17</v>
      </c>
      <c r="G1006" s="1" t="s">
        <v>18</v>
      </c>
      <c r="H1006" s="1" t="s">
        <v>19</v>
      </c>
      <c r="I1006" s="1" t="s">
        <v>20</v>
      </c>
      <c r="J1006" s="1" t="s">
        <v>4451</v>
      </c>
      <c r="K1006" s="1" t="s">
        <v>22</v>
      </c>
      <c r="L1006" s="1" t="str">
        <f>HYPERLINK("https://files.afu.se/Downloads/Transcripts/0%20-%20Government/USA%20-%20NASA%20Johnson/2016 06 03 - NASA Johnson - Space to Ground  Friending the ISS  06 03 2016_t2wdNxCvLiw - transcript (automated).pdf","Transcript Link")</f>
        <v>Transcript Link</v>
      </c>
      <c r="M1006" s="2" t="str">
        <f>HYPERLINK("https://files.afu.se/Downloads/Transcripts/0%20-%20Government/USA%20-%20NASA%20Johnson/2016 06 03 - NASA Johnson - Space to Ground  Friending the ISS  06 03 2016_t2wdNxCvLiw - transcript (automated).pdf","Transcript Link")</f>
        <v>Transcript Link</v>
      </c>
    </row>
    <row r="1007" ht="210" spans="1:13">
      <c r="A1007" s="1" t="s">
        <v>4452</v>
      </c>
      <c r="B1007" s="1" t="s">
        <v>13</v>
      </c>
      <c r="C1007" s="4" t="s">
        <v>4453</v>
      </c>
      <c r="D1007" s="1" t="s">
        <v>4454</v>
      </c>
      <c r="E1007" s="1" t="s">
        <v>4455</v>
      </c>
      <c r="F1007" s="4" t="s">
        <v>17</v>
      </c>
      <c r="G1007" s="1" t="s">
        <v>18</v>
      </c>
      <c r="H1007" s="1" t="s">
        <v>19</v>
      </c>
      <c r="I1007" s="1" t="s">
        <v>20</v>
      </c>
      <c r="J1007" s="1" t="s">
        <v>4456</v>
      </c>
      <c r="K1007" s="1" t="s">
        <v>22</v>
      </c>
      <c r="L1007" s="1" t="str">
        <f>HYPERLINK("https://files.afu.se/Downloads/Transcripts/0%20-%20Government/USA%20-%20NASA%20Johnson/2016 06 01 - NASA Johnson - Space Station Live  A Taste of Space_nkAGltXw1CU - transcript (automated).pdf","Transcript Link")</f>
        <v>Transcript Link</v>
      </c>
      <c r="M1007" s="2" t="str">
        <f>HYPERLINK("https://files.afu.se/Downloads/Transcripts/0%20-%20Government/USA%20-%20NASA%20Johnson/2016 06 01 - NASA Johnson - Space Station Live  A Taste of Space_nkAGltXw1CU - transcript (automated).pdf","Transcript Link")</f>
        <v>Transcript Link</v>
      </c>
    </row>
    <row r="1008" ht="285" spans="1:13">
      <c r="A1008" s="1" t="s">
        <v>4452</v>
      </c>
      <c r="B1008" s="1" t="s">
        <v>13</v>
      </c>
      <c r="C1008" s="4" t="s">
        <v>4457</v>
      </c>
      <c r="D1008" s="1" t="s">
        <v>4458</v>
      </c>
      <c r="E1008" s="1" t="s">
        <v>4459</v>
      </c>
      <c r="F1008" s="4" t="s">
        <v>17</v>
      </c>
      <c r="G1008" s="1" t="s">
        <v>18</v>
      </c>
      <c r="H1008" s="1" t="s">
        <v>19</v>
      </c>
      <c r="I1008" s="1" t="s">
        <v>20</v>
      </c>
      <c r="J1008" s="1" t="s">
        <v>4460</v>
      </c>
      <c r="K1008" s="1" t="s">
        <v>22</v>
      </c>
      <c r="L1008" s="1" t="str">
        <f>HYPERLINK("https://files.afu.se/Downloads/Transcripts/0%20-%20Government/USA%20-%20NASA%20Johnson/2016 06 01 - NASA Johnson - Preparing America for Deep Space Exploration Episode 13  Some Assembly Required_7-AlD4EqoVI - transcript (automated).pdf","Transcript Link")</f>
        <v>Transcript Link</v>
      </c>
      <c r="M1008" s="2" t="str">
        <f>HYPERLINK("https://files.afu.se/Downloads/Transcripts/0%20-%20Government/USA%20-%20NASA%20Johnson/2016 06 01 - NASA Johnson - Preparing America for Deep Space Exploration Episode 13  Some Assembly Required_7-AlD4EqoVI - transcript (automated).pdf","Transcript Link")</f>
        <v>Transcript Link</v>
      </c>
    </row>
    <row r="1009" ht="255" spans="1:13">
      <c r="A1009" s="1" t="s">
        <v>4452</v>
      </c>
      <c r="B1009" s="1" t="s">
        <v>13</v>
      </c>
      <c r="C1009" s="4" t="s">
        <v>4461</v>
      </c>
      <c r="D1009" s="1" t="s">
        <v>4462</v>
      </c>
      <c r="E1009" s="1" t="s">
        <v>4463</v>
      </c>
      <c r="F1009" s="4" t="s">
        <v>17</v>
      </c>
      <c r="G1009" s="1" t="s">
        <v>18</v>
      </c>
      <c r="H1009" s="1" t="s">
        <v>19</v>
      </c>
      <c r="I1009" s="1" t="s">
        <v>20</v>
      </c>
      <c r="J1009" s="1" t="s">
        <v>4464</v>
      </c>
      <c r="K1009" s="1" t="s">
        <v>22</v>
      </c>
      <c r="L1009" s="1" t="str">
        <f>HYPERLINK("https://files.afu.se/Downloads/Transcripts/0%20-%20Government/USA%20-%20NASA%20Johnson/2016 06 01 - NASA Johnson - Space Station Live  Vascular Echo_EEkWKLd82Yc - transcript (automated).pdf","Transcript Link")</f>
        <v>Transcript Link</v>
      </c>
      <c r="M1009" s="2" t="str">
        <f>HYPERLINK("https://files.afu.se/Downloads/Transcripts/0%20-%20Government/USA%20-%20NASA%20Johnson/2016 06 01 - NASA Johnson - Space Station Live  Vascular Echo_EEkWKLd82Yc - transcript (automated).pdf","Transcript Link")</f>
        <v>Transcript Link</v>
      </c>
    </row>
    <row r="1010" ht="285" spans="1:13">
      <c r="A1010" s="1" t="s">
        <v>4465</v>
      </c>
      <c r="B1010" s="1" t="s">
        <v>13</v>
      </c>
      <c r="C1010" s="4" t="s">
        <v>4466</v>
      </c>
      <c r="D1010" s="1" t="s">
        <v>4467</v>
      </c>
      <c r="E1010" s="1" t="s">
        <v>4468</v>
      </c>
      <c r="F1010" s="4" t="s">
        <v>17</v>
      </c>
      <c r="G1010" s="1" t="s">
        <v>18</v>
      </c>
      <c r="H1010" s="1" t="s">
        <v>19</v>
      </c>
      <c r="I1010" s="1" t="s">
        <v>20</v>
      </c>
      <c r="J1010" s="1" t="s">
        <v>4469</v>
      </c>
      <c r="K1010" s="1" t="s">
        <v>22</v>
      </c>
      <c r="L1010" s="1" t="str">
        <f>HYPERLINK("https://files.afu.se/Downloads/Transcripts/0%20-%20Government/USA%20-%20NASA%20Johnson/2016 05 31 - NASA Johnson - Expedition 48 Crew Conducts Ceremonies_2ke__EDxKvs - transcript (automated).pdf","Transcript Link")</f>
        <v>Transcript Link</v>
      </c>
      <c r="M1010" s="2" t="str">
        <f>HYPERLINK("https://files.afu.se/Downloads/Transcripts/0%20-%20Government/USA%20-%20NASA%20Johnson/2016 05 31 - NASA Johnson - Expedition 48 Crew Conducts Ceremonies_2ke__EDxKvs - transcript (automated).pdf","Transcript Link")</f>
        <v>Transcript Link</v>
      </c>
    </row>
    <row r="1011" ht="180" spans="1:13">
      <c r="A1011" s="1" t="s">
        <v>4470</v>
      </c>
      <c r="B1011" s="1" t="s">
        <v>13</v>
      </c>
      <c r="C1011" s="4" t="s">
        <v>4471</v>
      </c>
      <c r="D1011" s="1" t="s">
        <v>4472</v>
      </c>
      <c r="E1011" s="1" t="s">
        <v>4473</v>
      </c>
      <c r="F1011" s="4" t="s">
        <v>17</v>
      </c>
      <c r="G1011" s="1" t="s">
        <v>18</v>
      </c>
      <c r="H1011" s="1" t="s">
        <v>19</v>
      </c>
      <c r="I1011" s="1" t="s">
        <v>20</v>
      </c>
      <c r="J1011" s="1" t="s">
        <v>4474</v>
      </c>
      <c r="K1011" s="1" t="s">
        <v>22</v>
      </c>
      <c r="L1011" s="1" t="str">
        <f>HYPERLINK("https://files.afu.se/Downloads/Transcripts/0%20-%20Government/USA%20-%20NASA%20Johnson/2016 05 29 - NASA Johnson - BEAM Expansion Time Lapse_aciRYFKdaRU - transcript (automated).pdf","Transcript Link")</f>
        <v>Transcript Link</v>
      </c>
      <c r="M1011" s="2" t="str">
        <f>HYPERLINK("https://files.afu.se/Downloads/Transcripts/0%20-%20Government/USA%20-%20NASA%20Johnson/2016 05 29 - NASA Johnson - BEAM Expansion Time Lapse_aciRYFKdaRU - transcript (automated).pdf","Transcript Link")</f>
        <v>Transcript Link</v>
      </c>
    </row>
    <row r="1012" ht="180" spans="1:13">
      <c r="A1012" s="1" t="s">
        <v>4475</v>
      </c>
      <c r="B1012" s="1" t="s">
        <v>13</v>
      </c>
      <c r="C1012" s="4" t="s">
        <v>4476</v>
      </c>
      <c r="D1012" s="1" t="s">
        <v>4477</v>
      </c>
      <c r="E1012" s="1" t="s">
        <v>2929</v>
      </c>
      <c r="F1012" s="4" t="s">
        <v>17</v>
      </c>
      <c r="G1012" s="1" t="s">
        <v>18</v>
      </c>
      <c r="H1012" s="1" t="s">
        <v>19</v>
      </c>
      <c r="I1012" s="1" t="s">
        <v>20</v>
      </c>
      <c r="J1012" s="1" t="s">
        <v>4478</v>
      </c>
      <c r="K1012" s="1" t="s">
        <v>22</v>
      </c>
      <c r="L1012" s="1" t="str">
        <f>HYPERLINK("https://files.afu.se/Downloads/Transcripts/0%20-%20Government/USA%20-%20NASA%20Johnson/2016 05 27 - NASA Johnson - Space to Ground  BEAM Expansion Delay  05 27 2016_OLxejNQ5Wzo - transcript (automated).pdf","Transcript Link")</f>
        <v>Transcript Link</v>
      </c>
      <c r="M1012" s="2" t="str">
        <f>HYPERLINK("https://files.afu.se/Downloads/Transcripts/0%20-%20Government/USA%20-%20NASA%20Johnson/2016 05 27 - NASA Johnson - Space to Ground  BEAM Expansion Delay  05 27 2016_OLxejNQ5Wzo - transcript (automated).pdf","Transcript Link")</f>
        <v>Transcript Link</v>
      </c>
    </row>
    <row r="1013" ht="180" spans="1:13">
      <c r="A1013" s="1" t="s">
        <v>4475</v>
      </c>
      <c r="B1013" s="1" t="s">
        <v>13</v>
      </c>
      <c r="C1013" s="4" t="s">
        <v>4479</v>
      </c>
      <c r="D1013" s="1" t="s">
        <v>4480</v>
      </c>
      <c r="E1013" s="1" t="s">
        <v>4481</v>
      </c>
      <c r="F1013" s="4" t="s">
        <v>17</v>
      </c>
      <c r="G1013" s="1" t="s">
        <v>18</v>
      </c>
      <c r="H1013" s="1" t="s">
        <v>19</v>
      </c>
      <c r="I1013" s="1" t="s">
        <v>20</v>
      </c>
      <c r="J1013" s="1" t="s">
        <v>4482</v>
      </c>
      <c r="K1013" s="1" t="s">
        <v>22</v>
      </c>
      <c r="L1013" s="1" t="str">
        <f>HYPERLINK("https://files.afu.se/Downloads/Transcripts/0%20-%20Government/USA%20-%20NASA%20Johnson/2016 05 27 - NASA Johnson - Space Station Live  Wise Eye in the Sky_y52121wbO-k - transcript (automated).pdf","Transcript Link")</f>
        <v>Transcript Link</v>
      </c>
      <c r="M1013" s="2" t="str">
        <f>HYPERLINK("https://files.afu.se/Downloads/Transcripts/0%20-%20Government/USA%20-%20NASA%20Johnson/2016 05 27 - NASA Johnson - Space Station Live  Wise Eye in the Sky_y52121wbO-k - transcript (automated).pdf","Transcript Link")</f>
        <v>Transcript Link</v>
      </c>
    </row>
    <row r="1014" ht="180" spans="1:13">
      <c r="A1014" s="1" t="s">
        <v>4475</v>
      </c>
      <c r="B1014" s="1" t="s">
        <v>13</v>
      </c>
      <c r="C1014" s="4" t="s">
        <v>4483</v>
      </c>
      <c r="D1014" s="1" t="s">
        <v>4484</v>
      </c>
      <c r="E1014" s="1" t="s">
        <v>4485</v>
      </c>
      <c r="F1014" s="4" t="s">
        <v>17</v>
      </c>
      <c r="G1014" s="1" t="s">
        <v>18</v>
      </c>
      <c r="H1014" s="1" t="s">
        <v>19</v>
      </c>
      <c r="I1014" s="1" t="s">
        <v>20</v>
      </c>
      <c r="J1014" s="1" t="s">
        <v>4486</v>
      </c>
      <c r="K1014" s="1" t="s">
        <v>22</v>
      </c>
      <c r="L1014" s="1" t="str">
        <f>HYPERLINK("https://files.afu.se/Downloads/Transcripts/0%20-%20Government/USA%20-%20NASA%20Johnson/2016 05 27 - NASA Johnson - Expedition 48-49 Crew Undergoes Final Training Outside Moscow_8UVNGkpT-ow - transcript (automated).pdf","Transcript Link")</f>
        <v>Transcript Link</v>
      </c>
      <c r="M1014" s="2" t="str">
        <f>HYPERLINK("https://files.afu.se/Downloads/Transcripts/0%20-%20Government/USA%20-%20NASA%20Johnson/2016 05 27 - NASA Johnson - Expedition 48-49 Crew Undergoes Final Training Outside Moscow_8UVNGkpT-ow - transcript (automated).pdf","Transcript Link")</f>
        <v>Transcript Link</v>
      </c>
    </row>
    <row r="1015" ht="180" spans="1:13">
      <c r="A1015" s="1" t="s">
        <v>4487</v>
      </c>
      <c r="B1015" s="1" t="s">
        <v>13</v>
      </c>
      <c r="C1015" s="4" t="s">
        <v>4488</v>
      </c>
      <c r="D1015" s="1" t="s">
        <v>4489</v>
      </c>
      <c r="E1015" s="1" t="s">
        <v>4490</v>
      </c>
      <c r="F1015" s="4" t="s">
        <v>17</v>
      </c>
      <c r="G1015" s="1" t="s">
        <v>18</v>
      </c>
      <c r="H1015" s="1" t="s">
        <v>19</v>
      </c>
      <c r="I1015" s="1" t="s">
        <v>20</v>
      </c>
      <c r="J1015" s="1" t="s">
        <v>4491</v>
      </c>
      <c r="K1015" s="1" t="s">
        <v>22</v>
      </c>
      <c r="L1015" s="1" t="str">
        <f>HYPERLINK("https://files.afu.se/Downloads/Transcripts/0%20-%20Government/USA%20-%20NASA%20Johnson/2016 05 25 - NASA Johnson - Space Station Live  A Crystal OASIS_8r-uO13Xy1s - transcript (automated).pdf","Transcript Link")</f>
        <v>Transcript Link</v>
      </c>
      <c r="M1015" s="2" t="str">
        <f>HYPERLINK("https://files.afu.se/Downloads/Transcripts/0%20-%20Government/USA%20-%20NASA%20Johnson/2016 05 25 - NASA Johnson - Space Station Live  A Crystal OASIS_8r-uO13Xy1s - transcript (automated).pdf","Transcript Link")</f>
        <v>Transcript Link</v>
      </c>
    </row>
    <row r="1016" ht="375" spans="1:13">
      <c r="A1016" s="1" t="s">
        <v>4492</v>
      </c>
      <c r="B1016" s="1" t="s">
        <v>13</v>
      </c>
      <c r="C1016" s="4" t="s">
        <v>4493</v>
      </c>
      <c r="D1016" s="1" t="s">
        <v>4494</v>
      </c>
      <c r="E1016" s="1" t="s">
        <v>4495</v>
      </c>
      <c r="F1016" s="4" t="s">
        <v>17</v>
      </c>
      <c r="G1016" s="1" t="s">
        <v>18</v>
      </c>
      <c r="H1016" s="1" t="s">
        <v>19</v>
      </c>
      <c r="I1016" s="1" t="s">
        <v>20</v>
      </c>
      <c r="J1016" s="1" t="s">
        <v>4496</v>
      </c>
      <c r="K1016" s="1" t="s">
        <v>22</v>
      </c>
      <c r="L1016" s="1" t="str">
        <f>HYPERLINK("https://files.afu.se/Downloads/Transcripts/0%20-%20Government/USA%20-%20NASA%20Johnson/2016 05 24 - NASA Johnson - How To Make an Origami BEAM – Fold your own space station module!_EqHkBfT498o - transcript (automated).pdf","Transcript Link")</f>
        <v>Transcript Link</v>
      </c>
      <c r="M1016" s="2" t="str">
        <f>HYPERLINK("https://files.afu.se/Downloads/Transcripts/0%20-%20Government/USA%20-%20NASA%20Johnson/2016 05 24 - NASA Johnson - How To Make an Origami BEAM – Fold your own space station module!_EqHkBfT498o - transcript (automated).pdf","Transcript Link")</f>
        <v>Transcript Link</v>
      </c>
    </row>
    <row r="1017" ht="255" spans="1:13">
      <c r="A1017" s="1" t="s">
        <v>4497</v>
      </c>
      <c r="B1017" s="1" t="s">
        <v>13</v>
      </c>
      <c r="C1017" s="4" t="s">
        <v>4498</v>
      </c>
      <c r="D1017" s="1" t="s">
        <v>4499</v>
      </c>
      <c r="E1017" s="1" t="s">
        <v>4500</v>
      </c>
      <c r="F1017" s="4" t="s">
        <v>17</v>
      </c>
      <c r="G1017" s="1" t="s">
        <v>18</v>
      </c>
      <c r="H1017" s="1" t="s">
        <v>19</v>
      </c>
      <c r="I1017" s="1" t="s">
        <v>20</v>
      </c>
      <c r="J1017" s="1" t="s">
        <v>4501</v>
      </c>
      <c r="K1017" s="1" t="s">
        <v>22</v>
      </c>
      <c r="L1017" s="1" t="str">
        <f>HYPERLINK("https://files.afu.se/Downloads/Transcripts/0%20-%20Government/USA%20-%20NASA%20Johnson/2016 05 23 - NASA Johnson - Space Station Live  Expanding BEAM_gARj5wmlFKg - transcript (automated).pdf","Transcript Link")</f>
        <v>Transcript Link</v>
      </c>
      <c r="M1017" s="2" t="str">
        <f>HYPERLINK("https://files.afu.se/Downloads/Transcripts/0%20-%20Government/USA%20-%20NASA%20Johnson/2016 05 23 - NASA Johnson - Space Station Live  Expanding BEAM_gARj5wmlFKg - transcript (automated).pdf","Transcript Link")</f>
        <v>Transcript Link</v>
      </c>
    </row>
    <row r="1018" ht="180" spans="1:13">
      <c r="A1018" s="1" t="s">
        <v>4502</v>
      </c>
      <c r="B1018" s="1" t="s">
        <v>13</v>
      </c>
      <c r="C1018" s="4" t="s">
        <v>4503</v>
      </c>
      <c r="D1018" s="1" t="s">
        <v>4504</v>
      </c>
      <c r="E1018" s="1" t="s">
        <v>4505</v>
      </c>
      <c r="F1018" s="4" t="s">
        <v>17</v>
      </c>
      <c r="G1018" s="1" t="s">
        <v>18</v>
      </c>
      <c r="H1018" s="1" t="s">
        <v>19</v>
      </c>
      <c r="I1018" s="1" t="s">
        <v>20</v>
      </c>
      <c r="J1018" s="1" t="s">
        <v>4506</v>
      </c>
      <c r="K1018" s="1" t="s">
        <v>22</v>
      </c>
      <c r="L1018" s="1" t="str">
        <f>HYPERLINK("https://files.afu.se/Downloads/Transcripts/0%20-%20Government/USA%20-%20NASA%20Johnson/2016 05 20 - NASA Johnson - 17 CubeSats Deployed for Research This Week_yVeCVjf38Yg - transcript (automated).pdf","Transcript Link")</f>
        <v>Transcript Link</v>
      </c>
      <c r="M1018" s="2" t="str">
        <f>HYPERLINK("https://files.afu.se/Downloads/Transcripts/0%20-%20Government/USA%20-%20NASA%20Johnson/2016 05 20 - NASA Johnson - 17 CubeSats Deployed for Research This Week_yVeCVjf38Yg - transcript (automated).pdf","Transcript Link")</f>
        <v>Transcript Link</v>
      </c>
    </row>
    <row r="1019" ht="180" spans="1:13">
      <c r="A1019" s="1" t="s">
        <v>4502</v>
      </c>
      <c r="B1019" s="1" t="s">
        <v>13</v>
      </c>
      <c r="C1019" s="4" t="s">
        <v>4507</v>
      </c>
      <c r="D1019" s="1" t="s">
        <v>4508</v>
      </c>
      <c r="E1019" s="1" t="s">
        <v>2929</v>
      </c>
      <c r="F1019" s="4" t="s">
        <v>17</v>
      </c>
      <c r="G1019" s="1" t="s">
        <v>18</v>
      </c>
      <c r="H1019" s="1" t="s">
        <v>19</v>
      </c>
      <c r="I1019" s="1" t="s">
        <v>20</v>
      </c>
      <c r="J1019" s="1" t="s">
        <v>4509</v>
      </c>
      <c r="K1019" s="1" t="s">
        <v>22</v>
      </c>
      <c r="L1019" s="1" t="str">
        <f>HYPERLINK("https://files.afu.se/Downloads/Transcripts/0%20-%20Government/USA%20-%20NASA%20Johnson/2016 05 20 - NASA Johnson - Space to Ground  Astronomical Numbers  05 20 2016_Zn0CEHi5-Lg - transcript (automated).pdf","Transcript Link")</f>
        <v>Transcript Link</v>
      </c>
      <c r="M1019" s="2" t="str">
        <f>HYPERLINK("https://files.afu.se/Downloads/Transcripts/0%20-%20Government/USA%20-%20NASA%20Johnson/2016 05 20 - NASA Johnson - Space to Ground  Astronomical Numbers  05 20 2016_Zn0CEHi5-Lg - transcript (automated).pdf","Transcript Link")</f>
        <v>Transcript Link</v>
      </c>
    </row>
    <row r="1020" ht="255" spans="1:13">
      <c r="A1020" s="1" t="s">
        <v>4510</v>
      </c>
      <c r="B1020" s="1" t="s">
        <v>13</v>
      </c>
      <c r="C1020" s="4" t="s">
        <v>4511</v>
      </c>
      <c r="D1020" s="1" t="s">
        <v>4512</v>
      </c>
      <c r="E1020" s="1" t="s">
        <v>4513</v>
      </c>
      <c r="F1020" s="4" t="s">
        <v>17</v>
      </c>
      <c r="G1020" s="1" t="s">
        <v>18</v>
      </c>
      <c r="H1020" s="1" t="s">
        <v>19</v>
      </c>
      <c r="I1020" s="1" t="s">
        <v>20</v>
      </c>
      <c r="J1020" s="1" t="s">
        <v>4514</v>
      </c>
      <c r="K1020" s="1" t="s">
        <v>22</v>
      </c>
      <c r="L1020" s="1" t="str">
        <f>HYPERLINK("https://files.afu.se/Downloads/Transcripts/0%20-%20Government/USA%20-%20NASA%20Johnson/2016 05 18 - NASA Johnson - Space Station Live  Getting the Buzz on Astrobee_sbBQONITclk - transcript (automated).pdf","Transcript Link")</f>
        <v>Transcript Link</v>
      </c>
      <c r="M1020" s="2" t="str">
        <f>HYPERLINK("https://files.afu.se/Downloads/Transcripts/0%20-%20Government/USA%20-%20NASA%20Johnson/2016 05 18 - NASA Johnson - Space Station Live  Getting the Buzz on Astrobee_sbBQONITclk - transcript (automated).pdf","Transcript Link")</f>
        <v>Transcript Link</v>
      </c>
    </row>
    <row r="1021" ht="180" spans="1:13">
      <c r="A1021" s="1" t="s">
        <v>4515</v>
      </c>
      <c r="B1021" s="1" t="s">
        <v>13</v>
      </c>
      <c r="C1021" s="4" t="s">
        <v>4516</v>
      </c>
      <c r="D1021" s="1" t="s">
        <v>4517</v>
      </c>
      <c r="E1021" s="1" t="s">
        <v>4518</v>
      </c>
      <c r="F1021" s="4" t="s">
        <v>17</v>
      </c>
      <c r="G1021" s="1" t="s">
        <v>18</v>
      </c>
      <c r="H1021" s="1" t="s">
        <v>19</v>
      </c>
      <c r="I1021" s="1" t="s">
        <v>20</v>
      </c>
      <c r="J1021" s="1" t="s">
        <v>4519</v>
      </c>
      <c r="K1021" s="1" t="s">
        <v>22</v>
      </c>
      <c r="L1021" s="1" t="str">
        <f>HYPERLINK("https://files.afu.se/Downloads/Transcripts/0%20-%20Government/USA%20-%20NASA%20Johnson/2016 05 16 - NASA Johnson - The International Space Station Has Made Its 100,000th Orbit!_Se4-RpKdgZc - transcript (automated).pdf","Transcript Link")</f>
        <v>Transcript Link</v>
      </c>
      <c r="M1021" s="2" t="str">
        <f>HYPERLINK("https://files.afu.se/Downloads/Transcripts/0%20-%20Government/USA%20-%20NASA%20Johnson/2016 05 16 - NASA Johnson - The International Space Station Has Made Its 100,000th Orbit!_Se4-RpKdgZc - transcript (automated).pdf","Transcript Link")</f>
        <v>Transcript Link</v>
      </c>
    </row>
    <row r="1022" ht="285" spans="1:13">
      <c r="A1022" s="1" t="s">
        <v>4520</v>
      </c>
      <c r="B1022" s="1" t="s">
        <v>13</v>
      </c>
      <c r="C1022" s="4" t="s">
        <v>4521</v>
      </c>
      <c r="D1022" s="1" t="s">
        <v>4522</v>
      </c>
      <c r="E1022" s="1" t="s">
        <v>4523</v>
      </c>
      <c r="F1022" s="4" t="s">
        <v>17</v>
      </c>
      <c r="G1022" s="1" t="s">
        <v>18</v>
      </c>
      <c r="H1022" s="1" t="s">
        <v>19</v>
      </c>
      <c r="I1022" s="1" t="s">
        <v>20</v>
      </c>
      <c r="J1022" s="1" t="s">
        <v>4524</v>
      </c>
      <c r="K1022" s="1" t="s">
        <v>22</v>
      </c>
      <c r="L1022" s="1" t="str">
        <f>HYPERLINK("https://files.afu.se/Downloads/Transcripts/0%20-%20Government/USA%20-%20NASA%20Johnson/2016 05 13 - NASA Johnson - International Space Station Marks 100,000 Orbits of Earth_g5chOA-WEuw - transcript (automated).pdf","Transcript Link")</f>
        <v>Transcript Link</v>
      </c>
      <c r="M1022" s="2" t="str">
        <f>HYPERLINK("https://files.afu.se/Downloads/Transcripts/0%20-%20Government/USA%20-%20NASA%20Johnson/2016 05 13 - NASA Johnson - International Space Station Marks 100,000 Orbits of Earth_g5chOA-WEuw - transcript (automated).pdf","Transcript Link")</f>
        <v>Transcript Link</v>
      </c>
    </row>
    <row r="1023" ht="255" spans="1:13">
      <c r="A1023" s="1" t="s">
        <v>4520</v>
      </c>
      <c r="B1023" s="1" t="s">
        <v>13</v>
      </c>
      <c r="C1023" s="4" t="s">
        <v>4525</v>
      </c>
      <c r="D1023" s="1" t="s">
        <v>4526</v>
      </c>
      <c r="E1023" s="1" t="s">
        <v>4527</v>
      </c>
      <c r="F1023" s="4" t="s">
        <v>17</v>
      </c>
      <c r="G1023" s="1" t="s">
        <v>18</v>
      </c>
      <c r="H1023" s="1" t="s">
        <v>19</v>
      </c>
      <c r="I1023" s="1" t="s">
        <v>20</v>
      </c>
      <c r="J1023" s="1" t="s">
        <v>4528</v>
      </c>
      <c r="K1023" s="1" t="s">
        <v>22</v>
      </c>
      <c r="L1023" s="1" t="str">
        <f>HYPERLINK("https://files.afu.se/Downloads/Transcripts/0%20-%20Government/USA%20-%20NASA%20Johnson/2016 05 13 - NASA Johnson - Space Station Live  Green Chemistry for the Red Planet_lzZ2TDCIX88 - transcript (automated).pdf","Transcript Link")</f>
        <v>Transcript Link</v>
      </c>
      <c r="M1023" s="2" t="str">
        <f>HYPERLINK("https://files.afu.se/Downloads/Transcripts/0%20-%20Government/USA%20-%20NASA%20Johnson/2016 05 13 - NASA Johnson - Space Station Live  Green Chemistry for the Red Planet_lzZ2TDCIX88 - transcript (automated).pdf","Transcript Link")</f>
        <v>Transcript Link</v>
      </c>
    </row>
    <row r="1024" ht="180" spans="1:13">
      <c r="A1024" s="1" t="s">
        <v>4520</v>
      </c>
      <c r="B1024" s="1" t="s">
        <v>13</v>
      </c>
      <c r="C1024" s="4" t="s">
        <v>4529</v>
      </c>
      <c r="D1024" s="1" t="s">
        <v>4530</v>
      </c>
      <c r="E1024" s="1" t="s">
        <v>2929</v>
      </c>
      <c r="F1024" s="4" t="s">
        <v>17</v>
      </c>
      <c r="G1024" s="1" t="s">
        <v>18</v>
      </c>
      <c r="H1024" s="1" t="s">
        <v>19</v>
      </c>
      <c r="I1024" s="1" t="s">
        <v>20</v>
      </c>
      <c r="J1024" s="1" t="s">
        <v>4531</v>
      </c>
      <c r="K1024" s="1" t="s">
        <v>22</v>
      </c>
      <c r="L1024" s="1" t="str">
        <f>HYPERLINK("https://files.afu.se/Downloads/Transcripts/0%20-%20Government/USA%20-%20NASA%20Johnson/2016 05 13 - NASA Johnson - Space to Ground  Release The Dragon  05 13 2016_85CQl6_tFOU - transcript (automated).pdf","Transcript Link")</f>
        <v>Transcript Link</v>
      </c>
      <c r="M1024" s="2" t="str">
        <f>HYPERLINK("https://files.afu.se/Downloads/Transcripts/0%20-%20Government/USA%20-%20NASA%20Johnson/2016 05 13 - NASA Johnson - Space to Ground  Release The Dragon  05 13 2016_85CQl6_tFOU - transcript (automated).pdf","Transcript Link")</f>
        <v>Transcript Link</v>
      </c>
    </row>
    <row r="1025" ht="180" spans="1:13">
      <c r="A1025" s="1" t="s">
        <v>4532</v>
      </c>
      <c r="B1025" s="1" t="s">
        <v>13</v>
      </c>
      <c r="C1025" s="4" t="s">
        <v>4533</v>
      </c>
      <c r="D1025" s="1" t="s">
        <v>4534</v>
      </c>
      <c r="E1025" s="1" t="s">
        <v>4535</v>
      </c>
      <c r="F1025" s="4" t="s">
        <v>17</v>
      </c>
      <c r="G1025" s="1" t="s">
        <v>18</v>
      </c>
      <c r="H1025" s="1" t="s">
        <v>19</v>
      </c>
      <c r="I1025" s="1" t="s">
        <v>20</v>
      </c>
      <c r="J1025" s="1" t="s">
        <v>4536</v>
      </c>
      <c r="K1025" s="1" t="s">
        <v>22</v>
      </c>
      <c r="L1025" s="1" t="str">
        <f>HYPERLINK("https://files.afu.se/Downloads/Transcripts/0%20-%20Government/USA%20-%20NASA%20Johnson/2016 05 11 - NASA Johnson - Dragon Departs Station_Lt6WVHMA3yE - transcript (automated).pdf","Transcript Link")</f>
        <v>Transcript Link</v>
      </c>
      <c r="M1025" s="2" t="str">
        <f>HYPERLINK("https://files.afu.se/Downloads/Transcripts/0%20-%20Government/USA%20-%20NASA%20Johnson/2016 05 11 - NASA Johnson - Dragon Departs Station_Lt6WVHMA3yE - transcript (automated).pdf","Transcript Link")</f>
        <v>Transcript Link</v>
      </c>
    </row>
    <row r="1026" ht="270" spans="1:13">
      <c r="A1026" s="1" t="s">
        <v>4537</v>
      </c>
      <c r="B1026" s="1" t="s">
        <v>13</v>
      </c>
      <c r="C1026" s="4" t="s">
        <v>4538</v>
      </c>
      <c r="D1026" s="1" t="s">
        <v>4539</v>
      </c>
      <c r="E1026" s="1" t="s">
        <v>4540</v>
      </c>
      <c r="F1026" s="4" t="s">
        <v>17</v>
      </c>
      <c r="G1026" s="1" t="s">
        <v>18</v>
      </c>
      <c r="H1026" s="1" t="s">
        <v>19</v>
      </c>
      <c r="I1026" s="1" t="s">
        <v>20</v>
      </c>
      <c r="J1026" s="1" t="s">
        <v>4541</v>
      </c>
      <c r="K1026" s="1" t="s">
        <v>22</v>
      </c>
      <c r="L1026" s="1" t="str">
        <f>HYPERLINK("https://files.afu.se/Downloads/Transcripts/0%20-%20Government/USA%20-%20NASA%20Johnson/2016 05 10 - NASA Johnson - Space Station Live  Rodent Research Flies Again_5uUzxagAPlw - transcript (automated).pdf","Transcript Link")</f>
        <v>Transcript Link</v>
      </c>
      <c r="M1026" s="2" t="str">
        <f>HYPERLINK("https://files.afu.se/Downloads/Transcripts/0%20-%20Government/USA%20-%20NASA%20Johnson/2016 05 10 - NASA Johnson - Space Station Live  Rodent Research Flies Again_5uUzxagAPlw - transcript (automated).pdf","Transcript Link")</f>
        <v>Transcript Link</v>
      </c>
    </row>
    <row r="1027" ht="270" spans="1:13">
      <c r="A1027" s="1" t="s">
        <v>4542</v>
      </c>
      <c r="B1027" s="1" t="s">
        <v>13</v>
      </c>
      <c r="C1027" s="4" t="s">
        <v>4543</v>
      </c>
      <c r="D1027" s="1" t="s">
        <v>4544</v>
      </c>
      <c r="E1027" s="1" t="s">
        <v>4545</v>
      </c>
      <c r="F1027" s="4" t="s">
        <v>17</v>
      </c>
      <c r="G1027" s="1" t="s">
        <v>18</v>
      </c>
      <c r="H1027" s="1" t="s">
        <v>19</v>
      </c>
      <c r="I1027" s="1" t="s">
        <v>20</v>
      </c>
      <c r="J1027" s="1" t="s">
        <v>4546</v>
      </c>
      <c r="K1027" s="1" t="s">
        <v>22</v>
      </c>
      <c r="L1027" s="1" t="str">
        <f>HYPERLINK("https://files.afu.se/Downloads/Transcripts/0%20-%20Government/USA%20-%20NASA%20Johnson/2016 05 06 - NASA Johnson - Space Station Live  Genes in Space_YBe1MHp1LsE - transcript (automated).pdf","Transcript Link")</f>
        <v>Transcript Link</v>
      </c>
      <c r="M1027" s="2" t="str">
        <f>HYPERLINK("https://files.afu.se/Downloads/Transcripts/0%20-%20Government/USA%20-%20NASA%20Johnson/2016 05 06 - NASA Johnson - Space Station Live  Genes in Space_YBe1MHp1LsE - transcript (automated).pdf","Transcript Link")</f>
        <v>Transcript Link</v>
      </c>
    </row>
    <row r="1028" ht="180" spans="1:13">
      <c r="A1028" s="1" t="s">
        <v>4542</v>
      </c>
      <c r="B1028" s="1" t="s">
        <v>13</v>
      </c>
      <c r="C1028" s="4" t="s">
        <v>4547</v>
      </c>
      <c r="D1028" s="1" t="s">
        <v>4548</v>
      </c>
      <c r="E1028" s="1" t="s">
        <v>2929</v>
      </c>
      <c r="F1028" s="4" t="s">
        <v>17</v>
      </c>
      <c r="G1028" s="1" t="s">
        <v>18</v>
      </c>
      <c r="H1028" s="1" t="s">
        <v>19</v>
      </c>
      <c r="I1028" s="1" t="s">
        <v>20</v>
      </c>
      <c r="J1028" s="1" t="s">
        <v>4549</v>
      </c>
      <c r="K1028" s="1" t="s">
        <v>22</v>
      </c>
      <c r="L1028" s="1" t="str">
        <f>HYPERLINK("https://files.afu.se/Downloads/Transcripts/0%20-%20Government/USA%20-%20NASA%20Johnson/2016 05 06 - NASA Johnson - Space to Ground  Every Picture Tells a Story  05 06 2016_z3hv4q1XrDI - transcript (automated).pdf","Transcript Link")</f>
        <v>Transcript Link</v>
      </c>
      <c r="M1028" s="2" t="str">
        <f>HYPERLINK("https://files.afu.se/Downloads/Transcripts/0%20-%20Government/USA%20-%20NASA%20Johnson/2016 05 06 - NASA Johnson - Space to Ground  Every Picture Tells a Story  05 06 2016_z3hv4q1XrDI - transcript (automated).pdf","Transcript Link")</f>
        <v>Transcript Link</v>
      </c>
    </row>
    <row r="1029" ht="180" spans="1:13">
      <c r="A1029" s="1" t="s">
        <v>4550</v>
      </c>
      <c r="B1029" s="1" t="s">
        <v>13</v>
      </c>
      <c r="C1029" s="4" t="s">
        <v>4551</v>
      </c>
      <c r="D1029" s="1" t="s">
        <v>4552</v>
      </c>
      <c r="E1029" s="1" t="s">
        <v>4553</v>
      </c>
      <c r="F1029" s="4" t="s">
        <v>17</v>
      </c>
      <c r="G1029" s="1" t="s">
        <v>18</v>
      </c>
      <c r="H1029" s="1" t="s">
        <v>19</v>
      </c>
      <c r="I1029" s="1" t="s">
        <v>20</v>
      </c>
      <c r="J1029" s="1" t="s">
        <v>4554</v>
      </c>
      <c r="K1029" s="1" t="s">
        <v>22</v>
      </c>
      <c r="L1029" s="1" t="str">
        <f>HYPERLINK("https://files.afu.se/Downloads/Transcripts/0%20-%20Government/USA%20-%20NASA%20Johnson/2016 05 05 - NASA Johnson - A Moment with Aleksey Ovchinin_EuCfB8b-JDM - transcript (automated).pdf","Transcript Link")</f>
        <v>Transcript Link</v>
      </c>
      <c r="M1029" s="2" t="str">
        <f>HYPERLINK("https://files.afu.se/Downloads/Transcripts/0%20-%20Government/USA%20-%20NASA%20Johnson/2016 05 05 - NASA Johnson - A Moment with Aleksey Ovchinin_EuCfB8b-JDM - transcript (automated).pdf","Transcript Link")</f>
        <v>Transcript Link</v>
      </c>
    </row>
    <row r="1030" ht="180" spans="1:13">
      <c r="A1030" s="1" t="s">
        <v>4555</v>
      </c>
      <c r="B1030" s="1" t="s">
        <v>13</v>
      </c>
      <c r="C1030" s="4" t="s">
        <v>4556</v>
      </c>
      <c r="D1030" s="1" t="s">
        <v>4557</v>
      </c>
      <c r="E1030" s="1" t="s">
        <v>4558</v>
      </c>
      <c r="F1030" s="4" t="s">
        <v>17</v>
      </c>
      <c r="G1030" s="1" t="s">
        <v>18</v>
      </c>
      <c r="H1030" s="1" t="s">
        <v>19</v>
      </c>
      <c r="I1030" s="1" t="s">
        <v>20</v>
      </c>
      <c r="J1030" s="1" t="s">
        <v>4559</v>
      </c>
      <c r="K1030" s="1" t="s">
        <v>22</v>
      </c>
      <c r="L1030" s="1" t="str">
        <f>HYPERLINK("https://files.afu.se/Downloads/Transcripts/0%20-%20Government/USA%20-%20NASA%20Johnson/2016 05 04 - NASA Johnson - Space Station Live  Getting the Dirt on Regolith_ersxREmKIvE - transcript (automated).pdf","Transcript Link")</f>
        <v>Transcript Link</v>
      </c>
      <c r="M1030" s="2" t="str">
        <f>HYPERLINK("https://files.afu.se/Downloads/Transcripts/0%20-%20Government/USA%20-%20NASA%20Johnson/2016 05 04 - NASA Johnson - Space Station Live  Getting the Dirt on Regolith_ersxREmKIvE - transcript (automated).pdf","Transcript Link")</f>
        <v>Transcript Link</v>
      </c>
    </row>
    <row r="1031" ht="180" spans="1:13">
      <c r="A1031" s="1" t="s">
        <v>4555</v>
      </c>
      <c r="B1031" s="1" t="s">
        <v>13</v>
      </c>
      <c r="C1031" s="4" t="s">
        <v>4560</v>
      </c>
      <c r="D1031" s="1" t="s">
        <v>4561</v>
      </c>
      <c r="E1031" s="1" t="s">
        <v>4562</v>
      </c>
      <c r="F1031" s="4" t="s">
        <v>17</v>
      </c>
      <c r="G1031" s="1" t="s">
        <v>18</v>
      </c>
      <c r="H1031" s="1" t="s">
        <v>19</v>
      </c>
      <c r="I1031" s="1" t="s">
        <v>20</v>
      </c>
      <c r="J1031" s="1" t="s">
        <v>4563</v>
      </c>
      <c r="K1031" s="1" t="s">
        <v>22</v>
      </c>
      <c r="L1031" s="1" t="str">
        <f>HYPERLINK("https://files.afu.se/Downloads/Transcripts/0%20-%20Government/USA%20-%20NASA%20Johnson/2016 05 04 - NASA Johnson - A Moment with Oleg Skripochka_DDBoMVoEqIs - transcript (automated).pdf","Transcript Link")</f>
        <v>Transcript Link</v>
      </c>
      <c r="M1031" s="2" t="str">
        <f>HYPERLINK("https://files.afu.se/Downloads/Transcripts/0%20-%20Government/USA%20-%20NASA%20Johnson/2016 05 04 - NASA Johnson - A Moment with Oleg Skripochka_DDBoMVoEqIs - transcript (automated).pdf","Transcript Link")</f>
        <v>Transcript Link</v>
      </c>
    </row>
    <row r="1032" ht="180" spans="1:13">
      <c r="A1032" s="1" t="s">
        <v>4564</v>
      </c>
      <c r="B1032" s="1" t="s">
        <v>13</v>
      </c>
      <c r="C1032" s="4" t="s">
        <v>4565</v>
      </c>
      <c r="D1032" s="1" t="s">
        <v>4566</v>
      </c>
      <c r="E1032" s="1" t="s">
        <v>4567</v>
      </c>
      <c r="F1032" s="4" t="s">
        <v>17</v>
      </c>
      <c r="G1032" s="1" t="s">
        <v>18</v>
      </c>
      <c r="H1032" s="1" t="s">
        <v>19</v>
      </c>
      <c r="I1032" s="1" t="s">
        <v>20</v>
      </c>
      <c r="J1032" s="1" t="s">
        <v>4568</v>
      </c>
      <c r="K1032" s="1" t="s">
        <v>22</v>
      </c>
      <c r="L1032" s="1" t="str">
        <f>HYPERLINK("https://files.afu.se/Downloads/Transcripts/0%20-%20Government/USA%20-%20NASA%20Johnson/2016 05 03 - NASA Johnson - A Moment with Jeff Williams_09wMN_bPoZY - transcript (automated).pdf","Transcript Link")</f>
        <v>Transcript Link</v>
      </c>
      <c r="M1032" s="2" t="str">
        <f>HYPERLINK("https://files.afu.se/Downloads/Transcripts/0%20-%20Government/USA%20-%20NASA%20Johnson/2016 05 03 - NASA Johnson - A Moment with Jeff Williams_09wMN_bPoZY - transcript (automated).pdf","Transcript Link")</f>
        <v>Transcript Link</v>
      </c>
    </row>
    <row r="1033" ht="409.5" spans="1:13">
      <c r="A1033" s="1" t="s">
        <v>4569</v>
      </c>
      <c r="B1033" s="1" t="s">
        <v>13</v>
      </c>
      <c r="C1033" s="4" t="s">
        <v>4570</v>
      </c>
      <c r="D1033" s="1" t="s">
        <v>4571</v>
      </c>
      <c r="E1033" s="1" t="s">
        <v>4572</v>
      </c>
      <c r="F1033" s="4" t="s">
        <v>17</v>
      </c>
      <c r="G1033" s="1" t="s">
        <v>18</v>
      </c>
      <c r="H1033" s="1" t="s">
        <v>19</v>
      </c>
      <c r="I1033" s="1" t="s">
        <v>20</v>
      </c>
      <c r="J1033" s="1" t="s">
        <v>4573</v>
      </c>
      <c r="K1033" s="1" t="s">
        <v>22</v>
      </c>
      <c r="L1033" s="1" t="str">
        <f>HYPERLINK("https://files.afu.se/Downloads/Transcripts/0%20-%20Government/USA%20-%20NASA%20Johnson/2016 05 02 - NASA Johnson - StationLIFE  Physical Science – May 2016_sYcbBA9Dg6c - transcript (automated).pdf","Transcript Link")</f>
        <v>Transcript Link</v>
      </c>
      <c r="M1033" s="2" t="str">
        <f>HYPERLINK("https://files.afu.se/Downloads/Transcripts/0%20-%20Government/USA%20-%20NASA%20Johnson/2016 05 02 - NASA Johnson - StationLIFE  Physical Science – May 2016_sYcbBA9Dg6c - transcript (automated).pdf","Transcript Link")</f>
        <v>Transcript Link</v>
      </c>
    </row>
    <row r="1034" ht="180" spans="1:13">
      <c r="A1034" s="1" t="s">
        <v>4574</v>
      </c>
      <c r="B1034" s="1" t="s">
        <v>13</v>
      </c>
      <c r="C1034" s="4" t="s">
        <v>4575</v>
      </c>
      <c r="D1034" s="1" t="s">
        <v>4576</v>
      </c>
      <c r="E1034" s="1" t="s">
        <v>4577</v>
      </c>
      <c r="F1034" s="4" t="s">
        <v>17</v>
      </c>
      <c r="G1034" s="1" t="s">
        <v>18</v>
      </c>
      <c r="H1034" s="1" t="s">
        <v>19</v>
      </c>
      <c r="I1034" s="1" t="s">
        <v>20</v>
      </c>
      <c r="J1034" s="1" t="s">
        <v>4578</v>
      </c>
      <c r="K1034" s="1" t="s">
        <v>22</v>
      </c>
      <c r="L1034" s="1" t="str">
        <f>HYPERLINK("https://files.afu.se/Downloads/Transcripts/0%20-%20Government/USA%20-%20NASA%20Johnson/2016 04 29 - NASA Johnson - Space Station Live  A Window to Earth_1nHD65LUio0 - transcript (automated).pdf","Transcript Link")</f>
        <v>Transcript Link</v>
      </c>
      <c r="M1034" s="2" t="str">
        <f>HYPERLINK("https://files.afu.se/Downloads/Transcripts/0%20-%20Government/USA%20-%20NASA%20Johnson/2016 04 29 - NASA Johnson - Space Station Live  A Window to Earth_1nHD65LUio0 - transcript (automated).pdf","Transcript Link")</f>
        <v>Transcript Link</v>
      </c>
    </row>
    <row r="1035" ht="255" spans="1:13">
      <c r="A1035" s="1" t="s">
        <v>4574</v>
      </c>
      <c r="B1035" s="1" t="s">
        <v>13</v>
      </c>
      <c r="C1035" s="4" t="s">
        <v>4579</v>
      </c>
      <c r="D1035" s="1" t="s">
        <v>4580</v>
      </c>
      <c r="E1035" s="1" t="s">
        <v>4581</v>
      </c>
      <c r="F1035" s="4" t="s">
        <v>17</v>
      </c>
      <c r="G1035" s="1" t="s">
        <v>18</v>
      </c>
      <c r="H1035" s="1" t="s">
        <v>19</v>
      </c>
      <c r="I1035" s="1" t="s">
        <v>20</v>
      </c>
      <c r="J1035" s="1" t="s">
        <v>4582</v>
      </c>
      <c r="K1035" s="1" t="s">
        <v>22</v>
      </c>
      <c r="L1035" s="1" t="str">
        <f>HYPERLINK("https://files.afu.se/Downloads/Transcripts/0%20-%20Government/USA%20-%20NASA%20Johnson/2016 04 29 - NASA Johnson - Making Space  Aron Hozman_9yp7EP4hvSQ - transcript (automated).pdf","Transcript Link")</f>
        <v>Transcript Link</v>
      </c>
      <c r="M1035" s="2" t="str">
        <f>HYPERLINK("https://files.afu.se/Downloads/Transcripts/0%20-%20Government/USA%20-%20NASA%20Johnson/2016 04 29 - NASA Johnson - Making Space  Aron Hozman_9yp7EP4hvSQ - transcript (automated).pdf","Transcript Link")</f>
        <v>Transcript Link</v>
      </c>
    </row>
    <row r="1036" ht="180" spans="1:13">
      <c r="A1036" s="1" t="s">
        <v>4574</v>
      </c>
      <c r="B1036" s="1" t="s">
        <v>13</v>
      </c>
      <c r="C1036" s="4" t="s">
        <v>4583</v>
      </c>
      <c r="D1036" s="1" t="s">
        <v>4584</v>
      </c>
      <c r="E1036" s="1" t="s">
        <v>2929</v>
      </c>
      <c r="F1036" s="4" t="s">
        <v>17</v>
      </c>
      <c r="G1036" s="1" t="s">
        <v>18</v>
      </c>
      <c r="H1036" s="1" t="s">
        <v>19</v>
      </c>
      <c r="I1036" s="1" t="s">
        <v>20</v>
      </c>
      <c r="J1036" s="1" t="s">
        <v>4585</v>
      </c>
      <c r="K1036" s="1" t="s">
        <v>22</v>
      </c>
      <c r="L1036" s="1" t="str">
        <f>HYPERLINK("https://files.afu.se/Downloads/Transcripts/0%20-%20Government/USA%20-%20NASA%20Johnson/2016 04 29 - NASA Johnson - Space to Ground  Space Marathon  04 29 2016_5ESZW5YH6ow - transcript (automated).pdf","Transcript Link")</f>
        <v>Transcript Link</v>
      </c>
      <c r="M1036" s="2" t="str">
        <f>HYPERLINK("https://files.afu.se/Downloads/Transcripts/0%20-%20Government/USA%20-%20NASA%20Johnson/2016 04 29 - NASA Johnson - Space to Ground  Space Marathon  04 29 2016_5ESZW5YH6ow - transcript (automated).pdf","Transcript Link")</f>
        <v>Transcript Link</v>
      </c>
    </row>
    <row r="1037" ht="195" spans="1:13">
      <c r="A1037" s="1" t="s">
        <v>4586</v>
      </c>
      <c r="B1037" s="1" t="s">
        <v>13</v>
      </c>
      <c r="C1037" s="4" t="s">
        <v>4587</v>
      </c>
      <c r="D1037" s="1" t="s">
        <v>4588</v>
      </c>
      <c r="E1037" s="1" t="s">
        <v>4589</v>
      </c>
      <c r="F1037" s="4" t="s">
        <v>17</v>
      </c>
      <c r="G1037" s="1" t="s">
        <v>18</v>
      </c>
      <c r="H1037" s="1" t="s">
        <v>19</v>
      </c>
      <c r="I1037" s="1" t="s">
        <v>20</v>
      </c>
      <c r="J1037" s="1" t="s">
        <v>4590</v>
      </c>
      <c r="K1037" s="1" t="s">
        <v>22</v>
      </c>
      <c r="L1037" s="1" t="str">
        <f>HYPERLINK("https://files.afu.se/Downloads/Transcripts/0%20-%20Government/USA%20-%20NASA%20Johnson/2016 04 27 - NASA Johnson - Space Station Live  The Doctor is In_BPIXfBJsWIg - transcript (automated).pdf","Transcript Link")</f>
        <v>Transcript Link</v>
      </c>
      <c r="M1037" s="2" t="str">
        <f>HYPERLINK("https://files.afu.se/Downloads/Transcripts/0%20-%20Government/USA%20-%20NASA%20Johnson/2016 04 27 - NASA Johnson - Space Station Live  The Doctor is In_BPIXfBJsWIg - transcript (automated).pdf","Transcript Link")</f>
        <v>Transcript Link</v>
      </c>
    </row>
    <row r="1038" ht="345" spans="1:13">
      <c r="A1038" s="1" t="s">
        <v>4586</v>
      </c>
      <c r="B1038" s="1" t="s">
        <v>13</v>
      </c>
      <c r="C1038" s="4" t="s">
        <v>4591</v>
      </c>
      <c r="D1038" s="1" t="s">
        <v>4592</v>
      </c>
      <c r="E1038" s="1" t="s">
        <v>4593</v>
      </c>
      <c r="F1038" s="4" t="s">
        <v>17</v>
      </c>
      <c r="G1038" s="1" t="s">
        <v>18</v>
      </c>
      <c r="H1038" s="1" t="s">
        <v>19</v>
      </c>
      <c r="I1038" s="1" t="s">
        <v>20</v>
      </c>
      <c r="J1038" s="1" t="s">
        <v>4594</v>
      </c>
      <c r="K1038" s="1" t="s">
        <v>22</v>
      </c>
      <c r="L1038" s="1" t="str">
        <f>HYPERLINK("https://files.afu.se/Downloads/Transcripts/0%20-%20Government/USA%20-%20NASA%20Johnson/2016 04 27 - NASA Johnson - CineSpace 2016_dNuB6--L5tA - transcript (automated).pdf","Transcript Link")</f>
        <v>Transcript Link</v>
      </c>
      <c r="M1038" s="2" t="str">
        <f>HYPERLINK("https://files.afu.se/Downloads/Transcripts/0%20-%20Government/USA%20-%20NASA%20Johnson/2016 04 27 - NASA Johnson - CineSpace 2016_dNuB6--L5tA - transcript (automated).pdf","Transcript Link")</f>
        <v>Transcript Link</v>
      </c>
    </row>
    <row r="1039" ht="240" spans="1:13">
      <c r="A1039" s="1" t="s">
        <v>4595</v>
      </c>
      <c r="B1039" s="1" t="s">
        <v>13</v>
      </c>
      <c r="C1039" s="4" t="s">
        <v>4596</v>
      </c>
      <c r="D1039" s="1" t="s">
        <v>4597</v>
      </c>
      <c r="E1039" s="1" t="s">
        <v>4598</v>
      </c>
      <c r="F1039" s="4" t="s">
        <v>17</v>
      </c>
      <c r="G1039" s="1" t="s">
        <v>18</v>
      </c>
      <c r="H1039" s="1" t="s">
        <v>19</v>
      </c>
      <c r="I1039" s="1" t="s">
        <v>20</v>
      </c>
      <c r="J1039" s="1" t="s">
        <v>4599</v>
      </c>
      <c r="K1039" s="1" t="s">
        <v>22</v>
      </c>
      <c r="L1039" s="1" t="str">
        <f>HYPERLINK("https://files.afu.se/Downloads/Transcripts/0%20-%20Government/USA%20-%20NASA%20Johnson/2016 04 26 - NASA Johnson - Space Station Live  WetLab-2 Gene Expression Analysis_KMR8b7T95xU - transcript (automated).pdf","Transcript Link")</f>
        <v>Transcript Link</v>
      </c>
      <c r="M1039" s="2" t="str">
        <f>HYPERLINK("https://files.afu.se/Downloads/Transcripts/0%20-%20Government/USA%20-%20NASA%20Johnson/2016 04 26 - NASA Johnson - Space Station Live  WetLab-2 Gene Expression Analysis_KMR8b7T95xU - transcript (automated).pdf","Transcript Link")</f>
        <v>Transcript Link</v>
      </c>
    </row>
    <row r="1040" ht="180" spans="1:13">
      <c r="A1040" s="1" t="s">
        <v>4600</v>
      </c>
      <c r="B1040" s="1" t="s">
        <v>13</v>
      </c>
      <c r="C1040" s="4" t="s">
        <v>4601</v>
      </c>
      <c r="D1040" s="1" t="s">
        <v>4602</v>
      </c>
      <c r="E1040" s="1" t="s">
        <v>4603</v>
      </c>
      <c r="F1040" s="4" t="s">
        <v>17</v>
      </c>
      <c r="G1040" s="1" t="s">
        <v>18</v>
      </c>
      <c r="H1040" s="1" t="s">
        <v>19</v>
      </c>
      <c r="I1040" s="1" t="s">
        <v>20</v>
      </c>
      <c r="J1040" s="1" t="s">
        <v>4604</v>
      </c>
      <c r="K1040" s="1" t="s">
        <v>22</v>
      </c>
      <c r="L1040" s="1" t="str">
        <f>HYPERLINK("https://files.afu.se/Downloads/Transcripts/0%20-%20Government/USA%20-%20NASA%20Johnson/2016 04 22 - NASA Johnson - Space Station Live  An Earth Day View of Earth_r3S1XPDqN_w - transcript (automated).pdf","Transcript Link")</f>
        <v>Transcript Link</v>
      </c>
      <c r="M1040" s="2" t="str">
        <f>HYPERLINK("https://files.afu.se/Downloads/Transcripts/0%20-%20Government/USA%20-%20NASA%20Johnson/2016 04 22 - NASA Johnson - Space Station Live  An Earth Day View of Earth_r3S1XPDqN_w - transcript (automated).pdf","Transcript Link")</f>
        <v>Transcript Link</v>
      </c>
    </row>
    <row r="1041" ht="180" spans="1:13">
      <c r="A1041" s="1" t="s">
        <v>4600</v>
      </c>
      <c r="B1041" s="1" t="s">
        <v>13</v>
      </c>
      <c r="C1041" s="4" t="s">
        <v>4605</v>
      </c>
      <c r="D1041" s="1" t="s">
        <v>4606</v>
      </c>
      <c r="E1041" s="1" t="s">
        <v>2929</v>
      </c>
      <c r="F1041" s="4" t="s">
        <v>17</v>
      </c>
      <c r="G1041" s="1" t="s">
        <v>18</v>
      </c>
      <c r="H1041" s="1" t="s">
        <v>19</v>
      </c>
      <c r="I1041" s="1" t="s">
        <v>20</v>
      </c>
      <c r="J1041" s="1" t="s">
        <v>4607</v>
      </c>
      <c r="K1041" s="1" t="s">
        <v>22</v>
      </c>
      <c r="L1041" s="1" t="str">
        <f>HYPERLINK("https://files.afu.se/Downloads/Transcripts/0%20-%20Government/USA%20-%20NASA%20Johnson/2016 04 22 - NASA Johnson - Space to Ground  BEAM Me Up Scotty!  04 22 2016_UvXX3L7o_kw - transcript (automated).pdf","Transcript Link")</f>
        <v>Transcript Link</v>
      </c>
      <c r="M1041" s="2" t="str">
        <f>HYPERLINK("https://files.afu.se/Downloads/Transcripts/0%20-%20Government/USA%20-%20NASA%20Johnson/2016 04 22 - NASA Johnson - Space to Ground  BEAM Me Up Scotty!  04 22 2016_UvXX3L7o_kw - transcript (automated).pdf","Transcript Link")</f>
        <v>Transcript Link</v>
      </c>
    </row>
    <row r="1042" ht="180" spans="1:13">
      <c r="A1042" s="1" t="s">
        <v>4608</v>
      </c>
      <c r="B1042" s="1" t="s">
        <v>13</v>
      </c>
      <c r="C1042" s="4" t="s">
        <v>4609</v>
      </c>
      <c r="D1042" s="1" t="s">
        <v>4610</v>
      </c>
      <c r="E1042" s="1" t="s">
        <v>4611</v>
      </c>
      <c r="F1042" s="4" t="s">
        <v>17</v>
      </c>
      <c r="G1042" s="1" t="s">
        <v>18</v>
      </c>
      <c r="H1042" s="1" t="s">
        <v>19</v>
      </c>
      <c r="I1042" s="1" t="s">
        <v>20</v>
      </c>
      <c r="J1042" s="1" t="s">
        <v>4612</v>
      </c>
      <c r="K1042" s="1" t="s">
        <v>22</v>
      </c>
      <c r="L1042" s="1" t="str">
        <f>HYPERLINK("https://files.afu.se/Downloads/Transcripts/0%20-%20Government/USA%20-%20NASA%20Johnson/2016 04 20 - NASA Johnson - Space Station Live  Windows on Earth_kvYLpzFdreQ - transcript (automated).pdf","Transcript Link")</f>
        <v>Transcript Link</v>
      </c>
      <c r="M1042" s="2" t="str">
        <f>HYPERLINK("https://files.afu.se/Downloads/Transcripts/0%20-%20Government/USA%20-%20NASA%20Johnson/2016 04 20 - NASA Johnson - Space Station Live  Windows on Earth_kvYLpzFdreQ - transcript (automated).pdf","Transcript Link")</f>
        <v>Transcript Link</v>
      </c>
    </row>
    <row r="1043" ht="390" spans="1:13">
      <c r="A1043" s="1" t="s">
        <v>4613</v>
      </c>
      <c r="B1043" s="1" t="s">
        <v>13</v>
      </c>
      <c r="C1043" s="4" t="s">
        <v>4614</v>
      </c>
      <c r="D1043" s="1" t="s">
        <v>4615</v>
      </c>
      <c r="E1043" s="1" t="s">
        <v>4616</v>
      </c>
      <c r="F1043" s="4" t="s">
        <v>17</v>
      </c>
      <c r="G1043" s="1" t="s">
        <v>18</v>
      </c>
      <c r="H1043" s="1" t="s">
        <v>19</v>
      </c>
      <c r="I1043" s="1" t="s">
        <v>20</v>
      </c>
      <c r="J1043" s="1" t="s">
        <v>4617</v>
      </c>
      <c r="K1043" s="1" t="s">
        <v>22</v>
      </c>
      <c r="L1043" s="1" t="str">
        <f>HYPERLINK("https://files.afu.se/Downloads/Transcripts/0%20-%20Government/USA%20-%20NASA%20Johnson/2016 04 19 - NASA Johnson - Ultra High Definition (4K) View of Planet Earth_oFDeNcu3mnc - transcript (automated).pdf","Transcript Link")</f>
        <v>Transcript Link</v>
      </c>
      <c r="M1043" s="2" t="str">
        <f>HYPERLINK("https://files.afu.se/Downloads/Transcripts/0%20-%20Government/USA%20-%20NASA%20Johnson/2016 04 19 - NASA Johnson - Ultra High Definition (4K) View of Planet Earth_oFDeNcu3mnc - transcript (automated).pdf","Transcript Link")</f>
        <v>Transcript Link</v>
      </c>
    </row>
    <row r="1044" ht="180" spans="1:13">
      <c r="A1044" s="1" t="s">
        <v>4613</v>
      </c>
      <c r="B1044" s="1" t="s">
        <v>13</v>
      </c>
      <c r="C1044" s="4" t="s">
        <v>4618</v>
      </c>
      <c r="D1044" s="1" t="s">
        <v>4619</v>
      </c>
      <c r="E1044" s="1" t="s">
        <v>4620</v>
      </c>
      <c r="F1044" s="4" t="s">
        <v>17</v>
      </c>
      <c r="G1044" s="1" t="s">
        <v>18</v>
      </c>
      <c r="H1044" s="1" t="s">
        <v>19</v>
      </c>
      <c r="I1044" s="1" t="s">
        <v>20</v>
      </c>
      <c r="J1044" s="1" t="s">
        <v>4621</v>
      </c>
      <c r="K1044" s="1" t="s">
        <v>22</v>
      </c>
      <c r="L1044" s="1" t="str">
        <f>HYPERLINK("https://files.afu.se/Downloads/Transcripts/0%20-%20Government/USA%20-%20NASA%20Johnson/2016 04 19 - NASA Johnson - Space Station Live  Burning for Safety_2_4r_DRtcDI - transcript (automated).pdf","Transcript Link")</f>
        <v>Transcript Link</v>
      </c>
      <c r="M1044" s="2" t="str">
        <f>HYPERLINK("https://files.afu.se/Downloads/Transcripts/0%20-%20Government/USA%20-%20NASA%20Johnson/2016 04 19 - NASA Johnson - Space Station Live  Burning for Safety_2_4r_DRtcDI - transcript (automated).pdf","Transcript Link")</f>
        <v>Transcript Link</v>
      </c>
    </row>
    <row r="1045" ht="390" spans="1:13">
      <c r="A1045" s="1" t="s">
        <v>4622</v>
      </c>
      <c r="B1045" s="1" t="s">
        <v>13</v>
      </c>
      <c r="C1045" s="4" t="s">
        <v>4623</v>
      </c>
      <c r="D1045" s="1" t="s">
        <v>4624</v>
      </c>
      <c r="E1045" s="1" t="s">
        <v>4616</v>
      </c>
      <c r="F1045" s="4" t="s">
        <v>17</v>
      </c>
      <c r="G1045" s="1" t="s">
        <v>18</v>
      </c>
      <c r="H1045" s="1" t="s">
        <v>19</v>
      </c>
      <c r="I1045" s="1" t="s">
        <v>20</v>
      </c>
      <c r="J1045" s="1" t="s">
        <v>4625</v>
      </c>
      <c r="K1045" s="1" t="s">
        <v>22</v>
      </c>
      <c r="L1045" s="1" t="str">
        <f>HYPERLINK("https://files.afu.se/Downloads/Transcripts/0%20-%20Government/USA%20-%20NASA%20Johnson/2016 04 18 - NASA Johnson - Ultra High Definition (4K) Crew Earth Observations_c7OO3qCfH9Y - transcript (automated).pdf","Transcript Link")</f>
        <v>Transcript Link</v>
      </c>
      <c r="M1045" s="2" t="str">
        <f>HYPERLINK("https://files.afu.se/Downloads/Transcripts/0%20-%20Government/USA%20-%20NASA%20Johnson/2016 04 18 - NASA Johnson - Ultra High Definition (4K) Crew Earth Observations_c7OO3qCfH9Y - transcript (automated).pdf","Transcript Link")</f>
        <v>Transcript Link</v>
      </c>
    </row>
    <row r="1046" ht="409.5" spans="1:13">
      <c r="A1046" s="1" t="s">
        <v>4626</v>
      </c>
      <c r="B1046" s="1" t="s">
        <v>13</v>
      </c>
      <c r="C1046" s="4" t="s">
        <v>4627</v>
      </c>
      <c r="D1046" s="1" t="s">
        <v>4628</v>
      </c>
      <c r="E1046" s="1" t="s">
        <v>4629</v>
      </c>
      <c r="F1046" s="4" t="s">
        <v>17</v>
      </c>
      <c r="G1046" s="1" t="s">
        <v>18</v>
      </c>
      <c r="H1046" s="1" t="s">
        <v>19</v>
      </c>
      <c r="I1046" s="1" t="s">
        <v>20</v>
      </c>
      <c r="J1046" s="1" t="s">
        <v>4630</v>
      </c>
      <c r="K1046" s="1" t="s">
        <v>22</v>
      </c>
      <c r="L1046" s="1" t="str">
        <f>HYPERLINK("https://files.afu.se/Downloads/Transcripts/0%20-%20Government/USA%20-%20NASA%20Johnson/2016 04 15 - NASA Johnson - Meteorites Help Answer Questions About Solar System Evolution_60w3WbVwhh8 - transcript (automated).pdf","Transcript Link")</f>
        <v>Transcript Link</v>
      </c>
      <c r="M1046" s="2" t="str">
        <f>HYPERLINK("https://files.afu.se/Downloads/Transcripts/0%20-%20Government/USA%20-%20NASA%20Johnson/2016 04 15 - NASA Johnson - Meteorites Help Answer Questions About Solar System Evolution_60w3WbVwhh8 - transcript (automated).pdf","Transcript Link")</f>
        <v>Transcript Link</v>
      </c>
    </row>
    <row r="1047" ht="180" spans="1:13">
      <c r="A1047" s="1" t="s">
        <v>4626</v>
      </c>
      <c r="B1047" s="1" t="s">
        <v>13</v>
      </c>
      <c r="C1047" s="4" t="s">
        <v>4631</v>
      </c>
      <c r="D1047" s="1" t="s">
        <v>4632</v>
      </c>
      <c r="E1047" s="1" t="s">
        <v>2929</v>
      </c>
      <c r="F1047" s="4" t="s">
        <v>17</v>
      </c>
      <c r="G1047" s="1" t="s">
        <v>18</v>
      </c>
      <c r="H1047" s="1" t="s">
        <v>19</v>
      </c>
      <c r="I1047" s="1" t="s">
        <v>20</v>
      </c>
      <c r="J1047" s="1" t="s">
        <v>4633</v>
      </c>
      <c r="K1047" s="1" t="s">
        <v>22</v>
      </c>
      <c r="L1047" s="1" t="str">
        <f>HYPERLINK("https://files.afu.se/Downloads/Transcripts/0%20-%20Government/USA%20-%20NASA%20Johnson/2016 04 15 - NASA Johnson - Space to Ground  Six Pack of Spaceships  04 15 2016__kd8tWBLNB0 - transcript (automated).pdf","Transcript Link")</f>
        <v>Transcript Link</v>
      </c>
      <c r="M1047" s="2" t="str">
        <f>HYPERLINK("https://files.afu.se/Downloads/Transcripts/0%20-%20Government/USA%20-%20NASA%20Johnson/2016 04 15 - NASA Johnson - Space to Ground  Six Pack of Spaceships  04 15 2016__kd8tWBLNB0 - transcript (automated).pdf","Transcript Link")</f>
        <v>Transcript Link</v>
      </c>
    </row>
    <row r="1048" ht="240" spans="1:13">
      <c r="A1048" s="1" t="s">
        <v>4634</v>
      </c>
      <c r="B1048" s="1" t="s">
        <v>13</v>
      </c>
      <c r="C1048" s="4" t="s">
        <v>4635</v>
      </c>
      <c r="D1048" s="1" t="s">
        <v>4636</v>
      </c>
      <c r="E1048" s="1" t="s">
        <v>4637</v>
      </c>
      <c r="F1048" s="4" t="s">
        <v>17</v>
      </c>
      <c r="G1048" s="1" t="s">
        <v>18</v>
      </c>
      <c r="H1048" s="1" t="s">
        <v>19</v>
      </c>
      <c r="I1048" s="1" t="s">
        <v>20</v>
      </c>
      <c r="J1048" s="1" t="s">
        <v>4638</v>
      </c>
      <c r="K1048" s="1" t="s">
        <v>22</v>
      </c>
      <c r="L1048" s="1" t="str">
        <f>HYPERLINK("https://files.afu.se/Downloads/Transcripts/0%20-%20Government/USA%20-%20NASA%20Johnson/2016 04 13 - NASA Johnson - Space Station Live  Everything’s Coming up Veggie_9JDAZBoLJUc - transcript (automated).pdf","Transcript Link")</f>
        <v>Transcript Link</v>
      </c>
      <c r="M1048" s="2" t="str">
        <f>HYPERLINK("https://files.afu.se/Downloads/Transcripts/0%20-%20Government/USA%20-%20NASA%20Johnson/2016 04 13 - NASA Johnson - Space Station Live  Everything’s Coming up Veggie_9JDAZBoLJUc - transcript (automated).pdf","Transcript Link")</f>
        <v>Transcript Link</v>
      </c>
    </row>
    <row r="1049" ht="180" spans="1:13">
      <c r="A1049" s="1" t="s">
        <v>4634</v>
      </c>
      <c r="B1049" s="1" t="s">
        <v>13</v>
      </c>
      <c r="C1049" s="4" t="s">
        <v>4639</v>
      </c>
      <c r="D1049" s="1" t="s">
        <v>4640</v>
      </c>
      <c r="E1049" s="1" t="s">
        <v>4641</v>
      </c>
      <c r="F1049" s="4" t="s">
        <v>17</v>
      </c>
      <c r="G1049" s="1" t="s">
        <v>18</v>
      </c>
      <c r="H1049" s="1" t="s">
        <v>19</v>
      </c>
      <c r="I1049" s="1" t="s">
        <v>20</v>
      </c>
      <c r="J1049" s="1" t="s">
        <v>4642</v>
      </c>
      <c r="K1049" s="1" t="s">
        <v>22</v>
      </c>
      <c r="L1049" s="1" t="str">
        <f>HYPERLINK("https://files.afu.se/Downloads/Transcripts/0%20-%20Government/USA%20-%20NASA%20Johnson/2016 04 13 - NASA Johnson - Monthly ISS Research Video Update for April 2016_y4qQ-L672Q0 - transcript (automated).pdf","Transcript Link")</f>
        <v>Transcript Link</v>
      </c>
      <c r="M1049" s="2" t="str">
        <f>HYPERLINK("https://files.afu.se/Downloads/Transcripts/0%20-%20Government/USA%20-%20NASA%20Johnson/2016 04 13 - NASA Johnson - Monthly ISS Research Video Update for April 2016_y4qQ-L672Q0 - transcript (automated).pdf","Transcript Link")</f>
        <v>Transcript Link</v>
      </c>
    </row>
    <row r="1050" ht="180" spans="1:13">
      <c r="A1050" s="1" t="s">
        <v>4643</v>
      </c>
      <c r="B1050" s="1" t="s">
        <v>13</v>
      </c>
      <c r="C1050" s="4" t="s">
        <v>4644</v>
      </c>
      <c r="D1050" s="1" t="s">
        <v>4645</v>
      </c>
      <c r="E1050" s="1" t="s">
        <v>4646</v>
      </c>
      <c r="F1050" s="4" t="s">
        <v>17</v>
      </c>
      <c r="G1050" s="1" t="s">
        <v>18</v>
      </c>
      <c r="H1050" s="1" t="s">
        <v>19</v>
      </c>
      <c r="I1050" s="1" t="s">
        <v>20</v>
      </c>
      <c r="J1050" s="1" t="s">
        <v>4647</v>
      </c>
      <c r="K1050" s="1" t="s">
        <v>22</v>
      </c>
      <c r="L1050" s="1" t="str">
        <f>HYPERLINK("https://files.afu.se/Downloads/Transcripts/0%20-%20Government/USA%20-%20NASA%20Johnson/2016 04 12 - NASA Johnson - Station Crew Observes Cosmonautics Day 2016_wlg0rexZmFM - transcript (automated).pdf","Transcript Link")</f>
        <v>Transcript Link</v>
      </c>
      <c r="M1050" s="2" t="str">
        <f>HYPERLINK("https://files.afu.se/Downloads/Transcripts/0%20-%20Government/USA%20-%20NASA%20Johnson/2016 04 12 - NASA Johnson - Station Crew Observes Cosmonautics Day 2016_wlg0rexZmFM - transcript (automated).pdf","Transcript Link")</f>
        <v>Transcript Link</v>
      </c>
    </row>
    <row r="1051" ht="255" spans="1:13">
      <c r="A1051" s="1" t="s">
        <v>4648</v>
      </c>
      <c r="B1051" s="1" t="s">
        <v>13</v>
      </c>
      <c r="C1051" s="4" t="s">
        <v>4649</v>
      </c>
      <c r="D1051" s="1" t="s">
        <v>4650</v>
      </c>
      <c r="E1051" s="1" t="s">
        <v>4651</v>
      </c>
      <c r="F1051" s="4" t="s">
        <v>17</v>
      </c>
      <c r="G1051" s="1" t="s">
        <v>18</v>
      </c>
      <c r="H1051" s="1" t="s">
        <v>19</v>
      </c>
      <c r="I1051" s="1" t="s">
        <v>20</v>
      </c>
      <c r="J1051" s="1" t="s">
        <v>4652</v>
      </c>
      <c r="K1051" s="1" t="s">
        <v>22</v>
      </c>
      <c r="L1051" s="1" t="str">
        <f>HYPERLINK("https://files.afu.se/Downloads/Transcripts/0%20-%20Government/USA%20-%20NASA%20Johnson/2016 04 11 - NASA Johnson - Space Station Live  Williams Talks Candidly about Cameras_vkdAgyJ3Xqw - transcript (automated).pdf","Transcript Link")</f>
        <v>Transcript Link</v>
      </c>
      <c r="M1051" s="2" t="str">
        <f>HYPERLINK("https://files.afu.se/Downloads/Transcripts/0%20-%20Government/USA%20-%20NASA%20Johnson/2016 04 11 - NASA Johnson - Space Station Live  Williams Talks Candidly about Cameras_vkdAgyJ3Xqw - transcript (automated).pdf","Transcript Link")</f>
        <v>Transcript Link</v>
      </c>
    </row>
    <row r="1052" ht="180" spans="1:13">
      <c r="A1052" s="1" t="s">
        <v>4653</v>
      </c>
      <c r="B1052" s="1" t="s">
        <v>13</v>
      </c>
      <c r="C1052" s="4" t="s">
        <v>4654</v>
      </c>
      <c r="D1052" s="1" t="s">
        <v>4655</v>
      </c>
      <c r="E1052" s="1" t="s">
        <v>4656</v>
      </c>
      <c r="F1052" s="4" t="s">
        <v>17</v>
      </c>
      <c r="G1052" s="1" t="s">
        <v>18</v>
      </c>
      <c r="H1052" s="1" t="s">
        <v>19</v>
      </c>
      <c r="I1052" s="1" t="s">
        <v>20</v>
      </c>
      <c r="J1052" s="1" t="s">
        <v>4657</v>
      </c>
      <c r="K1052" s="1" t="s">
        <v>22</v>
      </c>
      <c r="L1052" s="1" t="str">
        <f>HYPERLINK("https://files.afu.se/Downloads/Transcripts/0%20-%20Government/USA%20-%20NASA%20Johnson/2016 04 10 - NASA Johnson - SpaceX Dragon Mated to Harmony_74DgelycULc - transcript (automated).pdf","Transcript Link")</f>
        <v>Transcript Link</v>
      </c>
      <c r="M1052" s="2" t="str">
        <f>HYPERLINK("https://files.afu.se/Downloads/Transcripts/0%20-%20Government/USA%20-%20NASA%20Johnson/2016 04 10 - NASA Johnson - SpaceX Dragon Mated to Harmony_74DgelycULc - transcript (automated).pdf","Transcript Link")</f>
        <v>Transcript Link</v>
      </c>
    </row>
    <row r="1053" ht="255" spans="1:13">
      <c r="A1053" s="1" t="s">
        <v>4658</v>
      </c>
      <c r="B1053" s="1" t="s">
        <v>13</v>
      </c>
      <c r="C1053" s="4" t="s">
        <v>4659</v>
      </c>
      <c r="D1053" s="1" t="s">
        <v>4660</v>
      </c>
      <c r="E1053" s="1" t="s">
        <v>4661</v>
      </c>
      <c r="F1053" s="4" t="s">
        <v>17</v>
      </c>
      <c r="G1053" s="1" t="s">
        <v>18</v>
      </c>
      <c r="H1053" s="1" t="s">
        <v>19</v>
      </c>
      <c r="I1053" s="1" t="s">
        <v>20</v>
      </c>
      <c r="J1053" s="1" t="s">
        <v>4662</v>
      </c>
      <c r="K1053" s="1" t="s">
        <v>22</v>
      </c>
      <c r="L1053" s="1" t="str">
        <f>HYPERLINK("https://files.afu.se/Downloads/Transcripts/0%20-%20Government/USA%20-%20NASA%20Johnson/2016 04 09 - NASA Johnson - Space Station Live  Expedition 47 Science Update_GgN1HVRbSEc - transcript (automated).pdf","Transcript Link")</f>
        <v>Transcript Link</v>
      </c>
      <c r="M1053" s="2" t="str">
        <f>HYPERLINK("https://files.afu.se/Downloads/Transcripts/0%20-%20Government/USA%20-%20NASA%20Johnson/2016 04 09 - NASA Johnson - Space Station Live  Expedition 47 Science Update_GgN1HVRbSEc - transcript (automated).pdf","Transcript Link")</f>
        <v>Transcript Link</v>
      </c>
    </row>
    <row r="1054" ht="180" spans="1:13">
      <c r="A1054" s="1" t="s">
        <v>4663</v>
      </c>
      <c r="B1054" s="1" t="s">
        <v>13</v>
      </c>
      <c r="C1054" s="4" t="s">
        <v>4664</v>
      </c>
      <c r="D1054" s="1" t="s">
        <v>4665</v>
      </c>
      <c r="E1054" s="1" t="s">
        <v>4666</v>
      </c>
      <c r="F1054" s="4" t="s">
        <v>17</v>
      </c>
      <c r="G1054" s="1" t="s">
        <v>18</v>
      </c>
      <c r="H1054" s="1" t="s">
        <v>19</v>
      </c>
      <c r="I1054" s="1" t="s">
        <v>20</v>
      </c>
      <c r="J1054" s="1" t="s">
        <v>4667</v>
      </c>
      <c r="K1054" s="1" t="s">
        <v>22</v>
      </c>
      <c r="L1054" s="1" t="str">
        <f>HYPERLINK("https://files.afu.se/Downloads/Transcripts/0%20-%20Government/USA%20-%20NASA%20Johnson/2016 04 08 - NASA Johnson - Space to Ground  A New View of the Front Porch  04 08 2016_wITwZU3r2mM - transcript (automated).pdf","Transcript Link")</f>
        <v>Transcript Link</v>
      </c>
      <c r="M1054" s="2" t="str">
        <f>HYPERLINK("https://files.afu.se/Downloads/Transcripts/0%20-%20Government/USA%20-%20NASA%20Johnson/2016 04 08 - NASA Johnson - Space to Ground  A New View of the Front Porch  04 08 2016_wITwZU3r2mM - transcript (automated).pdf","Transcript Link")</f>
        <v>Transcript Link</v>
      </c>
    </row>
    <row r="1055" ht="270" spans="1:13">
      <c r="A1055" s="1" t="s">
        <v>4668</v>
      </c>
      <c r="B1055" s="1" t="s">
        <v>13</v>
      </c>
      <c r="C1055" s="4" t="s">
        <v>4669</v>
      </c>
      <c r="D1055" s="1" t="s">
        <v>4670</v>
      </c>
      <c r="E1055" s="1" t="s">
        <v>4671</v>
      </c>
      <c r="F1055" s="4" t="s">
        <v>17</v>
      </c>
      <c r="G1055" s="1" t="s">
        <v>18</v>
      </c>
      <c r="H1055" s="1" t="s">
        <v>19</v>
      </c>
      <c r="I1055" s="1" t="s">
        <v>20</v>
      </c>
      <c r="J1055" s="1" t="s">
        <v>4672</v>
      </c>
      <c r="K1055" s="1" t="s">
        <v>22</v>
      </c>
      <c r="L1055" s="1" t="str">
        <f>HYPERLINK("https://files.afu.se/Downloads/Transcripts/0%20-%20Government/USA%20-%20NASA%20Johnson/2016 04 07 - NASA Johnson - Space Station Live  Learning About the Soil of Space_vBAAawuBgyY - transcript (automated).pdf","Transcript Link")</f>
        <v>Transcript Link</v>
      </c>
      <c r="M1055" s="2" t="str">
        <f>HYPERLINK("https://files.afu.se/Downloads/Transcripts/0%20-%20Government/USA%20-%20NASA%20Johnson/2016 04 07 - NASA Johnson - Space Station Live  Learning About the Soil of Space_vBAAawuBgyY - transcript (automated).pdf","Transcript Link")</f>
        <v>Transcript Link</v>
      </c>
    </row>
    <row r="1056" ht="330" spans="1:13">
      <c r="A1056" s="1" t="s">
        <v>4673</v>
      </c>
      <c r="B1056" s="1" t="s">
        <v>13</v>
      </c>
      <c r="C1056" s="4" t="s">
        <v>4674</v>
      </c>
      <c r="D1056" s="1" t="s">
        <v>4675</v>
      </c>
      <c r="E1056" s="1" t="s">
        <v>4676</v>
      </c>
      <c r="F1056" s="4" t="s">
        <v>17</v>
      </c>
      <c r="G1056" s="1" t="s">
        <v>18</v>
      </c>
      <c r="H1056" s="1" t="s">
        <v>19</v>
      </c>
      <c r="I1056" s="1" t="s">
        <v>20</v>
      </c>
      <c r="J1056" s="1" t="s">
        <v>4677</v>
      </c>
      <c r="K1056" s="1" t="s">
        <v>22</v>
      </c>
      <c r="L1056" s="1" t="str">
        <f>HYPERLINK("https://files.afu.se/Downloads/Transcripts/0%20-%20Government/USA%20-%20NASA%20Johnson/2016 04 06 - NASA Johnson - NASA is Sending an Expandable Habitat to Space_X4lTOJU22oY - transcript (automated).pdf","Transcript Link")</f>
        <v>Transcript Link</v>
      </c>
      <c r="M1056" s="2" t="str">
        <f>HYPERLINK("https://files.afu.se/Downloads/Transcripts/0%20-%20Government/USA%20-%20NASA%20Johnson/2016 04 06 - NASA Johnson - NASA is Sending an Expandable Habitat to Space_X4lTOJU22oY - transcript (automated).pdf","Transcript Link")</f>
        <v>Transcript Link</v>
      </c>
    </row>
    <row r="1057" ht="225" spans="1:13">
      <c r="A1057" s="1" t="s">
        <v>4673</v>
      </c>
      <c r="B1057" s="1" t="s">
        <v>13</v>
      </c>
      <c r="C1057" s="4" t="s">
        <v>4678</v>
      </c>
      <c r="D1057" s="1" t="s">
        <v>4679</v>
      </c>
      <c r="E1057" s="1" t="s">
        <v>4680</v>
      </c>
      <c r="F1057" s="4" t="s">
        <v>17</v>
      </c>
      <c r="G1057" s="1" t="s">
        <v>18</v>
      </c>
      <c r="H1057" s="1" t="s">
        <v>19</v>
      </c>
      <c r="I1057" s="1" t="s">
        <v>20</v>
      </c>
      <c r="J1057" s="1" t="s">
        <v>4681</v>
      </c>
      <c r="K1057" s="1" t="s">
        <v>22</v>
      </c>
      <c r="L1057" s="1" t="str">
        <f>HYPERLINK("https://files.afu.se/Downloads/Transcripts/0%20-%20Government/USA%20-%20NASA%20Johnson/2016 04 06 - NASA Johnson - Space Station Live  Getting a Grip on the Space Station_XhQEIF7rLmY - transcript (automated).pdf","Transcript Link")</f>
        <v>Transcript Link</v>
      </c>
      <c r="M1057" s="2" t="str">
        <f>HYPERLINK("https://files.afu.se/Downloads/Transcripts/0%20-%20Government/USA%20-%20NASA%20Johnson/2016 04 06 - NASA Johnson - Space Station Live  Getting a Grip on the Space Station_XhQEIF7rLmY - transcript (automated).pdf","Transcript Link")</f>
        <v>Transcript Link</v>
      </c>
    </row>
    <row r="1058" ht="240" spans="1:13">
      <c r="A1058" s="1" t="s">
        <v>4682</v>
      </c>
      <c r="B1058" s="1" t="s">
        <v>13</v>
      </c>
      <c r="C1058" s="4" t="s">
        <v>4683</v>
      </c>
      <c r="D1058" s="1" t="s">
        <v>4684</v>
      </c>
      <c r="E1058" s="1" t="s">
        <v>4685</v>
      </c>
      <c r="F1058" s="4" t="s">
        <v>17</v>
      </c>
      <c r="G1058" s="1" t="s">
        <v>18</v>
      </c>
      <c r="H1058" s="1" t="s">
        <v>19</v>
      </c>
      <c r="I1058" s="1" t="s">
        <v>20</v>
      </c>
      <c r="J1058" s="1" t="s">
        <v>4686</v>
      </c>
      <c r="K1058" s="1" t="s">
        <v>22</v>
      </c>
      <c r="L1058" s="1" t="str">
        <f>HYPERLINK("https://files.afu.se/Downloads/Transcripts/0%20-%20Government/USA%20-%20NASA%20Johnson/2016 04 05 - NASA Johnson - mISSion imaginaTIon  Orbital Debris_AlEo6MW2yMY - transcript (automated).pdf","Transcript Link")</f>
        <v>Transcript Link</v>
      </c>
      <c r="M1058" s="2" t="str">
        <f>HYPERLINK("https://files.afu.se/Downloads/Transcripts/0%20-%20Government/USA%20-%20NASA%20Johnson/2016 04 05 - NASA Johnson - mISSion imaginaTIon  Orbital Debris_AlEo6MW2yMY - transcript (automated).pdf","Transcript Link")</f>
        <v>Transcript Link</v>
      </c>
    </row>
    <row r="1059" ht="240" spans="1:13">
      <c r="A1059" s="1" t="s">
        <v>4687</v>
      </c>
      <c r="B1059" s="1" t="s">
        <v>13</v>
      </c>
      <c r="C1059" s="4" t="s">
        <v>4688</v>
      </c>
      <c r="D1059" s="1" t="s">
        <v>4689</v>
      </c>
      <c r="E1059" s="1" t="s">
        <v>4690</v>
      </c>
      <c r="F1059" s="4" t="s">
        <v>17</v>
      </c>
      <c r="G1059" s="1" t="s">
        <v>18</v>
      </c>
      <c r="H1059" s="1" t="s">
        <v>19</v>
      </c>
      <c r="I1059" s="1" t="s">
        <v>20</v>
      </c>
      <c r="J1059" s="1" t="s">
        <v>4691</v>
      </c>
      <c r="K1059" s="1" t="s">
        <v>22</v>
      </c>
      <c r="L1059" s="1" t="str">
        <f>HYPERLINK("https://files.afu.se/Downloads/Transcripts/0%20-%20Government/USA%20-%20NASA%20Johnson/2016 04 01 - NASA Johnson - Orion Backstage  Chris Cassidy and Heather Paul_Gm8ECUMYBFg - transcript (automated).pdf","Transcript Link")</f>
        <v>Transcript Link</v>
      </c>
      <c r="M1059" s="2" t="str">
        <f>HYPERLINK("https://files.afu.se/Downloads/Transcripts/0%20-%20Government/USA%20-%20NASA%20Johnson/2016 04 01 - NASA Johnson - Orion Backstage  Chris Cassidy and Heather Paul_Gm8ECUMYBFg - transcript (automated).pdf","Transcript Link")</f>
        <v>Transcript Link</v>
      </c>
    </row>
    <row r="1060" ht="180" spans="1:13">
      <c r="A1060" s="1" t="s">
        <v>4687</v>
      </c>
      <c r="B1060" s="1" t="s">
        <v>13</v>
      </c>
      <c r="C1060" s="4" t="s">
        <v>4692</v>
      </c>
      <c r="D1060" s="1" t="s">
        <v>4693</v>
      </c>
      <c r="E1060" s="1" t="s">
        <v>4694</v>
      </c>
      <c r="F1060" s="4" t="s">
        <v>17</v>
      </c>
      <c r="G1060" s="1" t="s">
        <v>18</v>
      </c>
      <c r="H1060" s="1" t="s">
        <v>19</v>
      </c>
      <c r="I1060" s="1" t="s">
        <v>20</v>
      </c>
      <c r="J1060" s="1" t="s">
        <v>4695</v>
      </c>
      <c r="K1060" s="1" t="s">
        <v>22</v>
      </c>
      <c r="L1060" s="1" t="str">
        <f>HYPERLINK("https://files.afu.se/Downloads/Transcripts/0%20-%20Government/USA%20-%20NASA%20Johnson/2016 04 01 - NASA Johnson - Space to Ground  Rush Hour  04 01 2016_STIH6SsDBro - transcript (automated).pdf","Transcript Link")</f>
        <v>Transcript Link</v>
      </c>
      <c r="M1060" s="2" t="str">
        <f>HYPERLINK("https://files.afu.se/Downloads/Transcripts/0%20-%20Government/USA%20-%20NASA%20Johnson/2016 04 01 - NASA Johnson - Space to Ground  Rush Hour  04 01 2016_STIH6SsDBro - transcript (automated).pdf","Transcript Link")</f>
        <v>Transcript Link</v>
      </c>
    </row>
    <row r="1061" ht="225" spans="1:13">
      <c r="A1061" s="1" t="s">
        <v>4696</v>
      </c>
      <c r="B1061" s="1" t="s">
        <v>13</v>
      </c>
      <c r="C1061" s="4" t="s">
        <v>4697</v>
      </c>
      <c r="D1061" s="1" t="s">
        <v>4698</v>
      </c>
      <c r="E1061" s="1" t="s">
        <v>4699</v>
      </c>
      <c r="F1061" s="4" t="s">
        <v>17</v>
      </c>
      <c r="G1061" s="1" t="s">
        <v>18</v>
      </c>
      <c r="H1061" s="1" t="s">
        <v>19</v>
      </c>
      <c r="I1061" s="1" t="s">
        <v>20</v>
      </c>
      <c r="J1061" s="1" t="s">
        <v>4700</v>
      </c>
      <c r="K1061" s="1" t="s">
        <v>22</v>
      </c>
      <c r="L1061" s="1" t="str">
        <f>HYPERLINK("https://files.afu.se/Downloads/Transcripts/0%20-%20Government/USA%20-%20NASA%20Johnson/2016 03 30 - NASA Johnson - Space Station Live  Classroom with a View_SVrW3uOkLjU - transcript (automated).pdf","Transcript Link")</f>
        <v>Transcript Link</v>
      </c>
      <c r="M1061" s="2" t="str">
        <f>HYPERLINK("https://files.afu.se/Downloads/Transcripts/0%20-%20Government/USA%20-%20NASA%20Johnson/2016 03 30 - NASA Johnson - Space Station Live  Classroom with a View_SVrW3uOkLjU - transcript (automated).pdf","Transcript Link")</f>
        <v>Transcript Link</v>
      </c>
    </row>
    <row r="1062" ht="270" spans="1:13">
      <c r="A1062" s="1" t="s">
        <v>4701</v>
      </c>
      <c r="B1062" s="1" t="s">
        <v>13</v>
      </c>
      <c r="C1062" s="4" t="s">
        <v>4702</v>
      </c>
      <c r="D1062" s="1" t="s">
        <v>4703</v>
      </c>
      <c r="E1062" s="1" t="s">
        <v>4704</v>
      </c>
      <c r="F1062" s="4" t="s">
        <v>17</v>
      </c>
      <c r="G1062" s="1" t="s">
        <v>18</v>
      </c>
      <c r="H1062" s="1" t="s">
        <v>19</v>
      </c>
      <c r="I1062" s="1" t="s">
        <v>20</v>
      </c>
      <c r="J1062" s="1" t="s">
        <v>4705</v>
      </c>
      <c r="K1062" s="1" t="s">
        <v>22</v>
      </c>
      <c r="L1062" s="1" t="str">
        <f>HYPERLINK("https://files.afu.se/Downloads/Transcripts/0%20-%20Government/USA%20-%20NASA%20Johnson/2016 03 29 - NASA Johnson - Space Station Live  BEAMing up to ISS_TQHjWFFeetc - transcript (automated).pdf","Transcript Link")</f>
        <v>Transcript Link</v>
      </c>
      <c r="M1062" s="2" t="str">
        <f>HYPERLINK("https://files.afu.se/Downloads/Transcripts/0%20-%20Government/USA%20-%20NASA%20Johnson/2016 03 29 - NASA Johnson - Space Station Live  BEAMing up to ISS_TQHjWFFeetc - transcript (automated).pdf","Transcript Link")</f>
        <v>Transcript Link</v>
      </c>
    </row>
    <row r="1063" ht="409.5" spans="1:13">
      <c r="A1063" s="1" t="s">
        <v>4706</v>
      </c>
      <c r="B1063" s="1" t="s">
        <v>13</v>
      </c>
      <c r="C1063" s="4" t="s">
        <v>4707</v>
      </c>
      <c r="D1063" s="1" t="s">
        <v>4708</v>
      </c>
      <c r="E1063" s="1" t="s">
        <v>4709</v>
      </c>
      <c r="F1063" s="4" t="s">
        <v>17</v>
      </c>
      <c r="G1063" s="1" t="s">
        <v>18</v>
      </c>
      <c r="H1063" s="1" t="s">
        <v>19</v>
      </c>
      <c r="I1063" s="1" t="s">
        <v>20</v>
      </c>
      <c r="J1063" s="1" t="s">
        <v>4710</v>
      </c>
      <c r="K1063" s="1" t="s">
        <v>22</v>
      </c>
      <c r="L1063" s="1" t="str">
        <f>HYPERLINK("https://files.afu.se/Downloads/Transcripts/0%20-%20Government/USA%20-%20NASA%20Johnson/2016 03 28 - NASA Johnson - StationLIFE  Observing the Earth – April 2016_Gv03IN3Fcmc - transcript (automated).pdf","Transcript Link")</f>
        <v>Transcript Link</v>
      </c>
      <c r="M1063" s="2" t="str">
        <f>HYPERLINK("https://files.afu.se/Downloads/Transcripts/0%20-%20Government/USA%20-%20NASA%20Johnson/2016 03 28 - NASA Johnson - StationLIFE  Observing the Earth – April 2016_Gv03IN3Fcmc - transcript (automated).pdf","Transcript Link")</f>
        <v>Transcript Link</v>
      </c>
    </row>
    <row r="1064" ht="225" spans="1:13">
      <c r="A1064" s="1" t="s">
        <v>4711</v>
      </c>
      <c r="B1064" s="1" t="s">
        <v>13</v>
      </c>
      <c r="C1064" s="4" t="s">
        <v>4712</v>
      </c>
      <c r="D1064" s="1" t="s">
        <v>4713</v>
      </c>
      <c r="E1064" s="1" t="s">
        <v>4714</v>
      </c>
      <c r="F1064" s="4" t="s">
        <v>17</v>
      </c>
      <c r="G1064" s="1" t="s">
        <v>18</v>
      </c>
      <c r="H1064" s="1" t="s">
        <v>19</v>
      </c>
      <c r="I1064" s="1" t="s">
        <v>20</v>
      </c>
      <c r="J1064" s="1" t="s">
        <v>4715</v>
      </c>
      <c r="K1064" s="1" t="s">
        <v>22</v>
      </c>
      <c r="L1064" s="1" t="str">
        <f>HYPERLINK("https://files.afu.se/Downloads/Transcripts/0%20-%20Government/USA%20-%20NASA%20Johnson/2016 03 25 - NASA Johnson - Interview with One-Year Crew Member Scott Kelly_6WYYLnFCF_U - transcript (automated).pdf","Transcript Link")</f>
        <v>Transcript Link</v>
      </c>
      <c r="M1064" s="2" t="str">
        <f>HYPERLINK("https://files.afu.se/Downloads/Transcripts/0%20-%20Government/USA%20-%20NASA%20Johnson/2016 03 25 - NASA Johnson - Interview with One-Year Crew Member Scott Kelly_6WYYLnFCF_U - transcript (automated).pdf","Transcript Link")</f>
        <v>Transcript Link</v>
      </c>
    </row>
    <row r="1065" ht="225" spans="1:13">
      <c r="A1065" s="1" t="s">
        <v>4711</v>
      </c>
      <c r="B1065" s="1" t="s">
        <v>13</v>
      </c>
      <c r="C1065" s="4" t="s">
        <v>4716</v>
      </c>
      <c r="D1065" s="1" t="s">
        <v>4717</v>
      </c>
      <c r="E1065" s="1" t="s">
        <v>4718</v>
      </c>
      <c r="F1065" s="4" t="s">
        <v>17</v>
      </c>
      <c r="G1065" s="1" t="s">
        <v>18</v>
      </c>
      <c r="H1065" s="1" t="s">
        <v>19</v>
      </c>
      <c r="I1065" s="1" t="s">
        <v>20</v>
      </c>
      <c r="J1065" s="1" t="s">
        <v>4719</v>
      </c>
      <c r="K1065" s="1" t="s">
        <v>22</v>
      </c>
      <c r="L1065" s="1" t="str">
        <f>HYPERLINK("https://files.afu.se/Downloads/Transcripts/0%20-%20Government/USA%20-%20NASA%20Johnson/2016 03 25 - NASA Johnson - Interview with One-Year Crew Member Mikhail Kornienko_m1ZAntTQ3e0 - transcript (automated).pdf","Transcript Link")</f>
        <v>Transcript Link</v>
      </c>
      <c r="M1065" s="2" t="str">
        <f>HYPERLINK("https://files.afu.se/Downloads/Transcripts/0%20-%20Government/USA%20-%20NASA%20Johnson/2016 03 25 - NASA Johnson - Interview with One-Year Crew Member Mikhail Kornienko_m1ZAntTQ3e0 - transcript (automated).pdf","Transcript Link")</f>
        <v>Transcript Link</v>
      </c>
    </row>
    <row r="1066" ht="300" spans="1:13">
      <c r="A1066" s="1" t="s">
        <v>4711</v>
      </c>
      <c r="B1066" s="1" t="s">
        <v>13</v>
      </c>
      <c r="C1066" s="4" t="s">
        <v>4720</v>
      </c>
      <c r="D1066" s="1" t="s">
        <v>4721</v>
      </c>
      <c r="E1066" s="1" t="s">
        <v>4722</v>
      </c>
      <c r="F1066" s="4" t="s">
        <v>17</v>
      </c>
      <c r="G1066" s="1" t="s">
        <v>18</v>
      </c>
      <c r="H1066" s="1" t="s">
        <v>19</v>
      </c>
      <c r="I1066" s="1" t="s">
        <v>20</v>
      </c>
      <c r="J1066" s="1" t="s">
        <v>4723</v>
      </c>
      <c r="K1066" s="1" t="s">
        <v>22</v>
      </c>
      <c r="L1066" s="1" t="str">
        <f>HYPERLINK("https://files.afu.se/Downloads/Transcripts/0%20-%20Government/USA%20-%20NASA%20Johnson/2016 03 25 - NASA Johnson - One-Year Space Station Crew Receives a Warm Welcome in Star City, Russia_moInhIwh0lI - transcript (automated).pdf","Transcript Link")</f>
        <v>Transcript Link</v>
      </c>
      <c r="M1066" s="2" t="str">
        <f>HYPERLINK("https://files.afu.se/Downloads/Transcripts/0%20-%20Government/USA%20-%20NASA%20Johnson/2016 03 25 - NASA Johnson - One-Year Space Station Crew Receives a Warm Welcome in Star City, Russia_moInhIwh0lI - transcript (automated).pdf","Transcript Link")</f>
        <v>Transcript Link</v>
      </c>
    </row>
    <row r="1067" ht="180" spans="1:13">
      <c r="A1067" s="1" t="s">
        <v>4711</v>
      </c>
      <c r="B1067" s="1" t="s">
        <v>13</v>
      </c>
      <c r="C1067" s="4" t="s">
        <v>4724</v>
      </c>
      <c r="D1067" s="1" t="s">
        <v>4725</v>
      </c>
      <c r="E1067" s="1" t="s">
        <v>2929</v>
      </c>
      <c r="F1067" s="4" t="s">
        <v>17</v>
      </c>
      <c r="G1067" s="1" t="s">
        <v>18</v>
      </c>
      <c r="H1067" s="1" t="s">
        <v>19</v>
      </c>
      <c r="I1067" s="1" t="s">
        <v>20</v>
      </c>
      <c r="J1067" s="1" t="s">
        <v>4726</v>
      </c>
      <c r="K1067" s="1" t="s">
        <v>22</v>
      </c>
      <c r="L1067" s="1" t="str">
        <f>HYPERLINK("https://files.afu.se/Downloads/Transcripts/0%20-%20Government/USA%20-%20NASA%20Johnson/2016 03 25 - NASA Johnson - Space to Ground  Rising Cygnus, Falling Stars  03 25 2016_U3ez7ci4TEg - transcript (automated).pdf","Transcript Link")</f>
        <v>Transcript Link</v>
      </c>
      <c r="M1067" s="2" t="str">
        <f>HYPERLINK("https://files.afu.se/Downloads/Transcripts/0%20-%20Government/USA%20-%20NASA%20Johnson/2016 03 25 - NASA Johnson - Space to Ground  Rising Cygnus, Falling Stars  03 25 2016_U3ez7ci4TEg - transcript (automated).pdf","Transcript Link")</f>
        <v>Transcript Link</v>
      </c>
    </row>
    <row r="1068" ht="409.5" spans="1:13">
      <c r="A1068" s="1" t="s">
        <v>4727</v>
      </c>
      <c r="B1068" s="1" t="s">
        <v>13</v>
      </c>
      <c r="C1068" s="4" t="s">
        <v>4728</v>
      </c>
      <c r="D1068" s="1" t="s">
        <v>4729</v>
      </c>
      <c r="E1068" s="1" t="s">
        <v>4730</v>
      </c>
      <c r="F1068" s="4" t="s">
        <v>17</v>
      </c>
      <c r="G1068" s="1" t="s">
        <v>18</v>
      </c>
      <c r="H1068" s="1" t="s">
        <v>19</v>
      </c>
      <c r="I1068" s="1" t="s">
        <v>20</v>
      </c>
      <c r="J1068" s="1" t="s">
        <v>4731</v>
      </c>
      <c r="K1068" s="1" t="s">
        <v>22</v>
      </c>
      <c r="L1068" s="1" t="str">
        <f>HYPERLINK("https://files.afu.se/Downloads/Transcripts/0%20-%20Government/USA%20-%20NASA%20Johnson/2016 03 24 - NASA Johnson - BEAM Installation Animation_VopaBsuwikk - transcript (automated).pdf","Transcript Link")</f>
        <v>Transcript Link</v>
      </c>
      <c r="M1068" s="2" t="str">
        <f>HYPERLINK("https://files.afu.se/Downloads/Transcripts/0%20-%20Government/USA%20-%20NASA%20Johnson/2016 03 24 - NASA Johnson - BEAM Installation Animation_VopaBsuwikk - transcript (automated).pdf","Transcript Link")</f>
        <v>Transcript Link</v>
      </c>
    </row>
    <row r="1069" ht="240" spans="1:13">
      <c r="A1069" s="1" t="s">
        <v>4732</v>
      </c>
      <c r="B1069" s="1" t="s">
        <v>13</v>
      </c>
      <c r="C1069" s="4" t="s">
        <v>4733</v>
      </c>
      <c r="D1069" s="1" t="s">
        <v>4734</v>
      </c>
      <c r="E1069" s="1" t="s">
        <v>4735</v>
      </c>
      <c r="F1069" s="4" t="s">
        <v>17</v>
      </c>
      <c r="G1069" s="1" t="s">
        <v>18</v>
      </c>
      <c r="H1069" s="1" t="s">
        <v>19</v>
      </c>
      <c r="I1069" s="1" t="s">
        <v>20</v>
      </c>
      <c r="J1069" s="1" t="s">
        <v>4736</v>
      </c>
      <c r="K1069" s="1" t="s">
        <v>22</v>
      </c>
      <c r="L1069" s="1" t="str">
        <f>HYPERLINK("https://files.afu.se/Downloads/Transcripts/0%20-%20Government/USA%20-%20NASA%20Johnson/2016 03 23 - NASA Johnson - Space Station Live  What Works Well, and Why_fB9jDM49b-g - transcript (automated).pdf","Transcript Link")</f>
        <v>Transcript Link</v>
      </c>
      <c r="M1069" s="2" t="str">
        <f>HYPERLINK("https://files.afu.se/Downloads/Transcripts/0%20-%20Government/USA%20-%20NASA%20Johnson/2016 03 23 - NASA Johnson - Space Station Live  What Works Well, and Why_fB9jDM49b-g - transcript (automated).pdf","Transcript Link")</f>
        <v>Transcript Link</v>
      </c>
    </row>
    <row r="1070" ht="180" spans="1:13">
      <c r="A1070" s="1" t="s">
        <v>4737</v>
      </c>
      <c r="B1070" s="1" t="s">
        <v>13</v>
      </c>
      <c r="C1070" s="4" t="s">
        <v>4738</v>
      </c>
      <c r="D1070" s="1" t="s">
        <v>3412</v>
      </c>
      <c r="E1070" s="1" t="s">
        <v>4739</v>
      </c>
      <c r="F1070" s="4" t="s">
        <v>17</v>
      </c>
      <c r="G1070" s="1" t="s">
        <v>18</v>
      </c>
      <c r="H1070" s="1" t="s">
        <v>19</v>
      </c>
      <c r="I1070" s="1" t="s">
        <v>20</v>
      </c>
      <c r="J1070" s="1" t="s">
        <v>4740</v>
      </c>
      <c r="K1070" s="1" t="s">
        <v>22</v>
      </c>
      <c r="L1070" s="1" t="str">
        <f>HYPERLINK("https://files.afu.se/Downloads/Transcripts/0%20-%20Government/USA%20-%20NASA%20Johnson/2016 03 22 - NASA Johnson - Heart to Heart_pF1LEd_NDuY - transcript (automated).pdf","Transcript Link")</f>
        <v>Transcript Link</v>
      </c>
      <c r="M1070" s="2" t="str">
        <f>HYPERLINK("https://files.afu.se/Downloads/Transcripts/0%20-%20Government/USA%20-%20NASA%20Johnson/2016 03 22 - NASA Johnson - Heart to Heart_pF1LEd_NDuY - transcript (automated).pdf","Transcript Link")</f>
        <v>Transcript Link</v>
      </c>
    </row>
    <row r="1071" ht="255" spans="1:13">
      <c r="A1071" s="1" t="s">
        <v>4737</v>
      </c>
      <c r="B1071" s="1" t="s">
        <v>13</v>
      </c>
      <c r="C1071" s="4" t="s">
        <v>4741</v>
      </c>
      <c r="D1071" s="1" t="s">
        <v>4742</v>
      </c>
      <c r="E1071" s="1" t="s">
        <v>4743</v>
      </c>
      <c r="F1071" s="4" t="s">
        <v>17</v>
      </c>
      <c r="G1071" s="1" t="s">
        <v>18</v>
      </c>
      <c r="H1071" s="1" t="s">
        <v>19</v>
      </c>
      <c r="I1071" s="1" t="s">
        <v>20</v>
      </c>
      <c r="J1071" s="1" t="s">
        <v>4744</v>
      </c>
      <c r="K1071" s="1" t="s">
        <v>22</v>
      </c>
      <c r="L1071" s="1" t="str">
        <f>HYPERLINK("https://files.afu.se/Downloads/Transcripts/0%20-%20Government/USA%20-%20NASA%20Johnson/2016 03 22 - NASA Johnson - Space Station Live  Time for a Little Exercise_GjLtuTRKp2s - transcript (automated).pdf","Transcript Link")</f>
        <v>Transcript Link</v>
      </c>
      <c r="M1071" s="2" t="str">
        <f>HYPERLINK("https://files.afu.se/Downloads/Transcripts/0%20-%20Government/USA%20-%20NASA%20Johnson/2016 03 22 - NASA Johnson - Space Station Live  Time for a Little Exercise_GjLtuTRKp2s - transcript (automated).pdf","Transcript Link")</f>
        <v>Transcript Link</v>
      </c>
    </row>
    <row r="1072" ht="240" spans="1:13">
      <c r="A1072" s="1" t="s">
        <v>4745</v>
      </c>
      <c r="B1072" s="1" t="s">
        <v>13</v>
      </c>
      <c r="C1072" s="4" t="s">
        <v>4746</v>
      </c>
      <c r="D1072" s="1" t="s">
        <v>4747</v>
      </c>
      <c r="E1072" s="1" t="s">
        <v>4748</v>
      </c>
      <c r="F1072" s="4" t="s">
        <v>17</v>
      </c>
      <c r="G1072" s="1" t="s">
        <v>18</v>
      </c>
      <c r="H1072" s="1" t="s">
        <v>19</v>
      </c>
      <c r="I1072" s="1" t="s">
        <v>20</v>
      </c>
      <c r="J1072" s="1" t="s">
        <v>4749</v>
      </c>
      <c r="K1072" s="1" t="s">
        <v>22</v>
      </c>
      <c r="L1072" s="1" t="str">
        <f>HYPERLINK("https://files.afu.se/Downloads/Transcripts/0%20-%20Government/USA%20-%20NASA%20Johnson/2016 03 21 - NASA Johnson - Space Station Live  The Stuff of Meteors_5jpp8ccqPps - transcript (automated).pdf","Transcript Link")</f>
        <v>Transcript Link</v>
      </c>
      <c r="M1072" s="2" t="str">
        <f>HYPERLINK("https://files.afu.se/Downloads/Transcripts/0%20-%20Government/USA%20-%20NASA%20Johnson/2016 03 21 - NASA Johnson - Space Station Live  The Stuff of Meteors_5jpp8ccqPps - transcript (automated).pdf","Transcript Link")</f>
        <v>Transcript Link</v>
      </c>
    </row>
    <row r="1073" ht="180" spans="1:13">
      <c r="A1073" s="1" t="s">
        <v>4745</v>
      </c>
      <c r="B1073" s="1" t="s">
        <v>13</v>
      </c>
      <c r="C1073" s="4" t="s">
        <v>4750</v>
      </c>
      <c r="D1073" s="1" t="s">
        <v>4751</v>
      </c>
      <c r="E1073" s="1" t="s">
        <v>4752</v>
      </c>
      <c r="F1073" s="4" t="s">
        <v>17</v>
      </c>
      <c r="G1073" s="1" t="s">
        <v>18</v>
      </c>
      <c r="H1073" s="1" t="s">
        <v>19</v>
      </c>
      <c r="I1073" s="1" t="s">
        <v>20</v>
      </c>
      <c r="J1073" s="1" t="s">
        <v>4753</v>
      </c>
      <c r="K1073" s="1" t="s">
        <v>22</v>
      </c>
      <c r="L1073" s="1" t="str">
        <f>HYPERLINK("https://files.afu.se/Downloads/Transcripts/0%20-%20Government/USA%20-%20NASA%20Johnson/2016 03 21 - NASA Johnson - How Will Astronauts Exercise on a Mission to Mars _S8veP-ZMR7o - transcript (automated).pdf","Transcript Link")</f>
        <v>Transcript Link</v>
      </c>
      <c r="M1073" s="2" t="str">
        <f>HYPERLINK("https://files.afu.se/Downloads/Transcripts/0%20-%20Government/USA%20-%20NASA%20Johnson/2016 03 21 - NASA Johnson - How Will Astronauts Exercise on a Mission to Mars _S8veP-ZMR7o - transcript (automated).pdf","Transcript Link")</f>
        <v>Transcript Link</v>
      </c>
    </row>
    <row r="1074" ht="180" spans="1:13">
      <c r="A1074" s="1" t="s">
        <v>4754</v>
      </c>
      <c r="B1074" s="1" t="s">
        <v>13</v>
      </c>
      <c r="C1074" s="4" t="s">
        <v>4755</v>
      </c>
      <c r="D1074" s="1" t="s">
        <v>4756</v>
      </c>
      <c r="E1074" s="1" t="s">
        <v>4757</v>
      </c>
      <c r="F1074" s="4" t="s">
        <v>17</v>
      </c>
      <c r="G1074" s="1" t="s">
        <v>18</v>
      </c>
      <c r="H1074" s="1" t="s">
        <v>19</v>
      </c>
      <c r="I1074" s="1" t="s">
        <v>20</v>
      </c>
      <c r="J1074" s="1" t="s">
        <v>4758</v>
      </c>
      <c r="K1074" s="1" t="s">
        <v>22</v>
      </c>
      <c r="L1074" s="1" t="str">
        <f>HYPERLINK("https://files.afu.se/Downloads/Transcripts/0%20-%20Government/USA%20-%20NASA%20Johnson/2016 03 18 - NASA Johnson - New Crew Launches and Heads to Space Station_8XtPkS3Qls8 - transcript (automated).pdf","Transcript Link")</f>
        <v>Transcript Link</v>
      </c>
      <c r="M1074" s="2" t="str">
        <f>HYPERLINK("https://files.afu.se/Downloads/Transcripts/0%20-%20Government/USA%20-%20NASA%20Johnson/2016 03 18 - NASA Johnson - New Crew Launches and Heads to Space Station_8XtPkS3Qls8 - transcript (automated).pdf","Transcript Link")</f>
        <v>Transcript Link</v>
      </c>
    </row>
    <row r="1075" ht="180" spans="1:13">
      <c r="A1075" s="1" t="s">
        <v>4754</v>
      </c>
      <c r="B1075" s="1" t="s">
        <v>13</v>
      </c>
      <c r="C1075" s="4" t="s">
        <v>4759</v>
      </c>
      <c r="D1075" s="1" t="s">
        <v>4760</v>
      </c>
      <c r="E1075" s="1" t="s">
        <v>2929</v>
      </c>
      <c r="F1075" s="4" t="s">
        <v>17</v>
      </c>
      <c r="G1075" s="1" t="s">
        <v>18</v>
      </c>
      <c r="H1075" s="1" t="s">
        <v>19</v>
      </c>
      <c r="I1075" s="1" t="s">
        <v>20</v>
      </c>
      <c r="J1075" s="1" t="s">
        <v>4761</v>
      </c>
      <c r="K1075" s="1" t="s">
        <v>22</v>
      </c>
      <c r="L1075" s="1" t="str">
        <f>HYPERLINK("https://files.afu.se/Downloads/Transcripts/0%20-%20Government/USA%20-%20NASA%20Johnson/2016 03 18 - NASA Johnson - Space to Ground  Records Are Meant to be Broken  03 18 2016_KZ4IzEBnuek - transcript (automated).pdf","Transcript Link")</f>
        <v>Transcript Link</v>
      </c>
      <c r="M1075" s="2" t="str">
        <f>HYPERLINK("https://files.afu.se/Downloads/Transcripts/0%20-%20Government/USA%20-%20NASA%20Johnson/2016 03 18 - NASA Johnson - Space to Ground  Records Are Meant to be Broken  03 18 2016_KZ4IzEBnuek - transcript (automated).pdf","Transcript Link")</f>
        <v>Transcript Link</v>
      </c>
    </row>
    <row r="1076" ht="255" spans="1:13">
      <c r="A1076" s="1" t="s">
        <v>4762</v>
      </c>
      <c r="B1076" s="1" t="s">
        <v>13</v>
      </c>
      <c r="C1076" s="4" t="s">
        <v>4763</v>
      </c>
      <c r="D1076" s="1" t="s">
        <v>4764</v>
      </c>
      <c r="E1076" s="1" t="s">
        <v>4765</v>
      </c>
      <c r="F1076" s="4" t="s">
        <v>17</v>
      </c>
      <c r="G1076" s="1" t="s">
        <v>18</v>
      </c>
      <c r="H1076" s="1" t="s">
        <v>19</v>
      </c>
      <c r="I1076" s="1" t="s">
        <v>20</v>
      </c>
      <c r="J1076" s="1" t="s">
        <v>4766</v>
      </c>
      <c r="K1076" s="1" t="s">
        <v>22</v>
      </c>
      <c r="L1076" s="1" t="str">
        <f>HYPERLINK("https://files.afu.se/Downloads/Transcripts/0%20-%20Government/USA%20-%20NASA%20Johnson/2016 03 17 - NASA Johnson - Space Station Live  Station Veteran Ready for Historic Flight_Wz9Xg7Lv-BU - transcript (automated).pdf","Transcript Link")</f>
        <v>Transcript Link</v>
      </c>
      <c r="M1076" s="2" t="str">
        <f>HYPERLINK("https://files.afu.se/Downloads/Transcripts/0%20-%20Government/USA%20-%20NASA%20Johnson/2016 03 17 - NASA Johnson - Space Station Live  Station Veteran Ready for Historic Flight_Wz9Xg7Lv-BU - transcript (automated).pdf","Transcript Link")</f>
        <v>Transcript Link</v>
      </c>
    </row>
    <row r="1077" ht="195" spans="1:13">
      <c r="A1077" s="1" t="s">
        <v>4767</v>
      </c>
      <c r="B1077" s="1" t="s">
        <v>13</v>
      </c>
      <c r="C1077" s="4" t="s">
        <v>4768</v>
      </c>
      <c r="D1077" s="1" t="s">
        <v>4769</v>
      </c>
      <c r="E1077" s="1" t="s">
        <v>4770</v>
      </c>
      <c r="F1077" s="4" t="s">
        <v>17</v>
      </c>
      <c r="G1077" s="1" t="s">
        <v>18</v>
      </c>
      <c r="H1077" s="1" t="s">
        <v>19</v>
      </c>
      <c r="I1077" s="1" t="s">
        <v>20</v>
      </c>
      <c r="J1077" s="1" t="s">
        <v>4771</v>
      </c>
      <c r="K1077" s="1" t="s">
        <v>22</v>
      </c>
      <c r="L1077" s="1" t="str">
        <f>HYPERLINK("https://files.afu.se/Downloads/Transcripts/0%20-%20Government/USA%20-%20NASA%20Johnson/2016 03 16 - NASA Johnson - Expedition 47 Soyuz Rocket Moves to Its Launch Pad_Sn6MWSCyiJg - transcript (automated).pdf","Transcript Link")</f>
        <v>Transcript Link</v>
      </c>
      <c r="M1077" s="2" t="str">
        <f>HYPERLINK("https://files.afu.se/Downloads/Transcripts/0%20-%20Government/USA%20-%20NASA%20Johnson/2016 03 16 - NASA Johnson - Expedition 47 Soyuz Rocket Moves to Its Launch Pad_Sn6MWSCyiJg - transcript (automated).pdf","Transcript Link")</f>
        <v>Transcript Link</v>
      </c>
    </row>
    <row r="1078" ht="255" spans="1:13">
      <c r="A1078" s="1" t="s">
        <v>4767</v>
      </c>
      <c r="B1078" s="1" t="s">
        <v>13</v>
      </c>
      <c r="C1078" s="4" t="s">
        <v>4772</v>
      </c>
      <c r="D1078" s="1" t="s">
        <v>4773</v>
      </c>
      <c r="E1078" s="1" t="s">
        <v>4774</v>
      </c>
      <c r="F1078" s="4" t="s">
        <v>17</v>
      </c>
      <c r="G1078" s="1" t="s">
        <v>18</v>
      </c>
      <c r="H1078" s="1" t="s">
        <v>19</v>
      </c>
      <c r="I1078" s="1" t="s">
        <v>20</v>
      </c>
      <c r="J1078" s="1" t="s">
        <v>4775</v>
      </c>
      <c r="K1078" s="1" t="s">
        <v>22</v>
      </c>
      <c r="L1078" s="1" t="str">
        <f>HYPERLINK("https://files.afu.se/Downloads/Transcripts/0%20-%20Government/USA%20-%20NASA%20Johnson/2016 03 16 - NASA Johnson - Space Station Live  Space Zzzzzs_SDfTJA9KsXY - transcript (automated).pdf","Transcript Link")</f>
        <v>Transcript Link</v>
      </c>
      <c r="M1078" s="2" t="str">
        <f>HYPERLINK("https://files.afu.se/Downloads/Transcripts/0%20-%20Government/USA%20-%20NASA%20Johnson/2016 03 16 - NASA Johnson - Space Station Live  Space Zzzzzs_SDfTJA9KsXY - transcript (automated).pdf","Transcript Link")</f>
        <v>Transcript Link</v>
      </c>
    </row>
    <row r="1079" ht="270" spans="1:13">
      <c r="A1079" s="1" t="s">
        <v>4776</v>
      </c>
      <c r="B1079" s="1" t="s">
        <v>13</v>
      </c>
      <c r="C1079" s="4" t="s">
        <v>4777</v>
      </c>
      <c r="D1079" s="1" t="s">
        <v>4778</v>
      </c>
      <c r="E1079" s="1" t="s">
        <v>4779</v>
      </c>
      <c r="F1079" s="4" t="s">
        <v>17</v>
      </c>
      <c r="G1079" s="1" t="s">
        <v>18</v>
      </c>
      <c r="H1079" s="1" t="s">
        <v>19</v>
      </c>
      <c r="I1079" s="1" t="s">
        <v>20</v>
      </c>
      <c r="J1079" s="1" t="s">
        <v>4780</v>
      </c>
      <c r="K1079" s="1" t="s">
        <v>22</v>
      </c>
      <c r="L1079" s="1" t="str">
        <f>HYPERLINK("https://files.afu.se/Downloads/Transcripts/0%20-%20Government/USA%20-%20NASA%20Johnson/2016 03 15 - NASA Johnson - Space Station Live  The Zinnias of Space_FjqdEVfYQAo - transcript (automated).pdf","Transcript Link")</f>
        <v>Transcript Link</v>
      </c>
      <c r="M1079" s="2" t="str">
        <f>HYPERLINK("https://files.afu.se/Downloads/Transcripts/0%20-%20Government/USA%20-%20NASA%20Johnson/2016 03 15 - NASA Johnson - Space Station Live  The Zinnias of Space_FjqdEVfYQAo - transcript (automated).pdf","Transcript Link")</f>
        <v>Transcript Link</v>
      </c>
    </row>
    <row r="1080" ht="195" spans="1:13">
      <c r="A1080" s="1" t="s">
        <v>4781</v>
      </c>
      <c r="B1080" s="1" t="s">
        <v>13</v>
      </c>
      <c r="C1080" s="4" t="s">
        <v>4782</v>
      </c>
      <c r="D1080" s="1" t="s">
        <v>4783</v>
      </c>
      <c r="E1080" s="1" t="s">
        <v>4784</v>
      </c>
      <c r="F1080" s="4" t="s">
        <v>17</v>
      </c>
      <c r="G1080" s="1" t="s">
        <v>18</v>
      </c>
      <c r="H1080" s="1" t="s">
        <v>19</v>
      </c>
      <c r="I1080" s="1" t="s">
        <v>20</v>
      </c>
      <c r="J1080" s="1" t="s">
        <v>4785</v>
      </c>
      <c r="K1080" s="1" t="s">
        <v>22</v>
      </c>
      <c r="L1080" s="1" t="str">
        <f>HYPERLINK("https://files.afu.se/Downloads/Transcripts/0%20-%20Government/USA%20-%20NASA%20Johnson/2016 03 14 - NASA Johnson - Expedition 47-48 Crew Prepares for Launch in Kazakhstan_wSsUCquggPE - transcript (automated).pdf","Transcript Link")</f>
        <v>Transcript Link</v>
      </c>
      <c r="M1080" s="2" t="str">
        <f>HYPERLINK("https://files.afu.se/Downloads/Transcripts/0%20-%20Government/USA%20-%20NASA%20Johnson/2016 03 14 - NASA Johnson - Expedition 47-48 Crew Prepares for Launch in Kazakhstan_wSsUCquggPE - transcript (automated).pdf","Transcript Link")</f>
        <v>Transcript Link</v>
      </c>
    </row>
    <row r="1081" ht="390" spans="1:13">
      <c r="A1081" s="1" t="s">
        <v>4786</v>
      </c>
      <c r="B1081" s="1" t="s">
        <v>13</v>
      </c>
      <c r="C1081" s="4" t="s">
        <v>4787</v>
      </c>
      <c r="D1081" s="1" t="s">
        <v>4788</v>
      </c>
      <c r="E1081" s="1" t="s">
        <v>4789</v>
      </c>
      <c r="F1081" s="4" t="s">
        <v>17</v>
      </c>
      <c r="G1081" s="1" t="s">
        <v>18</v>
      </c>
      <c r="H1081" s="1" t="s">
        <v>19</v>
      </c>
      <c r="I1081" s="1" t="s">
        <v>20</v>
      </c>
      <c r="J1081" s="1" t="s">
        <v>4790</v>
      </c>
      <c r="K1081" s="1" t="s">
        <v>22</v>
      </c>
      <c r="L1081" s="1" t="str">
        <f>HYPERLINK("https://files.afu.se/Downloads/Transcripts/0%20-%20Government/USA%20-%20NASA%20Johnson/2016 03 11 - NASA Johnson - Project Sidekick in Action_DGoV9mTic4I - transcript (automated).pdf","Transcript Link")</f>
        <v>Transcript Link</v>
      </c>
      <c r="M1081" s="2" t="str">
        <f>HYPERLINK("https://files.afu.se/Downloads/Transcripts/0%20-%20Government/USA%20-%20NASA%20Johnson/2016 03 11 - NASA Johnson - Project Sidekick in Action_DGoV9mTic4I - transcript (automated).pdf","Transcript Link")</f>
        <v>Transcript Link</v>
      </c>
    </row>
    <row r="1082" ht="360" spans="1:13">
      <c r="A1082" s="1" t="s">
        <v>4786</v>
      </c>
      <c r="B1082" s="1" t="s">
        <v>13</v>
      </c>
      <c r="C1082" s="4" t="s">
        <v>4791</v>
      </c>
      <c r="D1082" s="1" t="s">
        <v>4792</v>
      </c>
      <c r="E1082" s="1" t="s">
        <v>4793</v>
      </c>
      <c r="F1082" s="4" t="s">
        <v>17</v>
      </c>
      <c r="G1082" s="1" t="s">
        <v>18</v>
      </c>
      <c r="H1082" s="1" t="s">
        <v>19</v>
      </c>
      <c r="I1082" s="1" t="s">
        <v>20</v>
      </c>
      <c r="J1082" s="1" t="s">
        <v>4794</v>
      </c>
      <c r="K1082" s="1" t="s">
        <v>22</v>
      </c>
      <c r="L1082" s="1" t="str">
        <f>HYPERLINK("https://files.afu.se/Downloads/Transcripts/0%20-%20Government/USA%20-%20NASA%20Johnson/2016 03 11 - NASA Johnson - ARISS  Talking to Astronauts_Z-yHD9lVbH8 - transcript (automated).pdf","Transcript Link")</f>
        <v>Transcript Link</v>
      </c>
      <c r="M1082" s="2" t="str">
        <f>HYPERLINK("https://files.afu.se/Downloads/Transcripts/0%20-%20Government/USA%20-%20NASA%20Johnson/2016 03 11 - NASA Johnson - ARISS  Talking to Astronauts_Z-yHD9lVbH8 - transcript (automated).pdf","Transcript Link")</f>
        <v>Transcript Link</v>
      </c>
    </row>
    <row r="1083" ht="180" spans="1:13">
      <c r="A1083" s="1" t="s">
        <v>4786</v>
      </c>
      <c r="B1083" s="1" t="s">
        <v>13</v>
      </c>
      <c r="C1083" s="4" t="s">
        <v>4795</v>
      </c>
      <c r="D1083" s="1" t="s">
        <v>4796</v>
      </c>
      <c r="E1083" s="1" t="s">
        <v>2929</v>
      </c>
      <c r="F1083" s="4" t="s">
        <v>17</v>
      </c>
      <c r="G1083" s="1" t="s">
        <v>18</v>
      </c>
      <c r="H1083" s="1" t="s">
        <v>19</v>
      </c>
      <c r="I1083" s="1" t="s">
        <v>20</v>
      </c>
      <c r="J1083" s="1" t="s">
        <v>4797</v>
      </c>
      <c r="K1083" s="1" t="s">
        <v>22</v>
      </c>
      <c r="L1083" s="1" t="str">
        <f>HYPERLINK("https://files.afu.se/Downloads/Transcripts/0%20-%20Government/USA%20-%20NASA%20Johnson/2016 03 11 - NASA Johnson - Space to Ground  You Talkin' to Me  -- 03 11 2016_SktLZ2l3uxs - transcript (automated).pdf","Transcript Link")</f>
        <v>Transcript Link</v>
      </c>
      <c r="M1083" s="2" t="str">
        <f>HYPERLINK("https://files.afu.se/Downloads/Transcripts/0%20-%20Government/USA%20-%20NASA%20Johnson/2016 03 11 - NASA Johnson - Space to Ground  You Talkin' to Me  -- 03 11 2016_SktLZ2l3uxs - transcript (automated).pdf","Transcript Link")</f>
        <v>Transcript Link</v>
      </c>
    </row>
    <row r="1084" ht="180" spans="1:13">
      <c r="A1084" s="1" t="s">
        <v>4786</v>
      </c>
      <c r="B1084" s="1" t="s">
        <v>13</v>
      </c>
      <c r="C1084" s="4" t="s">
        <v>4798</v>
      </c>
      <c r="D1084" s="1" t="s">
        <v>4799</v>
      </c>
      <c r="E1084" s="1" t="s">
        <v>4800</v>
      </c>
      <c r="F1084" s="4" t="s">
        <v>17</v>
      </c>
      <c r="G1084" s="1" t="s">
        <v>18</v>
      </c>
      <c r="H1084" s="1" t="s">
        <v>19</v>
      </c>
      <c r="I1084" s="1" t="s">
        <v>20</v>
      </c>
      <c r="J1084" s="1" t="s">
        <v>4801</v>
      </c>
      <c r="K1084" s="1" t="s">
        <v>22</v>
      </c>
      <c r="L1084" s="1" t="str">
        <f>HYPERLINK("https://files.afu.se/Downloads/Transcripts/0%20-%20Government/USA%20-%20NASA%20Johnson/2016 03 11 - NASA Johnson - Monthly ISS Research Video Update for March 2016_jkVilobS4i0 - transcript (automated).pdf","Transcript Link")</f>
        <v>Transcript Link</v>
      </c>
      <c r="M1084" s="2" t="str">
        <f>HYPERLINK("https://files.afu.se/Downloads/Transcripts/0%20-%20Government/USA%20-%20NASA%20Johnson/2016 03 11 - NASA Johnson - Monthly ISS Research Video Update for March 2016_jkVilobS4i0 - transcript (automated).pdf","Transcript Link")</f>
        <v>Transcript Link</v>
      </c>
    </row>
    <row r="1085" ht="345" spans="1:13">
      <c r="A1085" s="1" t="s">
        <v>4802</v>
      </c>
      <c r="B1085" s="1" t="s">
        <v>13</v>
      </c>
      <c r="C1085" s="4" t="s">
        <v>4803</v>
      </c>
      <c r="D1085" s="1" t="s">
        <v>4804</v>
      </c>
      <c r="E1085" s="1" t="s">
        <v>4805</v>
      </c>
      <c r="F1085" s="4" t="s">
        <v>17</v>
      </c>
      <c r="G1085" s="1" t="s">
        <v>18</v>
      </c>
      <c r="H1085" s="1" t="s">
        <v>19</v>
      </c>
      <c r="I1085" s="1" t="s">
        <v>20</v>
      </c>
      <c r="J1085" s="1" t="s">
        <v>4806</v>
      </c>
      <c r="K1085" s="1" t="s">
        <v>22</v>
      </c>
      <c r="L1085" s="1" t="str">
        <f>HYPERLINK("https://files.afu.se/Downloads/Transcripts/0%20-%20Government/USA%20-%20NASA%20Johnson/2016 03 10 - NASA Johnson - ARISS  1,000 Calls and Counting_DwtLkTpgNMM - transcript (automated).pdf","Transcript Link")</f>
        <v>Transcript Link</v>
      </c>
      <c r="M1085" s="2" t="str">
        <f>HYPERLINK("https://files.afu.se/Downloads/Transcripts/0%20-%20Government/USA%20-%20NASA%20Johnson/2016 03 10 - NASA Johnson - ARISS  1,000 Calls and Counting_DwtLkTpgNMM - transcript (automated).pdf","Transcript Link")</f>
        <v>Transcript Link</v>
      </c>
    </row>
    <row r="1086" ht="409.5" spans="1:13">
      <c r="A1086" s="1" t="s">
        <v>4807</v>
      </c>
      <c r="B1086" s="1" t="s">
        <v>13</v>
      </c>
      <c r="C1086" s="4" t="s">
        <v>4808</v>
      </c>
      <c r="D1086" s="1" t="s">
        <v>4809</v>
      </c>
      <c r="E1086" s="1" t="s">
        <v>4810</v>
      </c>
      <c r="F1086" s="4" t="s">
        <v>17</v>
      </c>
      <c r="G1086" s="1" t="s">
        <v>18</v>
      </c>
      <c r="H1086" s="1" t="s">
        <v>19</v>
      </c>
      <c r="I1086" s="1" t="s">
        <v>20</v>
      </c>
      <c r="J1086" s="1" t="s">
        <v>4811</v>
      </c>
      <c r="K1086" s="1" t="s">
        <v>22</v>
      </c>
      <c r="L1086" s="1" t="str">
        <f>HYPERLINK("https://files.afu.se/Downloads/Transcripts/0%20-%20Government/USA%20-%20NASA%20Johnson/2016 03 09 - NASA Johnson - Speed of Sound %23YearInSpace_53mBaj7ElM8 - transcript (automated).pdf","Transcript Link")</f>
        <v>Transcript Link</v>
      </c>
      <c r="M1086" s="2" t="str">
        <f>HYPERLINK("https://files.afu.se/Downloads/Transcripts/0%20-%20Government/USA%20-%20NASA%20Johnson/2016 03 09 - NASA Johnson - Speed of Sound %23YearInSpace_53mBaj7ElM8 - transcript (automated).pdf","Transcript Link")</f>
        <v>Transcript Link</v>
      </c>
    </row>
    <row r="1087" ht="195" spans="1:13">
      <c r="A1087" s="1" t="s">
        <v>4807</v>
      </c>
      <c r="B1087" s="1" t="s">
        <v>13</v>
      </c>
      <c r="C1087" s="4" t="s">
        <v>4812</v>
      </c>
      <c r="D1087" s="1" t="s">
        <v>4813</v>
      </c>
      <c r="E1087" s="1" t="s">
        <v>4814</v>
      </c>
      <c r="F1087" s="4" t="s">
        <v>17</v>
      </c>
      <c r="G1087" s="1" t="s">
        <v>18</v>
      </c>
      <c r="H1087" s="1" t="s">
        <v>19</v>
      </c>
      <c r="I1087" s="1" t="s">
        <v>20</v>
      </c>
      <c r="J1087" s="1" t="s">
        <v>4815</v>
      </c>
      <c r="K1087" s="1" t="s">
        <v>22</v>
      </c>
      <c r="L1087" s="1" t="str">
        <f>HYPERLINK("https://files.afu.se/Downloads/Transcripts/0%20-%20Government/USA%20-%20NASA%20Johnson/2016 03 09 - NASA Johnson - Space Station Live  Payload Pioneer Marks 15th Anniversary_0xP_cgs19kU - transcript (automated).pdf","Transcript Link")</f>
        <v>Transcript Link</v>
      </c>
      <c r="M1087" s="2" t="str">
        <f>HYPERLINK("https://files.afu.se/Downloads/Transcripts/0%20-%20Government/USA%20-%20NASA%20Johnson/2016 03 09 - NASA Johnson - Space Station Live  Payload Pioneer Marks 15th Anniversary_0xP_cgs19kU - transcript (automated).pdf","Transcript Link")</f>
        <v>Transcript Link</v>
      </c>
    </row>
    <row r="1088" ht="210" spans="1:13">
      <c r="A1088" s="1" t="s">
        <v>4807</v>
      </c>
      <c r="B1088" s="1" t="s">
        <v>13</v>
      </c>
      <c r="C1088" s="4" t="s">
        <v>4816</v>
      </c>
      <c r="D1088" s="1" t="s">
        <v>4817</v>
      </c>
      <c r="E1088" s="1" t="s">
        <v>4818</v>
      </c>
      <c r="F1088" s="4" t="s">
        <v>17</v>
      </c>
      <c r="G1088" s="1" t="s">
        <v>18</v>
      </c>
      <c r="H1088" s="1" t="s">
        <v>19</v>
      </c>
      <c r="I1088" s="1" t="s">
        <v>20</v>
      </c>
      <c r="J1088" s="1" t="s">
        <v>4819</v>
      </c>
      <c r="K1088" s="1" t="s">
        <v>22</v>
      </c>
      <c r="L1088" s="1" t="str">
        <f>HYPERLINK("https://files.afu.se/Downloads/Transcripts/0%20-%20Government/USA%20-%20NASA%20Johnson/2016 03 09 - NASA Johnson - mISSion imaginaTIon  Habitat_HdQBlkjbJq8 - transcript (automated).pdf","Transcript Link")</f>
        <v>Transcript Link</v>
      </c>
      <c r="M1088" s="2" t="str">
        <f>HYPERLINK("https://files.afu.se/Downloads/Transcripts/0%20-%20Government/USA%20-%20NASA%20Johnson/2016 03 09 - NASA Johnson - mISSion imaginaTIon  Habitat_HdQBlkjbJq8 - transcript (automated).pdf","Transcript Link")</f>
        <v>Transcript Link</v>
      </c>
    </row>
    <row r="1089" ht="300" spans="1:13">
      <c r="A1089" s="1" t="s">
        <v>4820</v>
      </c>
      <c r="B1089" s="1" t="s">
        <v>13</v>
      </c>
      <c r="C1089" s="4" t="s">
        <v>4821</v>
      </c>
      <c r="D1089" s="1" t="s">
        <v>4822</v>
      </c>
      <c r="E1089" s="1" t="s">
        <v>4823</v>
      </c>
      <c r="F1089" s="4" t="s">
        <v>17</v>
      </c>
      <c r="G1089" s="1" t="s">
        <v>18</v>
      </c>
      <c r="H1089" s="1" t="s">
        <v>19</v>
      </c>
      <c r="I1089" s="1" t="s">
        <v>20</v>
      </c>
      <c r="J1089" s="1" t="s">
        <v>4824</v>
      </c>
      <c r="K1089" s="1" t="s">
        <v>22</v>
      </c>
      <c r="L1089" s="1" t="str">
        <f>HYPERLINK("https://files.afu.se/Downloads/Transcripts/0%20-%20Government/USA%20-%20NASA%20Johnson/2016 03 04 - NASA Johnson - Kelly Twins Greet Media at Johnson Space Center_gBLZjBqNAAk - transcript (automated).pdf","Transcript Link")</f>
        <v>Transcript Link</v>
      </c>
      <c r="M1089" s="2" t="str">
        <f>HYPERLINK("https://files.afu.se/Downloads/Transcripts/0%20-%20Government/USA%20-%20NASA%20Johnson/2016 03 04 - NASA Johnson - Kelly Twins Greet Media at Johnson Space Center_gBLZjBqNAAk - transcript (automated).pdf","Transcript Link")</f>
        <v>Transcript Link</v>
      </c>
    </row>
    <row r="1090" ht="180" spans="1:13">
      <c r="A1090" s="1" t="s">
        <v>4820</v>
      </c>
      <c r="B1090" s="1" t="s">
        <v>13</v>
      </c>
      <c r="C1090" s="4" t="s">
        <v>4825</v>
      </c>
      <c r="D1090" s="1" t="s">
        <v>4826</v>
      </c>
      <c r="E1090" s="1" t="s">
        <v>2929</v>
      </c>
      <c r="F1090" s="4" t="s">
        <v>17</v>
      </c>
      <c r="G1090" s="1" t="s">
        <v>18</v>
      </c>
      <c r="H1090" s="1" t="s">
        <v>19</v>
      </c>
      <c r="I1090" s="1" t="s">
        <v>20</v>
      </c>
      <c r="J1090" s="1" t="s">
        <v>4827</v>
      </c>
      <c r="K1090" s="1" t="s">
        <v>22</v>
      </c>
      <c r="L1090" s="1" t="str">
        <f>HYPERLINK("https://files.afu.se/Downloads/Transcripts/0%20-%20Government/USA%20-%20NASA%20Johnson/2016 03 04 - NASA Johnson - Space to Ground  Historic Homecoming  03 04 2016_Ut9jfotstZg - transcript (automated).pdf","Transcript Link")</f>
        <v>Transcript Link</v>
      </c>
      <c r="M1090" s="2" t="str">
        <f>HYPERLINK("https://files.afu.se/Downloads/Transcripts/0%20-%20Government/USA%20-%20NASA%20Johnson/2016 03 04 - NASA Johnson - Space to Ground  Historic Homecoming  03 04 2016_Ut9jfotstZg - transcript (automated).pdf","Transcript Link")</f>
        <v>Transcript Link</v>
      </c>
    </row>
    <row r="1091" ht="225" spans="1:13">
      <c r="A1091" s="1" t="s">
        <v>4828</v>
      </c>
      <c r="B1091" s="1" t="s">
        <v>13</v>
      </c>
      <c r="C1091" s="4" t="s">
        <v>4829</v>
      </c>
      <c r="D1091" s="1" t="s">
        <v>4830</v>
      </c>
      <c r="E1091" s="1" t="s">
        <v>4831</v>
      </c>
      <c r="F1091" s="4" t="s">
        <v>17</v>
      </c>
      <c r="G1091" s="1" t="s">
        <v>18</v>
      </c>
      <c r="H1091" s="1" t="s">
        <v>19</v>
      </c>
      <c r="I1091" s="1" t="s">
        <v>20</v>
      </c>
      <c r="J1091" s="1" t="s">
        <v>4832</v>
      </c>
      <c r="K1091" s="1" t="s">
        <v>22</v>
      </c>
      <c r="L1091" s="1" t="str">
        <f>HYPERLINK("https://files.afu.se/Downloads/Transcripts/0%20-%20Government/USA%20-%20NASA%20Johnson/2016 03 03 - NASA Johnson - Expedition 47 Crew Departs For Kazakh Launch Site_QZQr-btpJWM - transcript (automated).pdf","Transcript Link")</f>
        <v>Transcript Link</v>
      </c>
      <c r="M1091" s="2" t="str">
        <f>HYPERLINK("https://files.afu.se/Downloads/Transcripts/0%20-%20Government/USA%20-%20NASA%20Johnson/2016 03 03 - NASA Johnson - Expedition 47 Crew Departs For Kazakh Launch Site_QZQr-btpJWM - transcript (automated).pdf","Transcript Link")</f>
        <v>Transcript Link</v>
      </c>
    </row>
    <row r="1092" ht="240" spans="1:13">
      <c r="A1092" s="1" t="s">
        <v>4833</v>
      </c>
      <c r="B1092" s="1" t="s">
        <v>13</v>
      </c>
      <c r="C1092" s="4" t="s">
        <v>4834</v>
      </c>
      <c r="D1092" s="1" t="s">
        <v>4835</v>
      </c>
      <c r="E1092" s="1" t="s">
        <v>4836</v>
      </c>
      <c r="F1092" s="4" t="s">
        <v>17</v>
      </c>
      <c r="G1092" s="1" t="s">
        <v>18</v>
      </c>
      <c r="H1092" s="1" t="s">
        <v>19</v>
      </c>
      <c r="I1092" s="1" t="s">
        <v>20</v>
      </c>
      <c r="J1092" s="1" t="s">
        <v>4837</v>
      </c>
      <c r="K1092" s="1" t="s">
        <v>22</v>
      </c>
      <c r="L1092" s="1" t="str">
        <f>HYPERLINK("https://files.afu.se/Downloads/Transcripts/0%20-%20Government/USA%20-%20NASA%20Johnson/2016 03 02 - NASA Johnson - Space Station Live  Balancing a Year in Space_hzt9R1HV5Rw - transcript (automated).pdf","Transcript Link")</f>
        <v>Transcript Link</v>
      </c>
      <c r="M1092" s="2" t="str">
        <f>HYPERLINK("https://files.afu.se/Downloads/Transcripts/0%20-%20Government/USA%20-%20NASA%20Johnson/2016 03 02 - NASA Johnson - Space Station Live  Balancing a Year in Space_hzt9R1HV5Rw - transcript (automated).pdf","Transcript Link")</f>
        <v>Transcript Link</v>
      </c>
    </row>
    <row r="1093" ht="210" spans="1:13">
      <c r="A1093" s="1" t="s">
        <v>4833</v>
      </c>
      <c r="B1093" s="1" t="s">
        <v>13</v>
      </c>
      <c r="C1093" s="4" t="s">
        <v>4838</v>
      </c>
      <c r="D1093" s="1" t="s">
        <v>4839</v>
      </c>
      <c r="E1093" s="1" t="s">
        <v>4840</v>
      </c>
      <c r="F1093" s="4" t="s">
        <v>17</v>
      </c>
      <c r="G1093" s="1" t="s">
        <v>18</v>
      </c>
      <c r="H1093" s="1" t="s">
        <v>19</v>
      </c>
      <c r="I1093" s="1" t="s">
        <v>20</v>
      </c>
      <c r="J1093" s="1" t="s">
        <v>4841</v>
      </c>
      <c r="K1093" s="1" t="s">
        <v>22</v>
      </c>
      <c r="L1093" s="1" t="str">
        <f>HYPERLINK("https://files.afu.se/Downloads/Transcripts/0%20-%20Government/USA%20-%20NASA%20Johnson/2016 03 02 - NASA Johnson - Expedition 46 Crew Receives a Warm Welcome in Kazakhstan_FyNvFssBNlk - transcript (automated).pdf","Transcript Link")</f>
        <v>Transcript Link</v>
      </c>
      <c r="M1093" s="2" t="str">
        <f>HYPERLINK("https://files.afu.se/Downloads/Transcripts/0%20-%20Government/USA%20-%20NASA%20Johnson/2016 03 02 - NASA Johnson - Expedition 46 Crew Receives a Warm Welcome in Kazakhstan_FyNvFssBNlk - transcript (automated).pdf","Transcript Link")</f>
        <v>Transcript Link</v>
      </c>
    </row>
    <row r="1094" ht="210" spans="1:13">
      <c r="A1094" s="1" t="s">
        <v>4842</v>
      </c>
      <c r="B1094" s="1" t="s">
        <v>13</v>
      </c>
      <c r="C1094" s="4" t="s">
        <v>4843</v>
      </c>
      <c r="D1094" s="1" t="s">
        <v>4844</v>
      </c>
      <c r="E1094" s="1" t="s">
        <v>4845</v>
      </c>
      <c r="F1094" s="4" t="s">
        <v>17</v>
      </c>
      <c r="G1094" s="1" t="s">
        <v>18</v>
      </c>
      <c r="H1094" s="1" t="s">
        <v>19</v>
      </c>
      <c r="I1094" s="1" t="s">
        <v>20</v>
      </c>
      <c r="J1094" s="1" t="s">
        <v>4846</v>
      </c>
      <c r="K1094" s="1" t="s">
        <v>22</v>
      </c>
      <c r="L1094" s="1" t="str">
        <f>HYPERLINK("https://files.afu.se/Downloads/Transcripts/0%20-%20Government/USA%20-%20NASA%20Johnson/2016 02 29 - NASA Johnson - Bean Bag Session  Landing in Kazakhstan_xUZMGxl3Wq4 - transcript (automated).pdf","Transcript Link")</f>
        <v>Transcript Link</v>
      </c>
      <c r="M1094" s="2" t="str">
        <f>HYPERLINK("https://files.afu.se/Downloads/Transcripts/0%20-%20Government/USA%20-%20NASA%20Johnson/2016 02 29 - NASA Johnson - Bean Bag Session  Landing in Kazakhstan_xUZMGxl3Wq4 - transcript (automated).pdf","Transcript Link")</f>
        <v>Transcript Link</v>
      </c>
    </row>
    <row r="1095" ht="180" spans="1:13">
      <c r="A1095" s="1" t="s">
        <v>4842</v>
      </c>
      <c r="B1095" s="1" t="s">
        <v>13</v>
      </c>
      <c r="C1095" s="4" t="s">
        <v>4847</v>
      </c>
      <c r="D1095" s="1" t="s">
        <v>4848</v>
      </c>
      <c r="E1095" s="1" t="s">
        <v>4849</v>
      </c>
      <c r="F1095" s="4" t="s">
        <v>17</v>
      </c>
      <c r="G1095" s="1" t="s">
        <v>18</v>
      </c>
      <c r="H1095" s="1" t="s">
        <v>19</v>
      </c>
      <c r="I1095" s="1" t="s">
        <v>20</v>
      </c>
      <c r="J1095" s="1" t="s">
        <v>4850</v>
      </c>
      <c r="K1095" s="1" t="s">
        <v>22</v>
      </c>
      <c r="L1095" s="1" t="str">
        <f>HYPERLINK("https://files.afu.se/Downloads/Transcripts/0%20-%20Government/USA%20-%20NASA%20Johnson/2016 02 29 - NASA Johnson - Scott Kelly Hands Over Station Command to Tim Kopra_WJW_N-0c-Is - transcript (automated).pdf","Transcript Link")</f>
        <v>Transcript Link</v>
      </c>
      <c r="M1095" s="2" t="str">
        <f>HYPERLINK("https://files.afu.se/Downloads/Transcripts/0%20-%20Government/USA%20-%20NASA%20Johnson/2016 02 29 - NASA Johnson - Scott Kelly Hands Over Station Command to Tim Kopra_WJW_N-0c-Is - transcript (automated).pdf","Transcript Link")</f>
        <v>Transcript Link</v>
      </c>
    </row>
    <row r="1096" ht="285" spans="1:13">
      <c r="A1096" s="1" t="s">
        <v>4851</v>
      </c>
      <c r="B1096" s="1" t="s">
        <v>13</v>
      </c>
      <c r="C1096" s="4" t="s">
        <v>4852</v>
      </c>
      <c r="D1096" s="1" t="s">
        <v>4853</v>
      </c>
      <c r="E1096" s="1" t="s">
        <v>4854</v>
      </c>
      <c r="F1096" s="4" t="s">
        <v>17</v>
      </c>
      <c r="G1096" s="1" t="s">
        <v>18</v>
      </c>
      <c r="H1096" s="1" t="s">
        <v>19</v>
      </c>
      <c r="I1096" s="1" t="s">
        <v>20</v>
      </c>
      <c r="J1096" s="1" t="s">
        <v>4855</v>
      </c>
      <c r="K1096" s="1" t="s">
        <v>22</v>
      </c>
      <c r="L1096" s="1" t="str">
        <f>HYPERLINK("https://files.afu.se/Downloads/Transcripts/0%20-%20Government/USA%20-%20NASA%20Johnson/2016 02 26 - NASA Johnson - Expedition 47-48 Crew Conducts Traditional Ceremonies_9ib47vMS7Nk - transcript (automated).pdf","Transcript Link")</f>
        <v>Transcript Link</v>
      </c>
      <c r="M1096" s="2" t="str">
        <f>HYPERLINK("https://files.afu.se/Downloads/Transcripts/0%20-%20Government/USA%20-%20NASA%20Johnson/2016 02 26 - NASA Johnson - Expedition 47-48 Crew Conducts Traditional Ceremonies_9ib47vMS7Nk - transcript (automated).pdf","Transcript Link")</f>
        <v>Transcript Link</v>
      </c>
    </row>
    <row r="1097" ht="180" spans="1:13">
      <c r="A1097" s="1" t="s">
        <v>4851</v>
      </c>
      <c r="B1097" s="1" t="s">
        <v>13</v>
      </c>
      <c r="C1097" s="4" t="s">
        <v>4856</v>
      </c>
      <c r="D1097" s="1" t="s">
        <v>4857</v>
      </c>
      <c r="E1097" s="1" t="s">
        <v>4858</v>
      </c>
      <c r="F1097" s="4" t="s">
        <v>17</v>
      </c>
      <c r="G1097" s="1" t="s">
        <v>18</v>
      </c>
      <c r="H1097" s="1" t="s">
        <v>19</v>
      </c>
      <c r="I1097" s="1" t="s">
        <v>20</v>
      </c>
      <c r="J1097" s="1" t="s">
        <v>4859</v>
      </c>
      <c r="K1097" s="1" t="s">
        <v>22</v>
      </c>
      <c r="L1097" s="1" t="str">
        <f>HYPERLINK("https://files.afu.se/Downloads/Transcripts/0%20-%20Government/USA%20-%20NASA%20Johnson/2016 02 26 - NASA Johnson - Space Station Live  African American History Month_zE-M9hZ5WQ4 - transcript (automated).pdf","Transcript Link")</f>
        <v>Transcript Link</v>
      </c>
      <c r="M1097" s="2" t="str">
        <f>HYPERLINK("https://files.afu.se/Downloads/Transcripts/0%20-%20Government/USA%20-%20NASA%20Johnson/2016 02 26 - NASA Johnson - Space Station Live  African American History Month_zE-M9hZ5WQ4 - transcript (automated).pdf","Transcript Link")</f>
        <v>Transcript Link</v>
      </c>
    </row>
    <row r="1098" ht="409.5" spans="1:13">
      <c r="A1098" s="1" t="s">
        <v>4851</v>
      </c>
      <c r="B1098" s="1" t="s">
        <v>13</v>
      </c>
      <c r="C1098" s="4" t="s">
        <v>4860</v>
      </c>
      <c r="D1098" s="1" t="s">
        <v>4861</v>
      </c>
      <c r="E1098" s="1" t="s">
        <v>4862</v>
      </c>
      <c r="F1098" s="4" t="s">
        <v>17</v>
      </c>
      <c r="G1098" s="1" t="s">
        <v>18</v>
      </c>
      <c r="H1098" s="1" t="s">
        <v>19</v>
      </c>
      <c r="I1098" s="1" t="s">
        <v>20</v>
      </c>
      <c r="J1098" s="1" t="s">
        <v>4863</v>
      </c>
      <c r="K1098" s="1" t="s">
        <v>22</v>
      </c>
      <c r="L1098" s="1" t="str">
        <f>HYPERLINK("https://files.afu.se/Downloads/Transcripts/0%20-%20Government/USA%20-%20NASA%20Johnson/2016 02 26 - NASA Johnson - Amateur Radio on the International Space Station (ARISS) - The 1000th Educational Radio Contact_bTOiiBd2dCo - transcript (automated).pdf","Transcript Link")</f>
        <v>Transcript Link</v>
      </c>
      <c r="M1098" s="2" t="str">
        <f>HYPERLINK("https://files.afu.se/Downloads/Transcripts/0%20-%20Government/USA%20-%20NASA%20Johnson/2016 02 26 - NASA Johnson - Amateur Radio on the International Space Station (ARISS) - The 1000th Educational Radio Contact_bTOiiBd2dCo - transcript (automated).pdf","Transcript Link")</f>
        <v>Transcript Link</v>
      </c>
    </row>
    <row r="1099" ht="180" spans="1:13">
      <c r="A1099" s="1" t="s">
        <v>4851</v>
      </c>
      <c r="B1099" s="1" t="s">
        <v>13</v>
      </c>
      <c r="C1099" s="4" t="s">
        <v>4864</v>
      </c>
      <c r="D1099" s="1" t="s">
        <v>4865</v>
      </c>
      <c r="E1099" s="1" t="s">
        <v>2929</v>
      </c>
      <c r="F1099" s="4" t="s">
        <v>17</v>
      </c>
      <c r="G1099" s="1" t="s">
        <v>18</v>
      </c>
      <c r="H1099" s="1" t="s">
        <v>19</v>
      </c>
      <c r="I1099" s="1" t="s">
        <v>20</v>
      </c>
      <c r="J1099" s="1" t="s">
        <v>4866</v>
      </c>
      <c r="K1099" s="1" t="s">
        <v>22</v>
      </c>
      <c r="L1099" s="1" t="str">
        <f>HYPERLINK("https://files.afu.se/Downloads/Transcripts/0%20-%20Government/USA%20-%20NASA%20Johnson/2016 02 26 - NASA Johnson - Space to Ground  Cue the Confetti  02 26 2016_tikG7eHPXq0 - transcript (automated).pdf","Transcript Link")</f>
        <v>Transcript Link</v>
      </c>
      <c r="M1099" s="2" t="str">
        <f>HYPERLINK("https://files.afu.se/Downloads/Transcripts/0%20-%20Government/USA%20-%20NASA%20Johnson/2016 02 26 - NASA Johnson - Space to Ground  Cue the Confetti  02 26 2016_tikG7eHPXq0 - transcript (automated).pdf","Transcript Link")</f>
        <v>Transcript Link</v>
      </c>
    </row>
    <row r="1100" ht="255" spans="1:13">
      <c r="A1100" s="1" t="s">
        <v>4867</v>
      </c>
      <c r="B1100" s="1" t="s">
        <v>13</v>
      </c>
      <c r="C1100" s="4" t="s">
        <v>4868</v>
      </c>
      <c r="D1100" s="1" t="s">
        <v>4869</v>
      </c>
      <c r="E1100" s="1" t="s">
        <v>4870</v>
      </c>
      <c r="F1100" s="4" t="s">
        <v>17</v>
      </c>
      <c r="G1100" s="1" t="s">
        <v>18</v>
      </c>
      <c r="H1100" s="1" t="s">
        <v>19</v>
      </c>
      <c r="I1100" s="1" t="s">
        <v>20</v>
      </c>
      <c r="J1100" s="1" t="s">
        <v>4871</v>
      </c>
      <c r="K1100" s="1" t="s">
        <v>22</v>
      </c>
      <c r="L1100" s="1" t="str">
        <f>HYPERLINK("https://files.afu.se/Downloads/Transcripts/0%20-%20Government/USA%20-%20NASA%20Johnson/2016 02 25 - NASA Johnson - Space Station Live  My Brother’s Coming Home_e6hxdtKOGiE - transcript (automated).pdf","Transcript Link")</f>
        <v>Transcript Link</v>
      </c>
      <c r="M1100" s="2" t="str">
        <f>HYPERLINK("https://files.afu.se/Downloads/Transcripts/0%20-%20Government/USA%20-%20NASA%20Johnson/2016 02 25 - NASA Johnson - Space Station Live  My Brother’s Coming Home_e6hxdtKOGiE - transcript (automated).pdf","Transcript Link")</f>
        <v>Transcript Link</v>
      </c>
    </row>
    <row r="1101" ht="270" spans="1:13">
      <c r="A1101" s="1" t="s">
        <v>4867</v>
      </c>
      <c r="B1101" s="1" t="s">
        <v>13</v>
      </c>
      <c r="C1101" s="4" t="s">
        <v>4872</v>
      </c>
      <c r="D1101" s="1" t="s">
        <v>4873</v>
      </c>
      <c r="E1101" s="1" t="s">
        <v>4874</v>
      </c>
      <c r="F1101" s="4" t="s">
        <v>17</v>
      </c>
      <c r="G1101" s="1" t="s">
        <v>18</v>
      </c>
      <c r="H1101" s="1" t="s">
        <v>19</v>
      </c>
      <c r="I1101" s="1" t="s">
        <v>20</v>
      </c>
      <c r="J1101" s="1" t="s">
        <v>4875</v>
      </c>
      <c r="K1101" s="1" t="s">
        <v>22</v>
      </c>
      <c r="L1101" s="1" t="str">
        <f>HYPERLINK("https://files.afu.se/Downloads/Transcripts/0%20-%20Government/USA%20-%20NASA%20Johnson/2016 02 25 - NASA Johnson - Space Station Live  Hamming it up on Space Station_ziSQY8E1b9w - transcript (automated).pdf","Transcript Link")</f>
        <v>Transcript Link</v>
      </c>
      <c r="M1101" s="2" t="str">
        <f>HYPERLINK("https://files.afu.se/Downloads/Transcripts/0%20-%20Government/USA%20-%20NASA%20Johnson/2016 02 25 - NASA Johnson - Space Station Live  Hamming it up on Space Station_ziSQY8E1b9w - transcript (automated).pdf","Transcript Link")</f>
        <v>Transcript Link</v>
      </c>
    </row>
    <row r="1102" ht="240" spans="1:13">
      <c r="A1102" s="1" t="s">
        <v>4867</v>
      </c>
      <c r="B1102" s="1" t="s">
        <v>13</v>
      </c>
      <c r="C1102" s="4" t="s">
        <v>4876</v>
      </c>
      <c r="D1102" s="1" t="s">
        <v>4877</v>
      </c>
      <c r="E1102" s="1" t="s">
        <v>4878</v>
      </c>
      <c r="F1102" s="4" t="s">
        <v>17</v>
      </c>
      <c r="G1102" s="1" t="s">
        <v>18</v>
      </c>
      <c r="H1102" s="1" t="s">
        <v>19</v>
      </c>
      <c r="I1102" s="1" t="s">
        <v>20</v>
      </c>
      <c r="J1102" s="1" t="s">
        <v>4879</v>
      </c>
      <c r="K1102" s="1" t="s">
        <v>22</v>
      </c>
      <c r="L1102" s="1" t="str">
        <f>HYPERLINK("https://files.afu.se/Downloads/Transcripts/0%20-%20Government/USA%20-%20NASA%20Johnson/2016 02 25 - NASA Johnson - Expedition 47 Crew  Final Qualification Exams_6nieKZcsu00 - transcript (automated).pdf","Transcript Link")</f>
        <v>Transcript Link</v>
      </c>
      <c r="M1102" s="2" t="str">
        <f>HYPERLINK("https://files.afu.se/Downloads/Transcripts/0%20-%20Government/USA%20-%20NASA%20Johnson/2016 02 25 - NASA Johnson - Expedition 47 Crew  Final Qualification Exams_6nieKZcsu00 - transcript (automated).pdf","Transcript Link")</f>
        <v>Transcript Link</v>
      </c>
    </row>
    <row r="1103" ht="180" spans="1:13">
      <c r="A1103" s="1" t="s">
        <v>4880</v>
      </c>
      <c r="B1103" s="1" t="s">
        <v>13</v>
      </c>
      <c r="C1103" s="4" t="s">
        <v>4881</v>
      </c>
      <c r="D1103" s="1" t="s">
        <v>4882</v>
      </c>
      <c r="E1103" s="1" t="s">
        <v>4883</v>
      </c>
      <c r="F1103" s="4" t="s">
        <v>17</v>
      </c>
      <c r="G1103" s="1" t="s">
        <v>18</v>
      </c>
      <c r="H1103" s="1" t="s">
        <v>19</v>
      </c>
      <c r="I1103" s="1" t="s">
        <v>20</v>
      </c>
      <c r="J1103" s="1" t="s">
        <v>4884</v>
      </c>
      <c r="K1103" s="1" t="s">
        <v>22</v>
      </c>
      <c r="L1103" s="1" t="str">
        <f>HYPERLINK("https://files.afu.se/Downloads/Transcripts/0%20-%20Government/USA%20-%20NASA%20Johnson/2016 02 24 - NASA Johnson - Space Station Live  Making High-Tech Devices Cooler_MCKL5zxfQ2Q - transcript (automated).pdf","Transcript Link")</f>
        <v>Transcript Link</v>
      </c>
      <c r="M1103" s="2" t="str">
        <f>HYPERLINK("https://files.afu.se/Downloads/Transcripts/0%20-%20Government/USA%20-%20NASA%20Johnson/2016 02 24 - NASA Johnson - Space Station Live  Making High-Tech Devices Cooler_MCKL5zxfQ2Q - transcript (automated).pdf","Transcript Link")</f>
        <v>Transcript Link</v>
      </c>
    </row>
    <row r="1104" ht="180" spans="1:13">
      <c r="A1104" s="1" t="s">
        <v>4885</v>
      </c>
      <c r="B1104" s="1" t="s">
        <v>13</v>
      </c>
      <c r="C1104" s="4" t="s">
        <v>4886</v>
      </c>
      <c r="D1104" s="1" t="s">
        <v>4887</v>
      </c>
      <c r="E1104" s="1" t="s">
        <v>4888</v>
      </c>
      <c r="F1104" s="4" t="s">
        <v>17</v>
      </c>
      <c r="G1104" s="1" t="s">
        <v>18</v>
      </c>
      <c r="H1104" s="1" t="s">
        <v>19</v>
      </c>
      <c r="I1104" s="1" t="s">
        <v>20</v>
      </c>
      <c r="J1104" s="1" t="s">
        <v>4889</v>
      </c>
      <c r="K1104" s="1" t="s">
        <v>22</v>
      </c>
      <c r="L1104" s="1" t="str">
        <f>HYPERLINK("https://files.afu.se/Downloads/Transcripts/0%20-%20Government/USA%20-%20NASA%20Johnson/2016 02 23 - NASA Johnson - Space Station Live  Wrapping Up the One Year Mission_jUxVkXuEKmI - transcript (automated).pdf","Transcript Link")</f>
        <v>Transcript Link</v>
      </c>
      <c r="M1104" s="2" t="str">
        <f>HYPERLINK("https://files.afu.se/Downloads/Transcripts/0%20-%20Government/USA%20-%20NASA%20Johnson/2016 02 23 - NASA Johnson - Space Station Live  Wrapping Up the One Year Mission_jUxVkXuEKmI - transcript (automated).pdf","Transcript Link")</f>
        <v>Transcript Link</v>
      </c>
    </row>
    <row r="1105" ht="345" spans="1:13">
      <c r="A1105" s="1" t="s">
        <v>4885</v>
      </c>
      <c r="B1105" s="1" t="s">
        <v>13</v>
      </c>
      <c r="C1105" s="4" t="s">
        <v>4890</v>
      </c>
      <c r="D1105" s="1" t="s">
        <v>4891</v>
      </c>
      <c r="E1105" s="1" t="s">
        <v>4892</v>
      </c>
      <c r="F1105" s="4" t="s">
        <v>17</v>
      </c>
      <c r="G1105" s="1" t="s">
        <v>18</v>
      </c>
      <c r="H1105" s="1" t="s">
        <v>19</v>
      </c>
      <c r="I1105" s="1" t="s">
        <v>20</v>
      </c>
      <c r="J1105" s="1" t="s">
        <v>4893</v>
      </c>
      <c r="K1105" s="1" t="s">
        <v>22</v>
      </c>
      <c r="L1105" s="1" t="str">
        <f>HYPERLINK("https://files.afu.se/Downloads/Transcripts/0%20-%20Government/USA%20-%20NASA%20Johnson/2016 02 23 - NASA Johnson - Preparing America for Deep Space Exploration Episode 12  Built for Exploration_Ce6vIa4_0dg - transcript (automated).pdf","Transcript Link")</f>
        <v>Transcript Link</v>
      </c>
      <c r="M1105" s="2" t="str">
        <f>HYPERLINK("https://files.afu.se/Downloads/Transcripts/0%20-%20Government/USA%20-%20NASA%20Johnson/2016 02 23 - NASA Johnson - Preparing America for Deep Space Exploration Episode 12  Built for Exploration_Ce6vIa4_0dg - transcript (automated).pdf","Transcript Link")</f>
        <v>Transcript Link</v>
      </c>
    </row>
    <row r="1106" ht="180" spans="1:13">
      <c r="A1106" s="1" t="s">
        <v>4894</v>
      </c>
      <c r="B1106" s="1" t="s">
        <v>13</v>
      </c>
      <c r="C1106" s="4" t="s">
        <v>4895</v>
      </c>
      <c r="D1106" s="1" t="s">
        <v>4857</v>
      </c>
      <c r="E1106" s="1" t="s">
        <v>4896</v>
      </c>
      <c r="F1106" s="4" t="s">
        <v>17</v>
      </c>
      <c r="G1106" s="1" t="s">
        <v>18</v>
      </c>
      <c r="H1106" s="1" t="s">
        <v>19</v>
      </c>
      <c r="I1106" s="1" t="s">
        <v>20</v>
      </c>
      <c r="J1106" s="1" t="s">
        <v>4897</v>
      </c>
      <c r="K1106" s="1" t="s">
        <v>22</v>
      </c>
      <c r="L1106" s="1" t="str">
        <f>HYPERLINK("https://files.afu.se/Downloads/Transcripts/0%20-%20Government/USA%20-%20NASA%20Johnson/2016 02 19 - NASA Johnson - Space Station Live  African American History Month_0EvbXi_ccBA - transcript (automated).pdf","Transcript Link")</f>
        <v>Transcript Link</v>
      </c>
      <c r="M1106" s="2" t="str">
        <f>HYPERLINK("https://files.afu.se/Downloads/Transcripts/0%20-%20Government/USA%20-%20NASA%20Johnson/2016 02 19 - NASA Johnson - Space Station Live  African American History Month_0EvbXi_ccBA - transcript (automated).pdf","Transcript Link")</f>
        <v>Transcript Link</v>
      </c>
    </row>
    <row r="1107" ht="180" spans="1:13">
      <c r="A1107" s="1" t="s">
        <v>4894</v>
      </c>
      <c r="B1107" s="1" t="s">
        <v>13</v>
      </c>
      <c r="C1107" s="4" t="s">
        <v>4898</v>
      </c>
      <c r="D1107" s="1" t="s">
        <v>4899</v>
      </c>
      <c r="E1107" s="1" t="s">
        <v>4900</v>
      </c>
      <c r="F1107" s="4" t="s">
        <v>17</v>
      </c>
      <c r="G1107" s="1" t="s">
        <v>18</v>
      </c>
      <c r="H1107" s="1" t="s">
        <v>19</v>
      </c>
      <c r="I1107" s="1" t="s">
        <v>20</v>
      </c>
      <c r="J1107" s="1" t="s">
        <v>4901</v>
      </c>
      <c r="K1107" s="1" t="s">
        <v>22</v>
      </c>
      <c r="L1107" s="1" t="str">
        <f>HYPERLINK("https://files.afu.se/Downloads/Transcripts/0%20-%20Government/USA%20-%20NASA%20Johnson/2016 02 19 - NASA Johnson - Space to Ground  Cygnus Farewell  02 19 2016_LY1hbQuJlC8 - transcript (automated).pdf","Transcript Link")</f>
        <v>Transcript Link</v>
      </c>
      <c r="M1107" s="2" t="str">
        <f>HYPERLINK("https://files.afu.se/Downloads/Transcripts/0%20-%20Government/USA%20-%20NASA%20Johnson/2016 02 19 - NASA Johnson - Space to Ground  Cygnus Farewell  02 19 2016_LY1hbQuJlC8 - transcript (automated).pdf","Transcript Link")</f>
        <v>Transcript Link</v>
      </c>
    </row>
    <row r="1108" ht="375" spans="1:13">
      <c r="A1108" s="1" t="s">
        <v>4894</v>
      </c>
      <c r="B1108" s="1" t="s">
        <v>13</v>
      </c>
      <c r="C1108" s="4" t="s">
        <v>4902</v>
      </c>
      <c r="D1108" s="1" t="s">
        <v>4903</v>
      </c>
      <c r="E1108" s="1" t="s">
        <v>4904</v>
      </c>
      <c r="F1108" s="4" t="s">
        <v>17</v>
      </c>
      <c r="G1108" s="1" t="s">
        <v>18</v>
      </c>
      <c r="H1108" s="1" t="s">
        <v>19</v>
      </c>
      <c r="I1108" s="1" t="s">
        <v>20</v>
      </c>
      <c r="J1108" s="1" t="s">
        <v>4905</v>
      </c>
      <c r="K1108" s="1" t="s">
        <v>22</v>
      </c>
      <c r="L1108" s="1" t="str">
        <f>HYPERLINK("https://files.afu.se/Downloads/Transcripts/0%20-%20Government/USA%20-%20NASA%20Johnson/2016 02 19 - NASA Johnson - Cygnus Departs Station after Robotic Release_pTyYu7yuKuw - transcript (automated).pdf","Transcript Link")</f>
        <v>Transcript Link</v>
      </c>
      <c r="M1108" s="2" t="str">
        <f>HYPERLINK("https://files.afu.se/Downloads/Transcripts/0%20-%20Government/USA%20-%20NASA%20Johnson/2016 02 19 - NASA Johnson - Cygnus Departs Station after Robotic Release_pTyYu7yuKuw - transcript (automated).pdf","Transcript Link")</f>
        <v>Transcript Link</v>
      </c>
    </row>
    <row r="1109" ht="180" spans="1:13">
      <c r="A1109" s="1" t="s">
        <v>4906</v>
      </c>
      <c r="B1109" s="1" t="s">
        <v>13</v>
      </c>
      <c r="C1109" s="4" t="s">
        <v>4907</v>
      </c>
      <c r="D1109" s="1" t="s">
        <v>4908</v>
      </c>
      <c r="E1109" s="1" t="s">
        <v>4909</v>
      </c>
      <c r="F1109" s="4" t="s">
        <v>17</v>
      </c>
      <c r="G1109" s="1" t="s">
        <v>18</v>
      </c>
      <c r="H1109" s="1" t="s">
        <v>19</v>
      </c>
      <c r="I1109" s="1" t="s">
        <v>20</v>
      </c>
      <c r="J1109" s="1" t="s">
        <v>4910</v>
      </c>
      <c r="K1109" s="1" t="s">
        <v>22</v>
      </c>
      <c r="L1109" s="1" t="str">
        <f>HYPERLINK("https://files.afu.se/Downloads/Transcripts/0%20-%20Government/USA%20-%20NASA%20Johnson/2016 02 18 - NASA Johnson - Fuel for the Fire_6L_cO0cBRQg - transcript (automated).pdf","Transcript Link")</f>
        <v>Transcript Link</v>
      </c>
      <c r="M1109" s="2" t="str">
        <f>HYPERLINK("https://files.afu.se/Downloads/Transcripts/0%20-%20Government/USA%20-%20NASA%20Johnson/2016 02 18 - NASA Johnson - Fuel for the Fire_6L_cO0cBRQg - transcript (automated).pdf","Transcript Link")</f>
        <v>Transcript Link</v>
      </c>
    </row>
    <row r="1110" ht="240" spans="1:13">
      <c r="A1110" s="1" t="s">
        <v>4911</v>
      </c>
      <c r="B1110" s="1" t="s">
        <v>13</v>
      </c>
      <c r="C1110" s="4" t="s">
        <v>4912</v>
      </c>
      <c r="D1110" s="1" t="s">
        <v>4913</v>
      </c>
      <c r="E1110" s="1" t="s">
        <v>4914</v>
      </c>
      <c r="F1110" s="4" t="s">
        <v>17</v>
      </c>
      <c r="G1110" s="1" t="s">
        <v>18</v>
      </c>
      <c r="H1110" s="1" t="s">
        <v>19</v>
      </c>
      <c r="I1110" s="1" t="s">
        <v>20</v>
      </c>
      <c r="J1110" s="1" t="s">
        <v>4915</v>
      </c>
      <c r="K1110" s="1" t="s">
        <v>22</v>
      </c>
      <c r="L1110" s="1" t="str">
        <f>HYPERLINK("https://files.afu.se/Downloads/Transcripts/0%20-%20Government/USA%20-%20NASA%20Johnson/2016 02 17 - NASA Johnson - Space Station Live  Building a One-Year Space Relationship_aHzFcorlj4Y - transcript (automated).pdf","Transcript Link")</f>
        <v>Transcript Link</v>
      </c>
      <c r="M1110" s="2" t="str">
        <f>HYPERLINK("https://files.afu.se/Downloads/Transcripts/0%20-%20Government/USA%20-%20NASA%20Johnson/2016 02 17 - NASA Johnson - Space Station Live  Building a One-Year Space Relationship_aHzFcorlj4Y - transcript (automated).pdf","Transcript Link")</f>
        <v>Transcript Link</v>
      </c>
    </row>
    <row r="1111" ht="240" spans="1:13">
      <c r="A1111" s="1" t="s">
        <v>4911</v>
      </c>
      <c r="B1111" s="1" t="s">
        <v>13</v>
      </c>
      <c r="C1111" s="4" t="s">
        <v>4916</v>
      </c>
      <c r="D1111" s="1" t="s">
        <v>4917</v>
      </c>
      <c r="E1111" s="1" t="s">
        <v>4918</v>
      </c>
      <c r="F1111" s="4" t="s">
        <v>17</v>
      </c>
      <c r="G1111" s="1" t="s">
        <v>18</v>
      </c>
      <c r="H1111" s="1" t="s">
        <v>19</v>
      </c>
      <c r="I1111" s="1" t="s">
        <v>20</v>
      </c>
      <c r="J1111" s="1" t="s">
        <v>4919</v>
      </c>
      <c r="K1111" s="1" t="s">
        <v>22</v>
      </c>
      <c r="L1111" s="1" t="str">
        <f>HYPERLINK("https://files.afu.se/Downloads/Transcripts/0%20-%20Government/USA%20-%20NASA%20Johnson/2016 02 17 - NASA Johnson - Space Station Live  Homecoming for Kelly_yjLLfd3uKXo - transcript (automated).pdf","Transcript Link")</f>
        <v>Transcript Link</v>
      </c>
      <c r="M1111" s="2" t="str">
        <f>HYPERLINK("https://files.afu.se/Downloads/Transcripts/0%20-%20Government/USA%20-%20NASA%20Johnson/2016 02 17 - NASA Johnson - Space Station Live  Homecoming for Kelly_yjLLfd3uKXo - transcript (automated).pdf","Transcript Link")</f>
        <v>Transcript Link</v>
      </c>
    </row>
    <row r="1112" ht="180" spans="1:13">
      <c r="A1112" s="1" t="s">
        <v>4920</v>
      </c>
      <c r="B1112" s="1" t="s">
        <v>13</v>
      </c>
      <c r="C1112" s="4" t="s">
        <v>4921</v>
      </c>
      <c r="D1112" s="1" t="s">
        <v>4922</v>
      </c>
      <c r="E1112" s="1" t="s">
        <v>4923</v>
      </c>
      <c r="F1112" s="4" t="s">
        <v>17</v>
      </c>
      <c r="G1112" s="1" t="s">
        <v>18</v>
      </c>
      <c r="H1112" s="1" t="s">
        <v>19</v>
      </c>
      <c r="I1112" s="1" t="s">
        <v>20</v>
      </c>
      <c r="J1112" s="1" t="s">
        <v>4924</v>
      </c>
      <c r="K1112" s="1" t="s">
        <v>22</v>
      </c>
      <c r="L1112" s="1" t="str">
        <f>HYPERLINK("https://files.afu.se/Downloads/Transcripts/0%20-%20Government/USA%20-%20NASA%20Johnson/2016 02 16 - NASA Johnson - Space Station Live  Research Results During One Year Mission_leYseS988Gg - transcript (automated).pdf","Transcript Link")</f>
        <v>Transcript Link</v>
      </c>
      <c r="M1112" s="2" t="str">
        <f>HYPERLINK("https://files.afu.se/Downloads/Transcripts/0%20-%20Government/USA%20-%20NASA%20Johnson/2016 02 16 - NASA Johnson - Space Station Live  Research Results During One Year Mission_leYseS988Gg - transcript (automated).pdf","Transcript Link")</f>
        <v>Transcript Link</v>
      </c>
    </row>
    <row r="1113" ht="180" spans="1:13">
      <c r="A1113" s="1" t="s">
        <v>4920</v>
      </c>
      <c r="B1113" s="1" t="s">
        <v>13</v>
      </c>
      <c r="C1113" s="4" t="s">
        <v>4925</v>
      </c>
      <c r="D1113" s="1" t="s">
        <v>4857</v>
      </c>
      <c r="E1113" s="1" t="s">
        <v>4926</v>
      </c>
      <c r="F1113" s="4" t="s">
        <v>17</v>
      </c>
      <c r="G1113" s="1" t="s">
        <v>18</v>
      </c>
      <c r="H1113" s="1" t="s">
        <v>19</v>
      </c>
      <c r="I1113" s="1" t="s">
        <v>20</v>
      </c>
      <c r="J1113" s="1" t="s">
        <v>4927</v>
      </c>
      <c r="K1113" s="1" t="s">
        <v>22</v>
      </c>
      <c r="L1113" s="1" t="str">
        <f>HYPERLINK("https://files.afu.se/Downloads/Transcripts/0%20-%20Government/USA%20-%20NASA%20Johnson/2016 02 16 - NASA Johnson - Space Station Live  African American History Month_R2mAL1XrKSE - transcript (automated).pdf","Transcript Link")</f>
        <v>Transcript Link</v>
      </c>
      <c r="M1113" s="2" t="str">
        <f>HYPERLINK("https://files.afu.se/Downloads/Transcripts/0%20-%20Government/USA%20-%20NASA%20Johnson/2016 02 16 - NASA Johnson - Space Station Live  African American History Month_R2mAL1XrKSE - transcript (automated).pdf","Transcript Link")</f>
        <v>Transcript Link</v>
      </c>
    </row>
    <row r="1114" ht="180" spans="1:13">
      <c r="A1114" s="1" t="s">
        <v>4928</v>
      </c>
      <c r="B1114" s="1" t="s">
        <v>13</v>
      </c>
      <c r="C1114" s="4" t="s">
        <v>4929</v>
      </c>
      <c r="D1114" s="1" t="s">
        <v>4930</v>
      </c>
      <c r="E1114" s="1" t="s">
        <v>4931</v>
      </c>
      <c r="F1114" s="4" t="s">
        <v>17</v>
      </c>
      <c r="G1114" s="1" t="s">
        <v>18</v>
      </c>
      <c r="H1114" s="1" t="s">
        <v>19</v>
      </c>
      <c r="I1114" s="1" t="s">
        <v>20</v>
      </c>
      <c r="J1114" s="1" t="s">
        <v>4932</v>
      </c>
      <c r="K1114" s="1" t="s">
        <v>22</v>
      </c>
      <c r="L1114" s="1" t="str">
        <f>HYPERLINK("https://files.afu.se/Downloads/Transcripts/0%20-%20Government/USA%20-%20NASA%20Johnson/2016 02 12 - NASA Johnson - Space to Ground  Space Suit Repairs  02 12 2016_9884aTBsyU4 - transcript (automated).pdf","Transcript Link")</f>
        <v>Transcript Link</v>
      </c>
      <c r="M1114" s="2" t="str">
        <f>HYPERLINK("https://files.afu.se/Downloads/Transcripts/0%20-%20Government/USA%20-%20NASA%20Johnson/2016 02 12 - NASA Johnson - Space to Ground  Space Suit Repairs  02 12 2016_9884aTBsyU4 - transcript (automated).pdf","Transcript Link")</f>
        <v>Transcript Link</v>
      </c>
    </row>
    <row r="1115" ht="270" spans="1:13">
      <c r="A1115" s="1" t="s">
        <v>4933</v>
      </c>
      <c r="B1115" s="1" t="s">
        <v>13</v>
      </c>
      <c r="C1115" s="4" t="s">
        <v>4934</v>
      </c>
      <c r="D1115" s="1" t="s">
        <v>4935</v>
      </c>
      <c r="E1115" s="1" t="s">
        <v>4936</v>
      </c>
      <c r="F1115" s="4" t="s">
        <v>17</v>
      </c>
      <c r="G1115" s="1" t="s">
        <v>18</v>
      </c>
      <c r="H1115" s="1" t="s">
        <v>19</v>
      </c>
      <c r="I1115" s="1" t="s">
        <v>20</v>
      </c>
      <c r="J1115" s="1" t="s">
        <v>4937</v>
      </c>
      <c r="K1115" s="1" t="s">
        <v>22</v>
      </c>
      <c r="L1115" s="1" t="str">
        <f>HYPERLINK("https://files.afu.se/Downloads/Transcripts/0%20-%20Government/USA%20-%20NASA%20Johnson/2016 02 10 - NASA Johnson - Space Station Live  Science of the Gut_uFhvJfcO0lA - transcript (automated).pdf","Transcript Link")</f>
        <v>Transcript Link</v>
      </c>
      <c r="M1115" s="2" t="str">
        <f>HYPERLINK("https://files.afu.se/Downloads/Transcripts/0%20-%20Government/USA%20-%20NASA%20Johnson/2016 02 10 - NASA Johnson - Space Station Live  Science of the Gut_uFhvJfcO0lA - transcript (automated).pdf","Transcript Link")</f>
        <v>Transcript Link</v>
      </c>
    </row>
    <row r="1116" ht="180" spans="1:13">
      <c r="A1116" s="1" t="s">
        <v>4938</v>
      </c>
      <c r="B1116" s="1" t="s">
        <v>13</v>
      </c>
      <c r="C1116" s="4" t="s">
        <v>4939</v>
      </c>
      <c r="D1116" s="1" t="s">
        <v>4940</v>
      </c>
      <c r="E1116" s="1" t="s">
        <v>4941</v>
      </c>
      <c r="F1116" s="4" t="s">
        <v>17</v>
      </c>
      <c r="G1116" s="1" t="s">
        <v>18</v>
      </c>
      <c r="H1116" s="1" t="s">
        <v>19</v>
      </c>
      <c r="I1116" s="1" t="s">
        <v>20</v>
      </c>
      <c r="J1116" s="1" t="s">
        <v>4942</v>
      </c>
      <c r="K1116" s="1" t="s">
        <v>22</v>
      </c>
      <c r="L1116" s="1" t="str">
        <f>HYPERLINK("https://files.afu.se/Downloads/Transcripts/0%20-%20Government/USA%20-%20NASA%20Johnson/2016 02 09 - NASA Johnson - A Moment with Yuri Malenchenko_YP5OzMBYUqs - transcript (automated).pdf","Transcript Link")</f>
        <v>Transcript Link</v>
      </c>
      <c r="M1116" s="2" t="str">
        <f>HYPERLINK("https://files.afu.se/Downloads/Transcripts/0%20-%20Government/USA%20-%20NASA%20Johnson/2016 02 09 - NASA Johnson - A Moment with Yuri Malenchenko_YP5OzMBYUqs - transcript (automated).pdf","Transcript Link")</f>
        <v>Transcript Link</v>
      </c>
    </row>
    <row r="1117" ht="330" spans="1:13">
      <c r="A1117" s="1" t="s">
        <v>4943</v>
      </c>
      <c r="B1117" s="1" t="s">
        <v>13</v>
      </c>
      <c r="C1117" s="4" t="s">
        <v>4944</v>
      </c>
      <c r="D1117" s="1" t="s">
        <v>4945</v>
      </c>
      <c r="E1117" s="1" t="s">
        <v>4946</v>
      </c>
      <c r="F1117" s="4" t="s">
        <v>17</v>
      </c>
      <c r="G1117" s="1" t="s">
        <v>18</v>
      </c>
      <c r="H1117" s="1" t="s">
        <v>19</v>
      </c>
      <c r="I1117" s="1" t="s">
        <v>20</v>
      </c>
      <c r="J1117" s="1" t="s">
        <v>4947</v>
      </c>
      <c r="K1117" s="1" t="s">
        <v>22</v>
      </c>
      <c r="L1117" s="1" t="str">
        <f>HYPERLINK("https://files.afu.se/Downloads/Transcripts/0%20-%20Government/USA%20-%20NASA%20Johnson/2016 02 06 - NASA Johnson - ISS Crew Discusses Life in Space with Former President Bush_ww3ueFwqnWs - transcript (automated).pdf","Transcript Link")</f>
        <v>Transcript Link</v>
      </c>
      <c r="M1117" s="2" t="str">
        <f>HYPERLINK("https://files.afu.se/Downloads/Transcripts/0%20-%20Government/USA%20-%20NASA%20Johnson/2016 02 06 - NASA Johnson - ISS Crew Discusses Life in Space with Former President Bush_ww3ueFwqnWs - transcript (automated).pdf","Transcript Link")</f>
        <v>Transcript Link</v>
      </c>
    </row>
    <row r="1118" ht="180" spans="1:13">
      <c r="A1118" s="1" t="s">
        <v>4948</v>
      </c>
      <c r="B1118" s="1" t="s">
        <v>13</v>
      </c>
      <c r="C1118" s="4" t="s">
        <v>4949</v>
      </c>
      <c r="D1118" s="1" t="s">
        <v>4857</v>
      </c>
      <c r="E1118" s="1" t="s">
        <v>4950</v>
      </c>
      <c r="F1118" s="4" t="s">
        <v>17</v>
      </c>
      <c r="G1118" s="1" t="s">
        <v>18</v>
      </c>
      <c r="H1118" s="1" t="s">
        <v>19</v>
      </c>
      <c r="I1118" s="1" t="s">
        <v>20</v>
      </c>
      <c r="J1118" s="1" t="s">
        <v>4951</v>
      </c>
      <c r="K1118" s="1" t="s">
        <v>22</v>
      </c>
      <c r="L1118" s="1" t="str">
        <f>HYPERLINK("https://files.afu.se/Downloads/Transcripts/0%20-%20Government/USA%20-%20NASA%20Johnson/2016 02 05 - NASA Johnson - Space Station Live  African American History Month_KoKC6qA_syU - transcript (automated).pdf","Transcript Link")</f>
        <v>Transcript Link</v>
      </c>
      <c r="M1118" s="2" t="str">
        <f>HYPERLINK("https://files.afu.se/Downloads/Transcripts/0%20-%20Government/USA%20-%20NASA%20Johnson/2016 02 05 - NASA Johnson - Space Station Live  African American History Month_KoKC6qA_syU - transcript (automated).pdf","Transcript Link")</f>
        <v>Transcript Link</v>
      </c>
    </row>
    <row r="1119" ht="240" spans="1:13">
      <c r="A1119" s="1" t="s">
        <v>4948</v>
      </c>
      <c r="B1119" s="1" t="s">
        <v>13</v>
      </c>
      <c r="C1119" s="4" t="s">
        <v>4952</v>
      </c>
      <c r="D1119" s="1" t="s">
        <v>4953</v>
      </c>
      <c r="E1119" s="1" t="s">
        <v>4954</v>
      </c>
      <c r="F1119" s="4" t="s">
        <v>17</v>
      </c>
      <c r="G1119" s="1" t="s">
        <v>18</v>
      </c>
      <c r="H1119" s="1" t="s">
        <v>19</v>
      </c>
      <c r="I1119" s="1" t="s">
        <v>20</v>
      </c>
      <c r="J1119" s="1" t="s">
        <v>4955</v>
      </c>
      <c r="K1119" s="1" t="s">
        <v>22</v>
      </c>
      <c r="L1119" s="1" t="str">
        <f>HYPERLINK("https://files.afu.se/Downloads/Transcripts/0%20-%20Government/USA%20-%20NASA%20Johnson/2016 02 05 - NASA Johnson - mISSion imaginaTIon  Waste Management_AXGS1-UVZPY - transcript (automated).pdf","Transcript Link")</f>
        <v>Transcript Link</v>
      </c>
      <c r="M1119" s="2" t="str">
        <f>HYPERLINK("https://files.afu.se/Downloads/Transcripts/0%20-%20Government/USA%20-%20NASA%20Johnson/2016 02 05 - NASA Johnson - mISSion imaginaTIon  Waste Management_AXGS1-UVZPY - transcript (automated).pdf","Transcript Link")</f>
        <v>Transcript Link</v>
      </c>
    </row>
    <row r="1120" ht="180" spans="1:13">
      <c r="A1120" s="1" t="s">
        <v>4948</v>
      </c>
      <c r="B1120" s="1" t="s">
        <v>13</v>
      </c>
      <c r="C1120" s="4" t="s">
        <v>4956</v>
      </c>
      <c r="D1120" s="1" t="s">
        <v>4957</v>
      </c>
      <c r="E1120" s="1" t="s">
        <v>4931</v>
      </c>
      <c r="F1120" s="4" t="s">
        <v>17</v>
      </c>
      <c r="G1120" s="1" t="s">
        <v>18</v>
      </c>
      <c r="H1120" s="1" t="s">
        <v>19</v>
      </c>
      <c r="I1120" s="1" t="s">
        <v>20</v>
      </c>
      <c r="J1120" s="1" t="s">
        <v>4958</v>
      </c>
      <c r="K1120" s="1" t="s">
        <v>22</v>
      </c>
      <c r="L1120" s="1" t="str">
        <f>HYPERLINK("https://files.afu.se/Downloads/Transcripts/0%20-%20Government/USA%20-%20NASA%20Johnson/2016 02 05 - NASA Johnson - Space to Ground  A Walk in Space  02 05 2016_hsPVXXxUWyo - transcript (automated).pdf","Transcript Link")</f>
        <v>Transcript Link</v>
      </c>
      <c r="M1120" s="2" t="str">
        <f>HYPERLINK("https://files.afu.se/Downloads/Transcripts/0%20-%20Government/USA%20-%20NASA%20Johnson/2016 02 05 - NASA Johnson - Space to Ground  A Walk in Space  02 05 2016_hsPVXXxUWyo - transcript (automated).pdf","Transcript Link")</f>
        <v>Transcript Link</v>
      </c>
    </row>
    <row r="1121" ht="225" spans="1:13">
      <c r="A1121" s="1" t="s">
        <v>4959</v>
      </c>
      <c r="B1121" s="1" t="s">
        <v>13</v>
      </c>
      <c r="C1121" s="4" t="s">
        <v>4960</v>
      </c>
      <c r="D1121" s="1" t="s">
        <v>4961</v>
      </c>
      <c r="E1121" s="1" t="s">
        <v>4962</v>
      </c>
      <c r="F1121" s="4" t="s">
        <v>17</v>
      </c>
      <c r="G1121" s="1" t="s">
        <v>18</v>
      </c>
      <c r="H1121" s="1" t="s">
        <v>19</v>
      </c>
      <c r="I1121" s="1" t="s">
        <v>20</v>
      </c>
      <c r="J1121" s="1" t="s">
        <v>4963</v>
      </c>
      <c r="K1121" s="1" t="s">
        <v>22</v>
      </c>
      <c r="L1121" s="1" t="str">
        <f>HYPERLINK("https://files.afu.se/Downloads/Transcripts/0%20-%20Government/USA%20-%20NASA%20Johnson/2016 02 04 - NASA Johnson - Space Station Live  The ISS Workout Plan_-TU1OkVctaI - transcript (automated).pdf","Transcript Link")</f>
        <v>Transcript Link</v>
      </c>
      <c r="M1121" s="2" t="str">
        <f>HYPERLINK("https://files.afu.se/Downloads/Transcripts/0%20-%20Government/USA%20-%20NASA%20Johnson/2016 02 04 - NASA Johnson - Space Station Live  The ISS Workout Plan_-TU1OkVctaI - transcript (automated).pdf","Transcript Link")</f>
        <v>Transcript Link</v>
      </c>
    </row>
    <row r="1122" ht="180" spans="1:13">
      <c r="A1122" s="1" t="s">
        <v>4964</v>
      </c>
      <c r="B1122" s="1" t="s">
        <v>13</v>
      </c>
      <c r="C1122" s="4" t="s">
        <v>4965</v>
      </c>
      <c r="D1122" s="1" t="s">
        <v>4966</v>
      </c>
      <c r="E1122" s="1" t="s">
        <v>4967</v>
      </c>
      <c r="F1122" s="4" t="s">
        <v>17</v>
      </c>
      <c r="G1122" s="1" t="s">
        <v>18</v>
      </c>
      <c r="H1122" s="1" t="s">
        <v>19</v>
      </c>
      <c r="I1122" s="1" t="s">
        <v>20</v>
      </c>
      <c r="J1122" s="1" t="s">
        <v>4968</v>
      </c>
      <c r="K1122" s="1" t="s">
        <v>22</v>
      </c>
      <c r="L1122" s="1" t="str">
        <f>HYPERLINK("https://files.afu.se/Downloads/Transcripts/0%20-%20Government/USA%20-%20NASA%20Johnson/2016 02 03 - NASA Johnson - Monthly ISS Research Video Update for February 2016_HPlsOlR9yQI - transcript (automated).pdf","Transcript Link")</f>
        <v>Transcript Link</v>
      </c>
      <c r="M1122" s="2" t="str">
        <f>HYPERLINK("https://files.afu.se/Downloads/Transcripts/0%20-%20Government/USA%20-%20NASA%20Johnson/2016 02 03 - NASA Johnson - Monthly ISS Research Video Update for February 2016_HPlsOlR9yQI - transcript (automated).pdf","Transcript Link")</f>
        <v>Transcript Link</v>
      </c>
    </row>
    <row r="1123" ht="180" spans="1:13">
      <c r="A1123" s="1" t="s">
        <v>4969</v>
      </c>
      <c r="B1123" s="1" t="s">
        <v>13</v>
      </c>
      <c r="C1123" s="4" t="s">
        <v>4970</v>
      </c>
      <c r="D1123" s="1" t="s">
        <v>4971</v>
      </c>
      <c r="E1123" s="1" t="s">
        <v>4972</v>
      </c>
      <c r="F1123" s="4" t="s">
        <v>17</v>
      </c>
      <c r="G1123" s="1" t="s">
        <v>18</v>
      </c>
      <c r="H1123" s="1" t="s">
        <v>19</v>
      </c>
      <c r="I1123" s="1" t="s">
        <v>20</v>
      </c>
      <c r="J1123" s="1" t="s">
        <v>4973</v>
      </c>
      <c r="K1123" s="1" t="s">
        <v>22</v>
      </c>
      <c r="L1123" s="1" t="str">
        <f>HYPERLINK("https://files.afu.se/Downloads/Transcripts/0%20-%20Government/USA%20-%20NASA%20Johnson/2016 02 01 - NASA Johnson - Space Station Live  Simulating Two Years in Space_iS0ZVT5dnDA - transcript (automated).pdf","Transcript Link")</f>
        <v>Transcript Link</v>
      </c>
      <c r="M1123" s="2" t="str">
        <f>HYPERLINK("https://files.afu.se/Downloads/Transcripts/0%20-%20Government/USA%20-%20NASA%20Johnson/2016 02 01 - NASA Johnson - Space Station Live  Simulating Two Years in Space_iS0ZVT5dnDA - transcript (automated).pdf","Transcript Link")</f>
        <v>Transcript Link</v>
      </c>
    </row>
    <row r="1124" ht="409.5" spans="1:13">
      <c r="A1124" s="1" t="s">
        <v>4969</v>
      </c>
      <c r="B1124" s="1" t="s">
        <v>13</v>
      </c>
      <c r="C1124" s="4" t="s">
        <v>4974</v>
      </c>
      <c r="D1124" s="1" t="s">
        <v>4975</v>
      </c>
      <c r="E1124" s="1" t="s">
        <v>4976</v>
      </c>
      <c r="F1124" s="4" t="s">
        <v>17</v>
      </c>
      <c r="G1124" s="1" t="s">
        <v>18</v>
      </c>
      <c r="H1124" s="1" t="s">
        <v>19</v>
      </c>
      <c r="I1124" s="1" t="s">
        <v>20</v>
      </c>
      <c r="J1124" s="1" t="s">
        <v>4977</v>
      </c>
      <c r="K1124" s="1" t="s">
        <v>22</v>
      </c>
      <c r="L1124" s="1" t="str">
        <f>HYPERLINK("https://files.afu.se/Downloads/Transcripts/0%20-%20Government/USA%20-%20NASA%20Johnson/2016 02 01 - NASA Johnson - StationLIFE  Cardiovascular – February 2016_c81EaTtFBD8 - transcript (automated).pdf","Transcript Link")</f>
        <v>Transcript Link</v>
      </c>
      <c r="M1124" s="2" t="str">
        <f>HYPERLINK("https://files.afu.se/Downloads/Transcripts/0%20-%20Government/USA%20-%20NASA%20Johnson/2016 02 01 - NASA Johnson - StationLIFE  Cardiovascular – February 2016_c81EaTtFBD8 - transcript (automated).pdf","Transcript Link")</f>
        <v>Transcript Link</v>
      </c>
    </row>
    <row r="1125" ht="409.5" spans="1:13">
      <c r="A1125" s="1" t="s">
        <v>4969</v>
      </c>
      <c r="B1125" s="1" t="s">
        <v>13</v>
      </c>
      <c r="C1125" s="4" t="s">
        <v>4978</v>
      </c>
      <c r="D1125" s="1" t="s">
        <v>4979</v>
      </c>
      <c r="E1125" s="1" t="s">
        <v>4980</v>
      </c>
      <c r="F1125" s="4" t="s">
        <v>17</v>
      </c>
      <c r="G1125" s="1" t="s">
        <v>18</v>
      </c>
      <c r="H1125" s="1" t="s">
        <v>19</v>
      </c>
      <c r="I1125" s="1" t="s">
        <v>20</v>
      </c>
      <c r="J1125" s="1" t="s">
        <v>4981</v>
      </c>
      <c r="K1125" s="1" t="s">
        <v>22</v>
      </c>
      <c r="L1125" s="1" t="str">
        <f>HYPERLINK("https://files.afu.se/Downloads/Transcripts/0%20-%20Government/USA%20-%20NASA%20Johnson/2016 02 01 - NASA Johnson - Russian ISS Spacewalk %2342 Animation_-p-D2XBZk38 - transcript (automated).pdf","Transcript Link")</f>
        <v>Transcript Link</v>
      </c>
      <c r="M1125" s="2" t="str">
        <f>HYPERLINK("https://files.afu.se/Downloads/Transcripts/0%20-%20Government/USA%20-%20NASA%20Johnson/2016 02 01 - NASA Johnson - Russian ISS Spacewalk %2342 Animation_-p-D2XBZk38 - transcript (automated).pdf","Transcript Link")</f>
        <v>Transcript Link</v>
      </c>
    </row>
    <row r="1126" ht="180" spans="1:13">
      <c r="A1126" s="1" t="s">
        <v>4969</v>
      </c>
      <c r="B1126" s="1" t="s">
        <v>13</v>
      </c>
      <c r="C1126" s="4" t="s">
        <v>4982</v>
      </c>
      <c r="D1126" s="1" t="s">
        <v>4983</v>
      </c>
      <c r="E1126" s="1" t="s">
        <v>4984</v>
      </c>
      <c r="F1126" s="4" t="s">
        <v>17</v>
      </c>
      <c r="G1126" s="1" t="s">
        <v>18</v>
      </c>
      <c r="H1126" s="1" t="s">
        <v>19</v>
      </c>
      <c r="I1126" s="1" t="s">
        <v>20</v>
      </c>
      <c r="J1126" s="1" t="s">
        <v>4985</v>
      </c>
      <c r="K1126" s="1" t="s">
        <v>22</v>
      </c>
      <c r="L1126" s="1" t="str">
        <f>HYPERLINK("https://files.afu.se/Downloads/Transcripts/0%20-%20Government/USA%20-%20NASA%20Johnson/2016 02 01 - NASA Johnson - A Moment with Tim Kopra_W6cYACCrwbU - transcript (automated).pdf","Transcript Link")</f>
        <v>Transcript Link</v>
      </c>
      <c r="M1126" s="2" t="str">
        <f>HYPERLINK("https://files.afu.se/Downloads/Transcripts/0%20-%20Government/USA%20-%20NASA%20Johnson/2016 02 01 - NASA Johnson - A Moment with Tim Kopra_W6cYACCrwbU - transcript (automated).pdf","Transcript Link")</f>
        <v>Transcript Link</v>
      </c>
    </row>
    <row r="1127" ht="180" spans="1:13">
      <c r="A1127" s="1" t="s">
        <v>4969</v>
      </c>
      <c r="B1127" s="1" t="s">
        <v>13</v>
      </c>
      <c r="C1127" s="4" t="s">
        <v>4986</v>
      </c>
      <c r="D1127" s="1" t="s">
        <v>4987</v>
      </c>
      <c r="E1127" s="1" t="s">
        <v>4988</v>
      </c>
      <c r="F1127" s="4" t="s">
        <v>17</v>
      </c>
      <c r="G1127" s="1" t="s">
        <v>18</v>
      </c>
      <c r="H1127" s="1" t="s">
        <v>19</v>
      </c>
      <c r="I1127" s="1" t="s">
        <v>20</v>
      </c>
      <c r="J1127" s="1" t="s">
        <v>4989</v>
      </c>
      <c r="K1127" s="1" t="s">
        <v>22</v>
      </c>
      <c r="L1127" s="1" t="str">
        <f>HYPERLINK("https://files.afu.se/Downloads/Transcripts/0%20-%20Government/USA%20-%20NASA%20Johnson/2016 02 01 - NASA Johnson - A Moment with Tim Peake_N9TdWhYBsU0 - transcript (automated).pdf","Transcript Link")</f>
        <v>Transcript Link</v>
      </c>
      <c r="M1127" s="2" t="str">
        <f>HYPERLINK("https://files.afu.se/Downloads/Transcripts/0%20-%20Government/USA%20-%20NASA%20Johnson/2016 02 01 - NASA Johnson - A Moment with Tim Peake_N9TdWhYBsU0 - transcript (automated).pdf","Transcript Link")</f>
        <v>Transcript Link</v>
      </c>
    </row>
    <row r="1128" ht="210" spans="1:13">
      <c r="A1128" s="1" t="s">
        <v>4990</v>
      </c>
      <c r="B1128" s="1" t="s">
        <v>13</v>
      </c>
      <c r="C1128" s="4" t="s">
        <v>4991</v>
      </c>
      <c r="D1128" s="1" t="s">
        <v>4992</v>
      </c>
      <c r="E1128" s="1" t="s">
        <v>4993</v>
      </c>
      <c r="F1128" s="4" t="s">
        <v>17</v>
      </c>
      <c r="G1128" s="1" t="s">
        <v>18</v>
      </c>
      <c r="H1128" s="1" t="s">
        <v>19</v>
      </c>
      <c r="I1128" s="1" t="s">
        <v>20</v>
      </c>
      <c r="J1128" s="1" t="s">
        <v>4994</v>
      </c>
      <c r="K1128" s="1" t="s">
        <v>22</v>
      </c>
      <c r="L1128" s="1" t="str">
        <f>HYPERLINK("https://files.afu.se/Downloads/Transcripts/0%20-%20Government/USA%20-%20NASA%20Johnson/2016 01 29 - NASA Johnson - Orion Backstage  Anthony Thrikettle_eo_6W568XtI - transcript (automated).pdf","Transcript Link")</f>
        <v>Transcript Link</v>
      </c>
      <c r="M1128" s="2" t="str">
        <f>HYPERLINK("https://files.afu.se/Downloads/Transcripts/0%20-%20Government/USA%20-%20NASA%20Johnson/2016 01 29 - NASA Johnson - Orion Backstage  Anthony Thrikettle_eo_6W568XtI - transcript (automated).pdf","Transcript Link")</f>
        <v>Transcript Link</v>
      </c>
    </row>
    <row r="1129" ht="300" spans="1:13">
      <c r="A1129" s="1" t="s">
        <v>4990</v>
      </c>
      <c r="B1129" s="1" t="s">
        <v>13</v>
      </c>
      <c r="C1129" s="4" t="s">
        <v>4995</v>
      </c>
      <c r="D1129" s="1" t="s">
        <v>4996</v>
      </c>
      <c r="E1129" s="1" t="s">
        <v>4997</v>
      </c>
      <c r="F1129" s="4" t="s">
        <v>17</v>
      </c>
      <c r="G1129" s="1" t="s">
        <v>18</v>
      </c>
      <c r="H1129" s="1" t="s">
        <v>19</v>
      </c>
      <c r="I1129" s="1" t="s">
        <v>20</v>
      </c>
      <c r="J1129" s="1" t="s">
        <v>4998</v>
      </c>
      <c r="K1129" s="1" t="s">
        <v>22</v>
      </c>
      <c r="L1129" s="1" t="str">
        <f>HYPERLINK("https://files.afu.se/Downloads/Transcripts/0%20-%20Government/USA%20-%20NASA%20Johnson/2016 01 29 - NASA Johnson - Space Station Live  The Space Lab Lineup_zQxdl0XDpw0 - transcript (automated).pdf","Transcript Link")</f>
        <v>Transcript Link</v>
      </c>
      <c r="M1129" s="2" t="str">
        <f>HYPERLINK("https://files.afu.se/Downloads/Transcripts/0%20-%20Government/USA%20-%20NASA%20Johnson/2016 01 29 - NASA Johnson - Space Station Live  The Space Lab Lineup_zQxdl0XDpw0 - transcript (automated).pdf","Transcript Link")</f>
        <v>Transcript Link</v>
      </c>
    </row>
    <row r="1130" ht="180" spans="1:13">
      <c r="A1130" s="1" t="s">
        <v>4990</v>
      </c>
      <c r="B1130" s="1" t="s">
        <v>13</v>
      </c>
      <c r="C1130" s="4" t="s">
        <v>4999</v>
      </c>
      <c r="D1130" s="1" t="s">
        <v>5000</v>
      </c>
      <c r="E1130" s="1" t="s">
        <v>4931</v>
      </c>
      <c r="F1130" s="4" t="s">
        <v>17</v>
      </c>
      <c r="G1130" s="1" t="s">
        <v>18</v>
      </c>
      <c r="H1130" s="1" t="s">
        <v>19</v>
      </c>
      <c r="I1130" s="1" t="s">
        <v>20</v>
      </c>
      <c r="J1130" s="1" t="s">
        <v>5001</v>
      </c>
      <c r="K1130" s="1" t="s">
        <v>22</v>
      </c>
      <c r="L1130" s="1" t="str">
        <f>HYPERLINK("https://files.afu.se/Downloads/Transcripts/0%20-%20Government/USA%20-%20NASA%20Johnson/2016 01 29 - NASA Johnson - Space to Ground  Cyclops and LONESTAR Meet Station  01 29 2016_FVHF8FTbfow - transcript (automated).pdf","Transcript Link")</f>
        <v>Transcript Link</v>
      </c>
      <c r="M1130" s="2" t="str">
        <f>HYPERLINK("https://files.afu.se/Downloads/Transcripts/0%20-%20Government/USA%20-%20NASA%20Johnson/2016 01 29 - NASA Johnson - Space to Ground  Cyclops and LONESTAR Meet Station  01 29 2016_FVHF8FTbfow - transcript (automated).pdf","Transcript Link")</f>
        <v>Transcript Link</v>
      </c>
    </row>
    <row r="1131" ht="180" spans="1:13">
      <c r="A1131" s="1" t="s">
        <v>5002</v>
      </c>
      <c r="B1131" s="1" t="s">
        <v>13</v>
      </c>
      <c r="C1131" s="4" t="s">
        <v>5003</v>
      </c>
      <c r="D1131" s="1" t="s">
        <v>5004</v>
      </c>
      <c r="E1131" s="1" t="s">
        <v>5005</v>
      </c>
      <c r="F1131" s="4" t="s">
        <v>17</v>
      </c>
      <c r="G1131" s="1" t="s">
        <v>18</v>
      </c>
      <c r="H1131" s="1" t="s">
        <v>19</v>
      </c>
      <c r="I1131" s="1" t="s">
        <v>20</v>
      </c>
      <c r="J1131" s="1" t="s">
        <v>5006</v>
      </c>
      <c r="K1131" s="1" t="s">
        <v>22</v>
      </c>
      <c r="L1131" s="1" t="str">
        <f>HYPERLINK("https://files.afu.se/Downloads/Transcripts/0%20-%20Government/USA%20-%20NASA%20Johnson/2016 01 28 - NASA Johnson - NASA Remembers_Ybv-UfXKzyA - transcript (automated).pdf","Transcript Link")</f>
        <v>Transcript Link</v>
      </c>
      <c r="M1131" s="2" t="str">
        <f>HYPERLINK("https://files.afu.se/Downloads/Transcripts/0%20-%20Government/USA%20-%20NASA%20Johnson/2016 01 28 - NASA Johnson - NASA Remembers_Ybv-UfXKzyA - transcript (automated).pdf","Transcript Link")</f>
        <v>Transcript Link</v>
      </c>
    </row>
    <row r="1132" ht="180" spans="1:13">
      <c r="A1132" s="1" t="s">
        <v>5007</v>
      </c>
      <c r="B1132" s="1" t="s">
        <v>13</v>
      </c>
      <c r="C1132" s="4" t="s">
        <v>5008</v>
      </c>
      <c r="D1132" s="1" t="s">
        <v>5009</v>
      </c>
      <c r="E1132" s="1" t="s">
        <v>4931</v>
      </c>
      <c r="F1132" s="4" t="s">
        <v>17</v>
      </c>
      <c r="G1132" s="1" t="s">
        <v>18</v>
      </c>
      <c r="H1132" s="1" t="s">
        <v>19</v>
      </c>
      <c r="I1132" s="1" t="s">
        <v>20</v>
      </c>
      <c r="J1132" s="1" t="s">
        <v>5010</v>
      </c>
      <c r="K1132" s="1" t="s">
        <v>22</v>
      </c>
      <c r="L1132" s="1" t="str">
        <f>HYPERLINK("https://files.afu.se/Downloads/Transcripts/0%20-%20Government/USA%20-%20NASA%20Johnson/2016 01 22 - NASA Johnson - Space to Ground  In Bloom  01 22 2016_nD6rnYjWPzo - transcript (automated).pdf","Transcript Link")</f>
        <v>Transcript Link</v>
      </c>
      <c r="M1132" s="2" t="str">
        <f>HYPERLINK("https://files.afu.se/Downloads/Transcripts/0%20-%20Government/USA%20-%20NASA%20Johnson/2016 01 22 - NASA Johnson - Space to Ground  In Bloom  01 22 2016_nD6rnYjWPzo - transcript (automated).pdf","Transcript Link")</f>
        <v>Transcript Link</v>
      </c>
    </row>
    <row r="1133" ht="409.5" spans="1:13">
      <c r="A1133" s="1" t="s">
        <v>5011</v>
      </c>
      <c r="B1133" s="1" t="s">
        <v>13</v>
      </c>
      <c r="C1133" s="4" t="s">
        <v>5012</v>
      </c>
      <c r="D1133" s="1" t="s">
        <v>5013</v>
      </c>
      <c r="E1133" s="1" t="s">
        <v>5014</v>
      </c>
      <c r="F1133" s="4" t="s">
        <v>17</v>
      </c>
      <c r="G1133" s="1" t="s">
        <v>18</v>
      </c>
      <c r="H1133" s="1" t="s">
        <v>19</v>
      </c>
      <c r="I1133" s="1" t="s">
        <v>20</v>
      </c>
      <c r="J1133" s="1" t="s">
        <v>5015</v>
      </c>
      <c r="K1133" s="1" t="s">
        <v>22</v>
      </c>
      <c r="L1133" s="1" t="str">
        <f>HYPERLINK("https://files.afu.se/Downloads/Transcripts/0%20-%20Government/USA%20-%20NASA%20Johnson/2016 01 21 - NASA Johnson - Liquid Ping Pong in Space - RED 4K_TLbhrMCM4_0 - transcript (automated).pdf","Transcript Link")</f>
        <v>Transcript Link</v>
      </c>
      <c r="M1133" s="2" t="str">
        <f>HYPERLINK("https://files.afu.se/Downloads/Transcripts/0%20-%20Government/USA%20-%20NASA%20Johnson/2016 01 21 - NASA Johnson - Liquid Ping Pong in Space - RED 4K_TLbhrMCM4_0 - transcript (automated).pdf","Transcript Link")</f>
        <v>Transcript Link</v>
      </c>
    </row>
    <row r="1134" ht="180" spans="1:13">
      <c r="A1134" s="1" t="s">
        <v>5016</v>
      </c>
      <c r="B1134" s="1" t="s">
        <v>13</v>
      </c>
      <c r="C1134" s="4" t="s">
        <v>5017</v>
      </c>
      <c r="D1134" s="1" t="s">
        <v>5018</v>
      </c>
      <c r="E1134" s="1" t="s">
        <v>5019</v>
      </c>
      <c r="F1134" s="4" t="s">
        <v>17</v>
      </c>
      <c r="G1134" s="1" t="s">
        <v>18</v>
      </c>
      <c r="H1134" s="1" t="s">
        <v>19</v>
      </c>
      <c r="I1134" s="1" t="s">
        <v>20</v>
      </c>
      <c r="J1134" s="1" t="s">
        <v>5020</v>
      </c>
      <c r="K1134" s="1" t="s">
        <v>22</v>
      </c>
      <c r="L1134" s="1" t="str">
        <f>HYPERLINK("https://files.afu.se/Downloads/Transcripts/0%20-%20Government/USA%20-%20NASA%20Johnson/2016 01 19 - NASA Johnson - Space Station Live  Orion Update_Bale3zt3fog - transcript (automated).pdf","Transcript Link")</f>
        <v>Transcript Link</v>
      </c>
      <c r="M1134" s="2" t="str">
        <f>HYPERLINK("https://files.afu.se/Downloads/Transcripts/0%20-%20Government/USA%20-%20NASA%20Johnson/2016 01 19 - NASA Johnson - Space Station Live  Orion Update_Bale3zt3fog - transcript (automated).pdf","Transcript Link")</f>
        <v>Transcript Link</v>
      </c>
    </row>
    <row r="1135" ht="409.5" spans="1:13">
      <c r="A1135" s="1" t="s">
        <v>5021</v>
      </c>
      <c r="B1135" s="1" t="s">
        <v>13</v>
      </c>
      <c r="C1135" s="4" t="s">
        <v>5022</v>
      </c>
      <c r="D1135" s="1" t="s">
        <v>5023</v>
      </c>
      <c r="E1135" s="1" t="s">
        <v>5024</v>
      </c>
      <c r="F1135" s="4" t="s">
        <v>17</v>
      </c>
      <c r="G1135" s="1" t="s">
        <v>18</v>
      </c>
      <c r="H1135" s="1" t="s">
        <v>19</v>
      </c>
      <c r="I1135" s="1" t="s">
        <v>20</v>
      </c>
      <c r="J1135" s="1" t="s">
        <v>5025</v>
      </c>
      <c r="K1135" s="1" t="s">
        <v>22</v>
      </c>
      <c r="L1135" s="1" t="str">
        <f>HYPERLINK("https://files.afu.se/Downloads/Transcripts/0%20-%20Government/USA%20-%20NASA%20Johnson/2016 01 15 - NASA Johnson - Flight Director Royce Renfrew Discusses Early Spacewalk End_HDtlJn9ufME - transcript (automated).pdf","Transcript Link")</f>
        <v>Transcript Link</v>
      </c>
      <c r="M1135" s="2" t="str">
        <f>HYPERLINK("https://files.afu.se/Downloads/Transcripts/0%20-%20Government/USA%20-%20NASA%20Johnson/2016 01 15 - NASA Johnson - Flight Director Royce Renfrew Discusses Early Spacewalk End_HDtlJn9ufME - transcript (automated).pdf","Transcript Link")</f>
        <v>Transcript Link</v>
      </c>
    </row>
    <row r="1136" ht="180" spans="1:13">
      <c r="A1136" s="1" t="s">
        <v>5021</v>
      </c>
      <c r="B1136" s="1" t="s">
        <v>13</v>
      </c>
      <c r="C1136" s="4" t="s">
        <v>5026</v>
      </c>
      <c r="D1136" s="1" t="s">
        <v>5027</v>
      </c>
      <c r="E1136" s="1" t="s">
        <v>4931</v>
      </c>
      <c r="F1136" s="4" t="s">
        <v>17</v>
      </c>
      <c r="G1136" s="1" t="s">
        <v>18</v>
      </c>
      <c r="H1136" s="1" t="s">
        <v>19</v>
      </c>
      <c r="I1136" s="1" t="s">
        <v>20</v>
      </c>
      <c r="J1136" s="1" t="s">
        <v>5028</v>
      </c>
      <c r="K1136" s="1" t="s">
        <v>22</v>
      </c>
      <c r="L1136" s="1" t="str">
        <f>HYPERLINK("https://files.afu.se/Downloads/Transcripts/0%20-%20Government/USA%20-%20NASA%20Johnson/2016 01 15 - NASA Johnson - Space to Ground  All Powered Up  01 15 2016_a5OEpP53pLc - transcript (automated).pdf","Transcript Link")</f>
        <v>Transcript Link</v>
      </c>
      <c r="M1136" s="2" t="str">
        <f>HYPERLINK("https://files.afu.se/Downloads/Transcripts/0%20-%20Government/USA%20-%20NASA%20Johnson/2016 01 15 - NASA Johnson - Space to Ground  All Powered Up  01 15 2016_a5OEpP53pLc - transcript (automated).pdf","Transcript Link")</f>
        <v>Transcript Link</v>
      </c>
    </row>
    <row r="1137" ht="240" spans="1:13">
      <c r="A1137" s="1" t="s">
        <v>5029</v>
      </c>
      <c r="B1137" s="1" t="s">
        <v>13</v>
      </c>
      <c r="C1137" s="4" t="s">
        <v>5030</v>
      </c>
      <c r="D1137" s="1" t="s">
        <v>5031</v>
      </c>
      <c r="E1137" s="1" t="s">
        <v>5032</v>
      </c>
      <c r="F1137" s="4" t="s">
        <v>17</v>
      </c>
      <c r="G1137" s="1" t="s">
        <v>18</v>
      </c>
      <c r="H1137" s="1" t="s">
        <v>19</v>
      </c>
      <c r="I1137" s="1" t="s">
        <v>20</v>
      </c>
      <c r="J1137" s="1" t="s">
        <v>5033</v>
      </c>
      <c r="K1137" s="1" t="s">
        <v>22</v>
      </c>
      <c r="L1137" s="1" t="str">
        <f>HYPERLINK("https://files.afu.se/Downloads/Transcripts/0%20-%20Government/USA%20-%20NASA%20Johnson/2016 01 14 - NASA Johnson - Space Station Live  Nutrition, Genetics and Vision in Space_odcqeJnboxQ - transcript (automated).pdf","Transcript Link")</f>
        <v>Transcript Link</v>
      </c>
      <c r="M1137" s="2" t="str">
        <f>HYPERLINK("https://files.afu.se/Downloads/Transcripts/0%20-%20Government/USA%20-%20NASA%20Johnson/2016 01 14 - NASA Johnson - Space Station Live  Nutrition, Genetics and Vision in Space_odcqeJnboxQ - transcript (automated).pdf","Transcript Link")</f>
        <v>Transcript Link</v>
      </c>
    </row>
    <row r="1138" ht="195" spans="1:13">
      <c r="A1138" s="1" t="s">
        <v>5034</v>
      </c>
      <c r="B1138" s="1" t="s">
        <v>13</v>
      </c>
      <c r="C1138" s="4" t="s">
        <v>5035</v>
      </c>
      <c r="D1138" s="1" t="s">
        <v>5036</v>
      </c>
      <c r="E1138" s="1" t="s">
        <v>5037</v>
      </c>
      <c r="F1138" s="4" t="s">
        <v>17</v>
      </c>
      <c r="G1138" s="1" t="s">
        <v>18</v>
      </c>
      <c r="H1138" s="1" t="s">
        <v>19</v>
      </c>
      <c r="I1138" s="1" t="s">
        <v>20</v>
      </c>
      <c r="J1138" s="1" t="s">
        <v>5038</v>
      </c>
      <c r="K1138" s="1" t="s">
        <v>22</v>
      </c>
      <c r="L1138" s="1" t="str">
        <f>HYPERLINK("https://files.afu.se/Downloads/Transcripts/0%20-%20Government/USA%20-%20NASA%20Johnson/2016 01 13 - NASA Johnson - Space Station Live  The Data Connection_jCOen-aiG5E - transcript (automated).pdf","Transcript Link")</f>
        <v>Transcript Link</v>
      </c>
      <c r="M1138" s="2" t="str">
        <f>HYPERLINK("https://files.afu.se/Downloads/Transcripts/0%20-%20Government/USA%20-%20NASA%20Johnson/2016 01 13 - NASA Johnson - Space Station Live  The Data Connection_jCOen-aiG5E - transcript (automated).pdf","Transcript Link")</f>
        <v>Transcript Link</v>
      </c>
    </row>
    <row r="1139" ht="180" spans="1:13">
      <c r="A1139" s="1" t="s">
        <v>5034</v>
      </c>
      <c r="B1139" s="1" t="s">
        <v>13</v>
      </c>
      <c r="C1139" s="4" t="s">
        <v>5039</v>
      </c>
      <c r="D1139" s="1" t="s">
        <v>5040</v>
      </c>
      <c r="E1139" s="1" t="s">
        <v>5041</v>
      </c>
      <c r="F1139" s="4" t="s">
        <v>17</v>
      </c>
      <c r="G1139" s="1" t="s">
        <v>18</v>
      </c>
      <c r="H1139" s="1" t="s">
        <v>19</v>
      </c>
      <c r="I1139" s="1" t="s">
        <v>20</v>
      </c>
      <c r="J1139" s="1" t="s">
        <v>5042</v>
      </c>
      <c r="K1139" s="1" t="s">
        <v>22</v>
      </c>
      <c r="L1139" s="1" t="str">
        <f>HYPERLINK("https://files.afu.se/Downloads/Transcripts/0%20-%20Government/USA%20-%20NASA%20Johnson/2016 01 13 - NASA Johnson - ISS Spacewalk Animation - U.S. EVA %2335 SSU Replacement_UgaC1fmF5ao - transcript (automated).pdf","Transcript Link")</f>
        <v>Transcript Link</v>
      </c>
      <c r="M1139" s="2" t="str">
        <f>HYPERLINK("https://files.afu.se/Downloads/Transcripts/0%20-%20Government/USA%20-%20NASA%20Johnson/2016 01 13 - NASA Johnson - ISS Spacewalk Animation - U.S. EVA %2335 SSU Replacement_UgaC1fmF5ao - transcript (automated).pdf","Transcript Link")</f>
        <v>Transcript Link</v>
      </c>
    </row>
    <row r="1140" ht="255" spans="1:13">
      <c r="A1140" s="1" t="s">
        <v>5043</v>
      </c>
      <c r="B1140" s="1" t="s">
        <v>13</v>
      </c>
      <c r="C1140" s="4" t="s">
        <v>5044</v>
      </c>
      <c r="D1140" s="1" t="s">
        <v>5045</v>
      </c>
      <c r="E1140" s="1" t="s">
        <v>5046</v>
      </c>
      <c r="F1140" s="4" t="s">
        <v>17</v>
      </c>
      <c r="G1140" s="1" t="s">
        <v>18</v>
      </c>
      <c r="H1140" s="1" t="s">
        <v>19</v>
      </c>
      <c r="I1140" s="1" t="s">
        <v>20</v>
      </c>
      <c r="J1140" s="1" t="s">
        <v>5047</v>
      </c>
      <c r="K1140" s="1" t="s">
        <v>22</v>
      </c>
      <c r="L1140" s="1" t="str">
        <f>HYPERLINK("https://files.afu.se/Downloads/Transcripts/0%20-%20Government/USA%20-%20NASA%20Johnson/2016 01 12 - NASA Johnson - Space Station Live  A New Measure of Bone Strength_vqBE0F77LPM - transcript (automated).pdf","Transcript Link")</f>
        <v>Transcript Link</v>
      </c>
      <c r="M1140" s="2" t="str">
        <f>HYPERLINK("https://files.afu.se/Downloads/Transcripts/0%20-%20Government/USA%20-%20NASA%20Johnson/2016 01 12 - NASA Johnson - Space Station Live  A New Measure of Bone Strength_vqBE0F77LPM - transcript (automated).pdf","Transcript Link")</f>
        <v>Transcript Link</v>
      </c>
    </row>
    <row r="1141" ht="240" spans="1:13">
      <c r="A1141" s="1" t="s">
        <v>5043</v>
      </c>
      <c r="B1141" s="1" t="s">
        <v>13</v>
      </c>
      <c r="C1141" s="4" t="s">
        <v>5048</v>
      </c>
      <c r="D1141" s="1" t="s">
        <v>5049</v>
      </c>
      <c r="E1141" s="1" t="s">
        <v>5050</v>
      </c>
      <c r="F1141" s="4" t="s">
        <v>17</v>
      </c>
      <c r="G1141" s="1" t="s">
        <v>18</v>
      </c>
      <c r="H1141" s="1" t="s">
        <v>19</v>
      </c>
      <c r="I1141" s="1" t="s">
        <v>20</v>
      </c>
      <c r="J1141" s="1" t="s">
        <v>5051</v>
      </c>
      <c r="K1141" s="1" t="s">
        <v>22</v>
      </c>
      <c r="L1141" s="1" t="str">
        <f>HYPERLINK("https://files.afu.se/Downloads/Transcripts/0%20-%20Government/USA%20-%20NASA%20Johnson/2016 01 12 - NASA Johnson - Join mISSion imaginaTIon_bCZyUb8228k - transcript (automated).pdf","Transcript Link")</f>
        <v>Transcript Link</v>
      </c>
      <c r="M1141" s="2" t="str">
        <f>HYPERLINK("https://files.afu.se/Downloads/Transcripts/0%20-%20Government/USA%20-%20NASA%20Johnson/2016 01 12 - NASA Johnson - Join mISSion imaginaTIon_bCZyUb8228k - transcript (automated).pdf","Transcript Link")</f>
        <v>Transcript Link</v>
      </c>
    </row>
    <row r="1142" ht="225" spans="1:13">
      <c r="A1142" s="1" t="s">
        <v>5043</v>
      </c>
      <c r="B1142" s="1" t="s">
        <v>13</v>
      </c>
      <c r="C1142" s="4" t="s">
        <v>5052</v>
      </c>
      <c r="D1142" s="1" t="s">
        <v>5053</v>
      </c>
      <c r="E1142" s="1" t="s">
        <v>5054</v>
      </c>
      <c r="F1142" s="4" t="s">
        <v>17</v>
      </c>
      <c r="G1142" s="1" t="s">
        <v>18</v>
      </c>
      <c r="H1142" s="1" t="s">
        <v>19</v>
      </c>
      <c r="I1142" s="1" t="s">
        <v>20</v>
      </c>
      <c r="J1142" s="1" t="s">
        <v>5055</v>
      </c>
      <c r="K1142" s="1" t="s">
        <v>22</v>
      </c>
      <c r="L1142" s="1" t="str">
        <f>HYPERLINK("https://files.afu.se/Downloads/Transcripts/0%20-%20Government/USA%20-%20NASA%20Johnson/2016 01 12 - NASA Johnson - mISSion imaginaTIon  Space Food_8zAY3_kzGhw - transcript (automated).pdf","Transcript Link")</f>
        <v>Transcript Link</v>
      </c>
      <c r="M1142" s="2" t="str">
        <f>HYPERLINK("https://files.afu.se/Downloads/Transcripts/0%20-%20Government/USA%20-%20NASA%20Johnson/2016 01 12 - NASA Johnson - mISSion imaginaTIon  Space Food_8zAY3_kzGhw - transcript (automated).pdf","Transcript Link")</f>
        <v>Transcript Link</v>
      </c>
    </row>
    <row r="1143" ht="180" spans="1:13">
      <c r="A1143" s="1" t="s">
        <v>5056</v>
      </c>
      <c r="B1143" s="1" t="s">
        <v>13</v>
      </c>
      <c r="C1143" s="4" t="s">
        <v>5057</v>
      </c>
      <c r="D1143" s="1" t="s">
        <v>5058</v>
      </c>
      <c r="E1143" s="1" t="s">
        <v>5059</v>
      </c>
      <c r="F1143" s="4" t="s">
        <v>17</v>
      </c>
      <c r="G1143" s="1" t="s">
        <v>18</v>
      </c>
      <c r="H1143" s="1" t="s">
        <v>19</v>
      </c>
      <c r="I1143" s="1" t="s">
        <v>20</v>
      </c>
      <c r="J1143" s="1" t="s">
        <v>5060</v>
      </c>
      <c r="K1143" s="1" t="s">
        <v>22</v>
      </c>
      <c r="L1143" s="1" t="str">
        <f>HYPERLINK("https://files.afu.se/Downloads/Transcripts/0%20-%20Government/USA%20-%20NASA%20Johnson/2016 01 08 - NASA Johnson - Space to Ground  Gearing Up For a Spacewalk   01 08 2016_1jwgYDbJ6S4 - transcript (automated).pdf","Transcript Link")</f>
        <v>Transcript Link</v>
      </c>
      <c r="M1143" s="2" t="str">
        <f>HYPERLINK("https://files.afu.se/Downloads/Transcripts/0%20-%20Government/USA%20-%20NASA%20Johnson/2016 01 08 - NASA Johnson - Space to Ground  Gearing Up For a Spacewalk   01 08 2016_1jwgYDbJ6S4 - transcript (automated).pdf","Transcript Link")</f>
        <v>Transcript Link</v>
      </c>
    </row>
    <row r="1144" ht="210" spans="1:13">
      <c r="A1144" s="1" t="s">
        <v>5061</v>
      </c>
      <c r="B1144" s="1" t="s">
        <v>13</v>
      </c>
      <c r="C1144" s="4" t="s">
        <v>5062</v>
      </c>
      <c r="D1144" s="1" t="s">
        <v>5063</v>
      </c>
      <c r="E1144" s="1" t="s">
        <v>5064</v>
      </c>
      <c r="F1144" s="4" t="s">
        <v>17</v>
      </c>
      <c r="G1144" s="1" t="s">
        <v>18</v>
      </c>
      <c r="H1144" s="1" t="s">
        <v>19</v>
      </c>
      <c r="I1144" s="1" t="s">
        <v>20</v>
      </c>
      <c r="J1144" s="1" t="s">
        <v>5065</v>
      </c>
      <c r="K1144" s="1" t="s">
        <v>22</v>
      </c>
      <c r="L1144" s="1" t="str">
        <f>HYPERLINK("https://files.afu.se/Downloads/Transcripts/0%20-%20Government/USA%20-%20NASA%20Johnson/2016 01 07 - NASA Johnson - Double the Data with Space Station Twins Study_epSYavFfLOE - transcript (automated).pdf","Transcript Link")</f>
        <v>Transcript Link</v>
      </c>
      <c r="M1144" s="2" t="str">
        <f>HYPERLINK("https://files.afu.se/Downloads/Transcripts/0%20-%20Government/USA%20-%20NASA%20Johnson/2016 01 07 - NASA Johnson - Double the Data with Space Station Twins Study_epSYavFfLOE - transcript (automated).pdf","Transcript Link")</f>
        <v>Transcript Link</v>
      </c>
    </row>
    <row r="1145" ht="255" spans="1:13">
      <c r="A1145" s="1" t="s">
        <v>5066</v>
      </c>
      <c r="B1145" s="1" t="s">
        <v>13</v>
      </c>
      <c r="C1145" s="4" t="s">
        <v>5067</v>
      </c>
      <c r="D1145" s="1" t="s">
        <v>5068</v>
      </c>
      <c r="E1145" s="1" t="s">
        <v>5069</v>
      </c>
      <c r="F1145" s="4" t="s">
        <v>17</v>
      </c>
      <c r="G1145" s="1" t="s">
        <v>18</v>
      </c>
      <c r="H1145" s="1" t="s">
        <v>19</v>
      </c>
      <c r="I1145" s="1" t="s">
        <v>20</v>
      </c>
      <c r="J1145" s="1" t="s">
        <v>5070</v>
      </c>
      <c r="K1145" s="1" t="s">
        <v>22</v>
      </c>
      <c r="L1145" s="1" t="str">
        <f>HYPERLINK("https://files.afu.se/Downloads/Transcripts/0%20-%20Government/USA%20-%20NASA%20Johnson/2016 01 06 - NASA Johnson - Space Station Live  Gauging the Shaking on Orbit_Jn8LfT9HVOQ - transcript (automated).pdf","Transcript Link")</f>
        <v>Transcript Link</v>
      </c>
      <c r="M1145" s="2" t="str">
        <f>HYPERLINK("https://files.afu.se/Downloads/Transcripts/0%20-%20Government/USA%20-%20NASA%20Johnson/2016 01 06 - NASA Johnson - Space Station Live  Gauging the Shaking on Orbit_Jn8LfT9HVOQ - transcript (automated).pdf","Transcript Link")</f>
        <v>Transcript Link</v>
      </c>
    </row>
    <row r="1146" ht="180" spans="1:13">
      <c r="A1146" s="1" t="s">
        <v>5071</v>
      </c>
      <c r="B1146" s="1" t="s">
        <v>13</v>
      </c>
      <c r="C1146" s="4" t="s">
        <v>5072</v>
      </c>
      <c r="D1146" s="1" t="s">
        <v>5073</v>
      </c>
      <c r="E1146" s="1" t="s">
        <v>5074</v>
      </c>
      <c r="F1146" s="4" t="s">
        <v>17</v>
      </c>
      <c r="G1146" s="1" t="s">
        <v>18</v>
      </c>
      <c r="H1146" s="1" t="s">
        <v>19</v>
      </c>
      <c r="I1146" s="1" t="s">
        <v>20</v>
      </c>
      <c r="J1146" s="1" t="s">
        <v>5075</v>
      </c>
      <c r="K1146" s="1" t="s">
        <v>22</v>
      </c>
      <c r="L1146" s="1" t="str">
        <f>HYPERLINK("https://files.afu.se/Downloads/Transcripts/0%20-%20Government/USA%20-%20NASA%20Johnson/2016 01 05 - NASA Johnson - Space Station Live  The Measure of the Marrow_6GnVLQqgR7o - transcript (automated).pdf","Transcript Link")</f>
        <v>Transcript Link</v>
      </c>
      <c r="M1146" s="2" t="str">
        <f>HYPERLINK("https://files.afu.se/Downloads/Transcripts/0%20-%20Government/USA%20-%20NASA%20Johnson/2016 01 05 - NASA Johnson - Space Station Live  The Measure of the Marrow_6GnVLQqgR7o - transcript (automated).pdf","Transcript Link")</f>
        <v>Transcript Link</v>
      </c>
    </row>
    <row r="1147" ht="409.5" spans="1:13">
      <c r="A1147" s="1" t="s">
        <v>5071</v>
      </c>
      <c r="B1147" s="1" t="s">
        <v>13</v>
      </c>
      <c r="C1147" s="4" t="s">
        <v>5076</v>
      </c>
      <c r="D1147" s="1" t="s">
        <v>5077</v>
      </c>
      <c r="E1147" s="1" t="s">
        <v>5078</v>
      </c>
      <c r="F1147" s="4" t="s">
        <v>17</v>
      </c>
      <c r="G1147" s="1" t="s">
        <v>18</v>
      </c>
      <c r="H1147" s="1" t="s">
        <v>19</v>
      </c>
      <c r="I1147" s="1" t="s">
        <v>20</v>
      </c>
      <c r="J1147" s="1" t="s">
        <v>5079</v>
      </c>
      <c r="K1147" s="1" t="s">
        <v>22</v>
      </c>
      <c r="L1147" s="1" t="str">
        <f>HYPERLINK("https://files.afu.se/Downloads/Transcripts/0%20-%20Government/USA%20-%20NASA%20Johnson/2016 01 05 - NASA Johnson - StationLIFE  Nutrition – January_KOTMa4ZBivw - transcript (automated).pdf","Transcript Link")</f>
        <v>Transcript Link</v>
      </c>
      <c r="M1147" s="2" t="str">
        <f>HYPERLINK("https://files.afu.se/Downloads/Transcripts/0%20-%20Government/USA%20-%20NASA%20Johnson/2016 01 05 - NASA Johnson - StationLIFE  Nutrition – January_KOTMa4ZBivw - transcript (automated).pdf","Transcript Link")</f>
        <v>Transcript Link</v>
      </c>
    </row>
    <row r="1148" ht="180" spans="1:13">
      <c r="A1148" s="1" t="s">
        <v>5080</v>
      </c>
      <c r="B1148" s="1" t="s">
        <v>13</v>
      </c>
      <c r="C1148" s="4" t="s">
        <v>5081</v>
      </c>
      <c r="D1148" s="1" t="s">
        <v>5082</v>
      </c>
      <c r="E1148" s="1" t="s">
        <v>5083</v>
      </c>
      <c r="F1148" s="4" t="s">
        <v>17</v>
      </c>
      <c r="G1148" s="1" t="s">
        <v>18</v>
      </c>
      <c r="H1148" s="1" t="s">
        <v>19</v>
      </c>
      <c r="I1148" s="1" t="s">
        <v>20</v>
      </c>
      <c r="J1148" s="1" t="s">
        <v>5084</v>
      </c>
      <c r="K1148" s="1" t="s">
        <v>22</v>
      </c>
      <c r="L1148" s="1" t="str">
        <f>HYPERLINK("https://files.afu.se/Downloads/Transcripts/0%20-%20Government/USA%20-%20NASA%20Johnson/2016 01 04 - NASA Johnson - Monthly ISS Research Video Update for January 2016_0q7S6stE0hU - transcript (automated).pdf","Transcript Link")</f>
        <v>Transcript Link</v>
      </c>
      <c r="M1148" s="2" t="str">
        <f>HYPERLINK("https://files.afu.se/Downloads/Transcripts/0%20-%20Government/USA%20-%20NASA%20Johnson/2016 01 04 - NASA Johnson - Monthly ISS Research Video Update for January 2016_0q7S6stE0hU - transcript (automated).pdf","Transcript Link")</f>
        <v>Transcript Link</v>
      </c>
    </row>
    <row r="1149" ht="180" spans="1:13">
      <c r="A1149" s="1" t="s">
        <v>5085</v>
      </c>
      <c r="B1149" s="1" t="s">
        <v>13</v>
      </c>
      <c r="C1149" s="4" t="s">
        <v>5086</v>
      </c>
      <c r="D1149" s="1" t="s">
        <v>5087</v>
      </c>
      <c r="E1149" s="1" t="s">
        <v>5088</v>
      </c>
      <c r="F1149" s="4" t="s">
        <v>17</v>
      </c>
      <c r="G1149" s="1" t="s">
        <v>18</v>
      </c>
      <c r="H1149" s="1" t="s">
        <v>19</v>
      </c>
      <c r="I1149" s="1" t="s">
        <v>20</v>
      </c>
      <c r="J1149" s="1" t="s">
        <v>5089</v>
      </c>
      <c r="K1149" s="1" t="s">
        <v>22</v>
      </c>
      <c r="L1149" s="1" t="str">
        <f>HYPERLINK("https://files.afu.se/Downloads/Transcripts/0%20-%20Government/USA%20-%20NASA%20Johnson/2016 01 01 - NASA Johnson - Orion Backstage  Floyd Daniels and Tammy Bourgeois_zXrQZbU9r40 - transcript (automated).pdf","Transcript Link")</f>
        <v>Transcript Link</v>
      </c>
      <c r="M1149" s="2" t="str">
        <f>HYPERLINK("https://files.afu.se/Downloads/Transcripts/0%20-%20Government/USA%20-%20NASA%20Johnson/2016 01 01 - NASA Johnson - Orion Backstage  Floyd Daniels and Tammy Bourgeois_zXrQZbU9r40 - transcript (automated).pdf","Transcript Link")</f>
        <v>Transcript Link</v>
      </c>
    </row>
    <row r="1150" ht="180" spans="1:13">
      <c r="A1150" s="1" t="s">
        <v>5090</v>
      </c>
      <c r="B1150" s="1" t="s">
        <v>13</v>
      </c>
      <c r="C1150" s="4" t="s">
        <v>5091</v>
      </c>
      <c r="D1150" s="1" t="s">
        <v>5092</v>
      </c>
      <c r="E1150" s="1" t="s">
        <v>5093</v>
      </c>
      <c r="F1150" s="4" t="s">
        <v>17</v>
      </c>
      <c r="G1150" s="1" t="s">
        <v>18</v>
      </c>
      <c r="H1150" s="1" t="s">
        <v>19</v>
      </c>
      <c r="I1150" s="1" t="s">
        <v>20</v>
      </c>
      <c r="J1150" s="1" t="s">
        <v>5094</v>
      </c>
      <c r="K1150" s="1" t="s">
        <v>22</v>
      </c>
      <c r="L1150" s="1" t="str">
        <f>HYPERLINK("https://files.afu.se/Downloads/Transcripts/0%20-%20Government/USA%20-%20NASA%20Johnson/2015 12 28 - NASA Johnson - Happy New Year from the International Space Station_9SY7ojOx6mo - transcript (automated).pdf","Transcript Link")</f>
        <v>Transcript Link</v>
      </c>
      <c r="M1150" s="2" t="str">
        <f>HYPERLINK("https://files.afu.se/Downloads/Transcripts/0%20-%20Government/USA%20-%20NASA%20Johnson/2015 12 28 - NASA Johnson - Happy New Year from the International Space Station_9SY7ojOx6mo - transcript (automated).pdf","Transcript Link")</f>
        <v>Transcript Link</v>
      </c>
    </row>
    <row r="1151" ht="180" spans="1:13">
      <c r="A1151" s="1" t="s">
        <v>5095</v>
      </c>
      <c r="B1151" s="1" t="s">
        <v>13</v>
      </c>
      <c r="C1151" s="4" t="s">
        <v>5096</v>
      </c>
      <c r="D1151" s="1" t="s">
        <v>5097</v>
      </c>
      <c r="E1151" s="1" t="s">
        <v>4931</v>
      </c>
      <c r="F1151" s="4" t="s">
        <v>17</v>
      </c>
      <c r="G1151" s="1" t="s">
        <v>18</v>
      </c>
      <c r="H1151" s="1" t="s">
        <v>19</v>
      </c>
      <c r="I1151" s="1" t="s">
        <v>20</v>
      </c>
      <c r="J1151" s="1" t="s">
        <v>5098</v>
      </c>
      <c r="K1151" s="1" t="s">
        <v>22</v>
      </c>
      <c r="L1151" s="1" t="str">
        <f>HYPERLINK("https://files.afu.se/Downloads/Transcripts/0%20-%20Government/USA%20-%20NASA%20Johnson/2015 12 25 - NASA Johnson - Space to Ground  A Look Back  12 25 2015_0JP59g79vA4 - transcript (automated).pdf","Transcript Link")</f>
        <v>Transcript Link</v>
      </c>
      <c r="M1151" s="2" t="str">
        <f>HYPERLINK("https://files.afu.se/Downloads/Transcripts/0%20-%20Government/USA%20-%20NASA%20Johnson/2015 12 25 - NASA Johnson - Space to Ground  A Look Back  12 25 2015_0JP59g79vA4 - transcript (automated).pdf","Transcript Link")</f>
        <v>Transcript Link</v>
      </c>
    </row>
    <row r="1152" ht="360" spans="1:13">
      <c r="A1152" s="1" t="s">
        <v>5095</v>
      </c>
      <c r="B1152" s="1" t="s">
        <v>13</v>
      </c>
      <c r="C1152" s="4" t="s">
        <v>5099</v>
      </c>
      <c r="D1152" s="1" t="s">
        <v>5100</v>
      </c>
      <c r="E1152" s="1" t="s">
        <v>5101</v>
      </c>
      <c r="F1152" s="4" t="s">
        <v>17</v>
      </c>
      <c r="G1152" s="1" t="s">
        <v>18</v>
      </c>
      <c r="H1152" s="1" t="s">
        <v>19</v>
      </c>
      <c r="I1152" s="1" t="s">
        <v>20</v>
      </c>
      <c r="J1152" s="1" t="s">
        <v>5102</v>
      </c>
      <c r="K1152" s="1" t="s">
        <v>22</v>
      </c>
      <c r="L1152" s="1" t="str">
        <f>HYPERLINK("https://files.afu.se/Downloads/Transcripts/0%20-%20Government/USA%20-%20NASA%20Johnson/2015 12 25 - NASA Johnson - Seven Billion Dreams_IyoPoETy5gY - transcript (automated).pdf","Transcript Link")</f>
        <v>Transcript Link</v>
      </c>
      <c r="M1152" s="2" t="str">
        <f>HYPERLINK("https://files.afu.se/Downloads/Transcripts/0%20-%20Government/USA%20-%20NASA%20Johnson/2015 12 25 - NASA Johnson - Seven Billion Dreams_IyoPoETy5gY - transcript (automated).pdf","Transcript Link")</f>
        <v>Transcript Link</v>
      </c>
    </row>
    <row r="1153" ht="180" spans="1:13">
      <c r="A1153" s="1" t="s">
        <v>5103</v>
      </c>
      <c r="B1153" s="1" t="s">
        <v>13</v>
      </c>
      <c r="C1153" s="4" t="s">
        <v>5104</v>
      </c>
      <c r="D1153" s="1" t="s">
        <v>5105</v>
      </c>
      <c r="E1153" s="1" t="s">
        <v>5106</v>
      </c>
      <c r="F1153" s="4" t="s">
        <v>17</v>
      </c>
      <c r="G1153" s="1" t="s">
        <v>18</v>
      </c>
      <c r="H1153" s="1" t="s">
        <v>19</v>
      </c>
      <c r="I1153" s="1" t="s">
        <v>20</v>
      </c>
      <c r="J1153" s="1" t="s">
        <v>5107</v>
      </c>
      <c r="K1153" s="1" t="s">
        <v>22</v>
      </c>
      <c r="L1153" s="1" t="str">
        <f>HYPERLINK("https://files.afu.se/Downloads/Transcripts/0%20-%20Government/USA%20-%20NASA%20Johnson/2015 12 23 - NASA Johnson - Space Station Live  A Surgical Assist from ISS Robotics Technology_oUa9DYveXpY - transcript (automated).pdf","Transcript Link")</f>
        <v>Transcript Link</v>
      </c>
      <c r="M1153" s="2" t="str">
        <f>HYPERLINK("https://files.afu.se/Downloads/Transcripts/0%20-%20Government/USA%20-%20NASA%20Johnson/2015 12 23 - NASA Johnson - Space Station Live  A Surgical Assist from ISS Robotics Technology_oUa9DYveXpY - transcript (automated).pdf","Transcript Link")</f>
        <v>Transcript Link</v>
      </c>
    </row>
    <row r="1154" ht="180" spans="1:13">
      <c r="A1154" s="1" t="s">
        <v>5108</v>
      </c>
      <c r="B1154" s="1" t="s">
        <v>13</v>
      </c>
      <c r="C1154" s="4" t="s">
        <v>5109</v>
      </c>
      <c r="D1154" s="1" t="s">
        <v>5110</v>
      </c>
      <c r="E1154" s="1" t="s">
        <v>5111</v>
      </c>
      <c r="F1154" s="4" t="s">
        <v>17</v>
      </c>
      <c r="G1154" s="1" t="s">
        <v>18</v>
      </c>
      <c r="H1154" s="1" t="s">
        <v>19</v>
      </c>
      <c r="I1154" s="1" t="s">
        <v>20</v>
      </c>
      <c r="J1154" s="1" t="s">
        <v>5112</v>
      </c>
      <c r="K1154" s="1" t="s">
        <v>22</v>
      </c>
      <c r="L1154" s="1" t="str">
        <f>HYPERLINK("https://files.afu.se/Downloads/Transcripts/0%20-%20Government/USA%20-%20NASA%20Johnson/2015 12 21 - NASA Johnson - Happy Holidays from the International Space Station Crew_d03-JnJ5QNE - transcript (automated).pdf","Transcript Link")</f>
        <v>Transcript Link</v>
      </c>
      <c r="M1154" s="2" t="str">
        <f>HYPERLINK("https://files.afu.se/Downloads/Transcripts/0%20-%20Government/USA%20-%20NASA%20Johnson/2015 12 21 - NASA Johnson - Happy Holidays from the International Space Station Crew_d03-JnJ5QNE - transcript (automated).pdf","Transcript Link")</f>
        <v>Transcript Link</v>
      </c>
    </row>
    <row r="1155" ht="180" spans="1:13">
      <c r="A1155" s="1" t="s">
        <v>5113</v>
      </c>
      <c r="B1155" s="1" t="s">
        <v>13</v>
      </c>
      <c r="C1155" s="4" t="s">
        <v>5114</v>
      </c>
      <c r="D1155" s="1" t="s">
        <v>5115</v>
      </c>
      <c r="E1155" s="1" t="s">
        <v>5116</v>
      </c>
      <c r="F1155" s="4" t="s">
        <v>17</v>
      </c>
      <c r="G1155" s="1" t="s">
        <v>18</v>
      </c>
      <c r="H1155" s="1" t="s">
        <v>19</v>
      </c>
      <c r="I1155" s="1" t="s">
        <v>20</v>
      </c>
      <c r="J1155" s="1" t="s">
        <v>5117</v>
      </c>
      <c r="K1155" s="1" t="s">
        <v>22</v>
      </c>
      <c r="L1155" s="1" t="str">
        <f>HYPERLINK("https://files.afu.se/Downloads/Transcripts/0%20-%20Government/USA%20-%20NASA%20Johnson/2015 12 18 - NASA Johnson - Orion Backstage  Tobias Fricke_wqjqP0-wX4A - transcript (automated).pdf","Transcript Link")</f>
        <v>Transcript Link</v>
      </c>
      <c r="M1155" s="2" t="str">
        <f>HYPERLINK("https://files.afu.se/Downloads/Transcripts/0%20-%20Government/USA%20-%20NASA%20Johnson/2015 12 18 - NASA Johnson - Orion Backstage  Tobias Fricke_wqjqP0-wX4A - transcript (automated).pdf","Transcript Link")</f>
        <v>Transcript Link</v>
      </c>
    </row>
    <row r="1156" ht="180" spans="1:13">
      <c r="A1156" s="1" t="s">
        <v>5113</v>
      </c>
      <c r="B1156" s="1" t="s">
        <v>13</v>
      </c>
      <c r="C1156" s="4" t="s">
        <v>5118</v>
      </c>
      <c r="D1156" s="1" t="s">
        <v>5119</v>
      </c>
      <c r="E1156" s="1" t="s">
        <v>5120</v>
      </c>
      <c r="F1156" s="4" t="s">
        <v>17</v>
      </c>
      <c r="G1156" s="1" t="s">
        <v>18</v>
      </c>
      <c r="H1156" s="1" t="s">
        <v>19</v>
      </c>
      <c r="I1156" s="1" t="s">
        <v>20</v>
      </c>
      <c r="J1156" s="1" t="s">
        <v>5121</v>
      </c>
      <c r="K1156" s="1" t="s">
        <v>22</v>
      </c>
      <c r="L1156" s="1" t="str">
        <f>HYPERLINK("https://files.afu.se/Downloads/Transcripts/0%20-%20Government/USA%20-%20NASA%20Johnson/2015 12 18 - NASA Johnson - Space Station Live  Kenneth Todd_uL2OSs7DXoU - transcript (automated).pdf","Transcript Link")</f>
        <v>Transcript Link</v>
      </c>
      <c r="M1156" s="2" t="str">
        <f>HYPERLINK("https://files.afu.se/Downloads/Transcripts/0%20-%20Government/USA%20-%20NASA%20Johnson/2015 12 18 - NASA Johnson - Space Station Live  Kenneth Todd_uL2OSs7DXoU - transcript (automated).pdf","Transcript Link")</f>
        <v>Transcript Link</v>
      </c>
    </row>
    <row r="1157" ht="180" spans="1:13">
      <c r="A1157" s="1" t="s">
        <v>5113</v>
      </c>
      <c r="B1157" s="1" t="s">
        <v>13</v>
      </c>
      <c r="C1157" s="4" t="s">
        <v>5122</v>
      </c>
      <c r="D1157" s="1" t="s">
        <v>5123</v>
      </c>
      <c r="E1157" s="1" t="s">
        <v>5124</v>
      </c>
      <c r="F1157" s="4" t="s">
        <v>17</v>
      </c>
      <c r="G1157" s="1" t="s">
        <v>18</v>
      </c>
      <c r="H1157" s="1" t="s">
        <v>19</v>
      </c>
      <c r="I1157" s="1" t="s">
        <v>20</v>
      </c>
      <c r="J1157" s="1" t="s">
        <v>5125</v>
      </c>
      <c r="K1157" s="1" t="s">
        <v>22</v>
      </c>
      <c r="L1157" s="1" t="str">
        <f>HYPERLINK("https://files.afu.se/Downloads/Transcripts/0%20-%20Government/USA%20-%20NASA%20Johnson/2015 12 18 - NASA Johnson - Orion 2015 Progress Toward Exploration Mission-1_SN_L2KwB6kE - transcript (automated).pdf","Transcript Link")</f>
        <v>Transcript Link</v>
      </c>
      <c r="M1157" s="2" t="str">
        <f>HYPERLINK("https://files.afu.se/Downloads/Transcripts/0%20-%20Government/USA%20-%20NASA%20Johnson/2015 12 18 - NASA Johnson - Orion 2015 Progress Toward Exploration Mission-1_SN_L2KwB6kE - transcript (automated).pdf","Transcript Link")</f>
        <v>Transcript Link</v>
      </c>
    </row>
    <row r="1158" ht="180" spans="1:13">
      <c r="A1158" s="1" t="s">
        <v>5113</v>
      </c>
      <c r="B1158" s="1" t="s">
        <v>13</v>
      </c>
      <c r="C1158" s="4" t="s">
        <v>5126</v>
      </c>
      <c r="D1158" s="1" t="s">
        <v>5127</v>
      </c>
      <c r="E1158" s="1" t="s">
        <v>4931</v>
      </c>
      <c r="F1158" s="4" t="s">
        <v>17</v>
      </c>
      <c r="G1158" s="1" t="s">
        <v>18</v>
      </c>
      <c r="H1158" s="1" t="s">
        <v>19</v>
      </c>
      <c r="I1158" s="1" t="s">
        <v>20</v>
      </c>
      <c r="J1158" s="1" t="s">
        <v>5128</v>
      </c>
      <c r="K1158" s="1" t="s">
        <v>22</v>
      </c>
      <c r="L1158" s="1" t="str">
        <f>HYPERLINK("https://files.afu.se/Downloads/Transcripts/0%20-%20Government/USA%20-%20NASA%20Johnson/2015 12 18 - NASA Johnson - Space to Ground  New Arrival  12 18 2015_GbH376EJ-uo - transcript (automated).pdf","Transcript Link")</f>
        <v>Transcript Link</v>
      </c>
      <c r="M1158" s="2" t="str">
        <f>HYPERLINK("https://files.afu.se/Downloads/Transcripts/0%20-%20Government/USA%20-%20NASA%20Johnson/2015 12 18 - NASA Johnson - Space to Ground  New Arrival  12 18 2015_GbH376EJ-uo - transcript (automated).pdf","Transcript Link")</f>
        <v>Transcript Link</v>
      </c>
    </row>
    <row r="1159" ht="375" spans="1:13">
      <c r="A1159" s="1" t="s">
        <v>5129</v>
      </c>
      <c r="B1159" s="1" t="s">
        <v>13</v>
      </c>
      <c r="C1159" s="4" t="s">
        <v>5130</v>
      </c>
      <c r="D1159" s="1" t="s">
        <v>5131</v>
      </c>
      <c r="E1159" s="1" t="s">
        <v>5132</v>
      </c>
      <c r="F1159" s="4" t="s">
        <v>17</v>
      </c>
      <c r="G1159" s="1" t="s">
        <v>18</v>
      </c>
      <c r="H1159" s="1" t="s">
        <v>19</v>
      </c>
      <c r="I1159" s="1" t="s">
        <v>20</v>
      </c>
      <c r="J1159" s="1" t="s">
        <v>5133</v>
      </c>
      <c r="K1159" s="1" t="s">
        <v>22</v>
      </c>
      <c r="L1159" s="1" t="str">
        <f>HYPERLINK("https://files.afu.se/Downloads/Transcripts/0%20-%20Government/USA%20-%20NASA%20Johnson/2015 12 17 - NASA Johnson - NASA’s Trio of WB-57s Fly in Formation Over Houston_TvmVTzN8exQ - transcript (automated).pdf","Transcript Link")</f>
        <v>Transcript Link</v>
      </c>
      <c r="M1159" s="2" t="str">
        <f>HYPERLINK("https://files.afu.se/Downloads/Transcripts/0%20-%20Government/USA%20-%20NASA%20Johnson/2015 12 17 - NASA Johnson - NASA’s Trio of WB-57s Fly in Formation Over Houston_TvmVTzN8exQ - transcript (automated).pdf","Transcript Link")</f>
        <v>Transcript Link</v>
      </c>
    </row>
    <row r="1160" ht="375" spans="1:13">
      <c r="A1160" s="1" t="s">
        <v>5129</v>
      </c>
      <c r="B1160" s="1" t="s">
        <v>13</v>
      </c>
      <c r="C1160" s="4" t="s">
        <v>5134</v>
      </c>
      <c r="D1160" s="1" t="s">
        <v>5135</v>
      </c>
      <c r="E1160" s="1" t="s">
        <v>5136</v>
      </c>
      <c r="F1160" s="4" t="s">
        <v>17</v>
      </c>
      <c r="G1160" s="1" t="s">
        <v>18</v>
      </c>
      <c r="H1160" s="1" t="s">
        <v>19</v>
      </c>
      <c r="I1160" s="1" t="s">
        <v>20</v>
      </c>
      <c r="J1160" s="1" t="s">
        <v>5137</v>
      </c>
      <c r="K1160" s="1" t="s">
        <v>22</v>
      </c>
      <c r="L1160" s="1" t="str">
        <f>HYPERLINK("https://files.afu.se/Downloads/Transcripts/0%20-%20Government/USA%20-%20NASA%20Johnson/2015 12 17 - NASA Johnson - NASA’s Trio of WB-57s Fly in Formation Over Houston (alternate take)_joXGqIoMlBY - transcript (automated).pdf","Transcript Link")</f>
        <v>Transcript Link</v>
      </c>
      <c r="M1160" s="2" t="str">
        <f>HYPERLINK("https://files.afu.se/Downloads/Transcripts/0%20-%20Government/USA%20-%20NASA%20Johnson/2015 12 17 - NASA Johnson - NASA’s Trio of WB-57s Fly in Formation Over Houston (alternate take)_joXGqIoMlBY - transcript (automated).pdf","Transcript Link")</f>
        <v>Transcript Link</v>
      </c>
    </row>
    <row r="1161" ht="180" spans="1:13">
      <c r="A1161" s="1" t="s">
        <v>5129</v>
      </c>
      <c r="B1161" s="1" t="s">
        <v>13</v>
      </c>
      <c r="C1161" s="4" t="s">
        <v>5138</v>
      </c>
      <c r="D1161" s="1" t="s">
        <v>5139</v>
      </c>
      <c r="E1161" s="1" t="s">
        <v>5140</v>
      </c>
      <c r="F1161" s="4" t="s">
        <v>17</v>
      </c>
      <c r="G1161" s="1" t="s">
        <v>18</v>
      </c>
      <c r="H1161" s="1" t="s">
        <v>19</v>
      </c>
      <c r="I1161" s="1" t="s">
        <v>20</v>
      </c>
      <c r="J1161" s="1" t="s">
        <v>5141</v>
      </c>
      <c r="K1161" s="1" t="s">
        <v>22</v>
      </c>
      <c r="L1161" s="1" t="str">
        <f>HYPERLINK("https://files.afu.se/Downloads/Transcripts/0%20-%20Government/USA%20-%20NASA%20Johnson/2015 12 17 - NASA Johnson - Space Station Live  Recycling Milestone on Orbit_U2f6aChCFyg - transcript (automated).pdf","Transcript Link")</f>
        <v>Transcript Link</v>
      </c>
      <c r="M1161" s="2" t="str">
        <f>HYPERLINK("https://files.afu.se/Downloads/Transcripts/0%20-%20Government/USA%20-%20NASA%20Johnson/2015 12 17 - NASA Johnson - Space Station Live  Recycling Milestone on Orbit_U2f6aChCFyg - transcript (automated).pdf","Transcript Link")</f>
        <v>Transcript Link</v>
      </c>
    </row>
    <row r="1162" ht="180" spans="1:13">
      <c r="A1162" s="1" t="s">
        <v>5142</v>
      </c>
      <c r="B1162" s="1" t="s">
        <v>13</v>
      </c>
      <c r="C1162" s="4" t="s">
        <v>5143</v>
      </c>
      <c r="D1162" s="1" t="s">
        <v>5144</v>
      </c>
      <c r="E1162" s="1" t="s">
        <v>5145</v>
      </c>
      <c r="F1162" s="4" t="s">
        <v>17</v>
      </c>
      <c r="G1162" s="1" t="s">
        <v>18</v>
      </c>
      <c r="H1162" s="1" t="s">
        <v>19</v>
      </c>
      <c r="I1162" s="1" t="s">
        <v>20</v>
      </c>
      <c r="J1162" s="1" t="s">
        <v>5146</v>
      </c>
      <c r="K1162" s="1" t="s">
        <v>22</v>
      </c>
      <c r="L1162" s="1" t="str">
        <f>HYPERLINK("https://files.afu.se/Downloads/Transcripts/0%20-%20Government/USA%20-%20NASA%20Johnson/2015 12 16 - NASA Johnson - Space Station Live  Student Experiments Fly to Station_fPjr4NPtlLE - transcript (automated).pdf","Transcript Link")</f>
        <v>Transcript Link</v>
      </c>
      <c r="M1162" s="2" t="str">
        <f>HYPERLINK("https://files.afu.se/Downloads/Transcripts/0%20-%20Government/USA%20-%20NASA%20Johnson/2015 12 16 - NASA Johnson - Space Station Live  Student Experiments Fly to Station_fPjr4NPtlLE - transcript (automated).pdf","Transcript Link")</f>
        <v>Transcript Link</v>
      </c>
    </row>
    <row r="1163" ht="210" spans="1:13">
      <c r="A1163" s="1" t="s">
        <v>5142</v>
      </c>
      <c r="B1163" s="1" t="s">
        <v>13</v>
      </c>
      <c r="C1163" s="4" t="s">
        <v>5147</v>
      </c>
      <c r="D1163" s="1" t="s">
        <v>5148</v>
      </c>
      <c r="E1163" s="1" t="s">
        <v>5149</v>
      </c>
      <c r="F1163" s="4" t="s">
        <v>17</v>
      </c>
      <c r="G1163" s="1" t="s">
        <v>18</v>
      </c>
      <c r="H1163" s="1" t="s">
        <v>19</v>
      </c>
      <c r="I1163" s="1" t="s">
        <v>20</v>
      </c>
      <c r="J1163" s="1" t="s">
        <v>5150</v>
      </c>
      <c r="K1163" s="1" t="s">
        <v>22</v>
      </c>
      <c r="L1163" s="1" t="str">
        <f>HYPERLINK("https://files.afu.se/Downloads/Transcripts/0%20-%20Government/USA%20-%20NASA%20Johnson/2015 12 16 - NASA Johnson - NASA Arc Jet Facility History_BAcoHQaLWTw - transcript (automated).pdf","Transcript Link")</f>
        <v>Transcript Link</v>
      </c>
      <c r="M1163" s="2" t="str">
        <f>HYPERLINK("https://files.afu.se/Downloads/Transcripts/0%20-%20Government/USA%20-%20NASA%20Johnson/2015 12 16 - NASA Johnson - NASA Arc Jet Facility History_BAcoHQaLWTw - transcript (automated).pdf","Transcript Link")</f>
        <v>Transcript Link</v>
      </c>
    </row>
    <row r="1164" ht="345" spans="1:13">
      <c r="A1164" s="1" t="s">
        <v>5151</v>
      </c>
      <c r="B1164" s="1" t="s">
        <v>13</v>
      </c>
      <c r="C1164" s="4" t="s">
        <v>5152</v>
      </c>
      <c r="D1164" s="1" t="s">
        <v>5153</v>
      </c>
      <c r="E1164" s="1" t="s">
        <v>5154</v>
      </c>
      <c r="F1164" s="4" t="s">
        <v>17</v>
      </c>
      <c r="G1164" s="1" t="s">
        <v>18</v>
      </c>
      <c r="H1164" s="1" t="s">
        <v>19</v>
      </c>
      <c r="I1164" s="1" t="s">
        <v>20</v>
      </c>
      <c r="J1164" s="1" t="s">
        <v>5155</v>
      </c>
      <c r="K1164" s="1" t="s">
        <v>22</v>
      </c>
      <c r="L1164" s="1" t="str">
        <f>HYPERLINK("https://files.afu.se/Downloads/Transcripts/0%20-%20Government/USA%20-%20NASA%20Johnson/2015 12 15 - NASA Johnson - Soyuz Docked to Space Station_scGc1NS_IV8 - transcript (automated).pdf","Transcript Link")</f>
        <v>Transcript Link</v>
      </c>
      <c r="M1164" s="2" t="str">
        <f>HYPERLINK("https://files.afu.se/Downloads/Transcripts/0%20-%20Government/USA%20-%20NASA%20Johnson/2015 12 15 - NASA Johnson - Soyuz Docked to Space Station_scGc1NS_IV8 - transcript (automated).pdf","Transcript Link")</f>
        <v>Transcript Link</v>
      </c>
    </row>
    <row r="1165" ht="240" spans="1:13">
      <c r="A1165" s="1" t="s">
        <v>5156</v>
      </c>
      <c r="B1165" s="1" t="s">
        <v>13</v>
      </c>
      <c r="C1165" s="4" t="s">
        <v>5157</v>
      </c>
      <c r="D1165" s="1" t="s">
        <v>5158</v>
      </c>
      <c r="E1165" s="1" t="s">
        <v>5159</v>
      </c>
      <c r="F1165" s="4" t="s">
        <v>17</v>
      </c>
      <c r="G1165" s="1" t="s">
        <v>18</v>
      </c>
      <c r="H1165" s="1" t="s">
        <v>19</v>
      </c>
      <c r="I1165" s="1" t="s">
        <v>20</v>
      </c>
      <c r="J1165" s="1" t="s">
        <v>5160</v>
      </c>
      <c r="K1165" s="1" t="s">
        <v>22</v>
      </c>
      <c r="L1165" s="1" t="str">
        <f>HYPERLINK("https://files.afu.se/Downloads/Transcripts/0%20-%20Government/USA%20-%20NASA%20Johnson/2015 12 14 - NASA Johnson - Space Station Live  Kopra Ready to Fly!_ocPYDuTvivY - transcript (automated).pdf","Transcript Link")</f>
        <v>Transcript Link</v>
      </c>
      <c r="M1165" s="2" t="str">
        <f>HYPERLINK("https://files.afu.se/Downloads/Transcripts/0%20-%20Government/USA%20-%20NASA%20Johnson/2015 12 14 - NASA Johnson - Space Station Live  Kopra Ready to Fly!_ocPYDuTvivY - transcript (automated).pdf","Transcript Link")</f>
        <v>Transcript Link</v>
      </c>
    </row>
    <row r="1166" ht="180" spans="1:13">
      <c r="A1166" s="1" t="s">
        <v>5156</v>
      </c>
      <c r="B1166" s="1" t="s">
        <v>13</v>
      </c>
      <c r="C1166" s="4" t="s">
        <v>5161</v>
      </c>
      <c r="D1166" s="1" t="s">
        <v>5162</v>
      </c>
      <c r="E1166" s="1" t="s">
        <v>5163</v>
      </c>
      <c r="F1166" s="4" t="s">
        <v>17</v>
      </c>
      <c r="G1166" s="1" t="s">
        <v>18</v>
      </c>
      <c r="H1166" s="1" t="s">
        <v>19</v>
      </c>
      <c r="I1166" s="1" t="s">
        <v>20</v>
      </c>
      <c r="J1166" s="1" t="s">
        <v>5164</v>
      </c>
      <c r="K1166" s="1" t="s">
        <v>22</v>
      </c>
      <c r="L1166" s="1" t="str">
        <f>HYPERLINK("https://files.afu.se/Downloads/Transcripts/0%20-%20Government/USA%20-%20NASA%20Johnson/2015 12 14 - NASA Johnson - NASA Spacesuit Development_P32j17Fl5L0 - transcript (automated).pdf","Transcript Link")</f>
        <v>Transcript Link</v>
      </c>
      <c r="M1166" s="2" t="str">
        <f>HYPERLINK("https://files.afu.se/Downloads/Transcripts/0%20-%20Government/USA%20-%20NASA%20Johnson/2015 12 14 - NASA Johnson - NASA Spacesuit Development_P32j17Fl5L0 - transcript (automated).pdf","Transcript Link")</f>
        <v>Transcript Link</v>
      </c>
    </row>
    <row r="1167" ht="240" spans="1:13">
      <c r="A1167" s="1" t="s">
        <v>5165</v>
      </c>
      <c r="B1167" s="1" t="s">
        <v>13</v>
      </c>
      <c r="C1167" s="4" t="s">
        <v>5166</v>
      </c>
      <c r="D1167" s="1" t="s">
        <v>5167</v>
      </c>
      <c r="E1167" s="1" t="s">
        <v>5168</v>
      </c>
      <c r="F1167" s="4" t="s">
        <v>17</v>
      </c>
      <c r="G1167" s="1" t="s">
        <v>18</v>
      </c>
      <c r="H1167" s="1" t="s">
        <v>19</v>
      </c>
      <c r="I1167" s="1" t="s">
        <v>20</v>
      </c>
      <c r="J1167" s="1" t="s">
        <v>5169</v>
      </c>
      <c r="K1167" s="1" t="s">
        <v>22</v>
      </c>
      <c r="L1167" s="1" t="str">
        <f>HYPERLINK("https://files.afu.se/Downloads/Transcripts/0%20-%20Government/USA%20-%20NASA%20Johnson/2015 12 12 - NASA Johnson - Expedition 45 Crew Traveling Home_fgBi2BjiKXI - transcript (automated).pdf","Transcript Link")</f>
        <v>Transcript Link</v>
      </c>
      <c r="M1167" s="2" t="str">
        <f>HYPERLINK("https://files.afu.se/Downloads/Transcripts/0%20-%20Government/USA%20-%20NASA%20Johnson/2015 12 12 - NASA Johnson - Expedition 45 Crew Traveling Home_fgBi2BjiKXI - transcript (automated).pdf","Transcript Link")</f>
        <v>Transcript Link</v>
      </c>
    </row>
    <row r="1168" ht="180" spans="1:13">
      <c r="A1168" s="1" t="s">
        <v>5170</v>
      </c>
      <c r="B1168" s="1" t="s">
        <v>13</v>
      </c>
      <c r="C1168" s="4" t="s">
        <v>5171</v>
      </c>
      <c r="D1168" s="1" t="s">
        <v>5172</v>
      </c>
      <c r="E1168" s="1" t="s">
        <v>5173</v>
      </c>
      <c r="F1168" s="4" t="s">
        <v>17</v>
      </c>
      <c r="G1168" s="1" t="s">
        <v>18</v>
      </c>
      <c r="H1168" s="1" t="s">
        <v>19</v>
      </c>
      <c r="I1168" s="1" t="s">
        <v>20</v>
      </c>
      <c r="J1168" s="1" t="s">
        <v>5174</v>
      </c>
      <c r="K1168" s="1" t="s">
        <v>22</v>
      </c>
      <c r="L1168" s="1" t="str">
        <f>HYPERLINK("https://files.afu.se/Downloads/Transcripts/0%20-%20Government/USA%20-%20NASA%20Johnson/2015 12 11 - NASA Johnson - Astronauts give underwater shout-out for Army-Navy game_sldv0JYFVgU - transcript (automated).pdf","Transcript Link")</f>
        <v>Transcript Link</v>
      </c>
      <c r="M1168" s="2" t="str">
        <f>HYPERLINK("https://files.afu.se/Downloads/Transcripts/0%20-%20Government/USA%20-%20NASA%20Johnson/2015 12 11 - NASA Johnson - Astronauts give underwater shout-out for Army-Navy game_sldv0JYFVgU - transcript (automated).pdf","Transcript Link")</f>
        <v>Transcript Link</v>
      </c>
    </row>
    <row r="1169" ht="180" spans="1:13">
      <c r="A1169" s="1" t="s">
        <v>5170</v>
      </c>
      <c r="B1169" s="1" t="s">
        <v>13</v>
      </c>
      <c r="C1169" s="4" t="s">
        <v>5175</v>
      </c>
      <c r="D1169" s="1" t="s">
        <v>5176</v>
      </c>
      <c r="E1169" s="1" t="s">
        <v>5177</v>
      </c>
      <c r="F1169" s="4" t="s">
        <v>17</v>
      </c>
      <c r="G1169" s="1" t="s">
        <v>18</v>
      </c>
      <c r="H1169" s="1" t="s">
        <v>19</v>
      </c>
      <c r="I1169" s="1" t="s">
        <v>20</v>
      </c>
      <c r="J1169" s="1" t="s">
        <v>5178</v>
      </c>
      <c r="K1169" s="1" t="s">
        <v>22</v>
      </c>
      <c r="L1169" s="1" t="str">
        <f>HYPERLINK("https://files.afu.se/Downloads/Transcripts/0%20-%20Government/USA%20-%20NASA%20Johnson/2015 12 11 - NASA Johnson - Astronauts cheer for Army-Navy game_PqU3LjQr5hM - transcript (automated).pdf","Transcript Link")</f>
        <v>Transcript Link</v>
      </c>
      <c r="M1169" s="2" t="str">
        <f>HYPERLINK("https://files.afu.se/Downloads/Transcripts/0%20-%20Government/USA%20-%20NASA%20Johnson/2015 12 11 - NASA Johnson - Astronauts cheer for Army-Navy game_PqU3LjQr5hM - transcript (automated).pdf","Transcript Link")</f>
        <v>Transcript Link</v>
      </c>
    </row>
    <row r="1170" ht="180" spans="1:13">
      <c r="A1170" s="1" t="s">
        <v>5170</v>
      </c>
      <c r="B1170" s="1" t="s">
        <v>13</v>
      </c>
      <c r="C1170" s="4" t="s">
        <v>5179</v>
      </c>
      <c r="D1170" s="1" t="s">
        <v>5180</v>
      </c>
      <c r="E1170" s="1" t="s">
        <v>5059</v>
      </c>
      <c r="F1170" s="4" t="s">
        <v>17</v>
      </c>
      <c r="G1170" s="1" t="s">
        <v>18</v>
      </c>
      <c r="H1170" s="1" t="s">
        <v>19</v>
      </c>
      <c r="I1170" s="1" t="s">
        <v>20</v>
      </c>
      <c r="J1170" s="1" t="s">
        <v>5181</v>
      </c>
      <c r="K1170" s="1" t="s">
        <v>22</v>
      </c>
      <c r="L1170" s="1" t="str">
        <f>HYPERLINK("https://files.afu.se/Downloads/Transcripts/0%20-%20Government/USA%20-%20NASA%20Johnson/2015 12 11 - NASA Johnson - Space to Ground  Home For The Holidays   12 11 2015_iOimGkaJGl4 - transcript (automated).pdf","Transcript Link")</f>
        <v>Transcript Link</v>
      </c>
      <c r="M1170" s="2" t="str">
        <f>HYPERLINK("https://files.afu.se/Downloads/Transcripts/0%20-%20Government/USA%20-%20NASA%20Johnson/2015 12 11 - NASA Johnson - Space to Ground  Home For The Holidays   12 11 2015_iOimGkaJGl4 - transcript (automated).pdf","Transcript Link")</f>
        <v>Transcript Link</v>
      </c>
    </row>
    <row r="1171" ht="210" spans="1:13">
      <c r="A1171" s="1" t="s">
        <v>5182</v>
      </c>
      <c r="B1171" s="1" t="s">
        <v>13</v>
      </c>
      <c r="C1171" s="4" t="s">
        <v>5183</v>
      </c>
      <c r="D1171" s="1" t="s">
        <v>5184</v>
      </c>
      <c r="E1171" s="1" t="s">
        <v>5185</v>
      </c>
      <c r="F1171" s="4" t="s">
        <v>17</v>
      </c>
      <c r="G1171" s="1" t="s">
        <v>18</v>
      </c>
      <c r="H1171" s="1" t="s">
        <v>19</v>
      </c>
      <c r="I1171" s="1" t="s">
        <v>20</v>
      </c>
      <c r="J1171" s="1" t="s">
        <v>5186</v>
      </c>
      <c r="K1171" s="1" t="s">
        <v>22</v>
      </c>
      <c r="L1171" s="1" t="str">
        <f>HYPERLINK("https://files.afu.se/Downloads/Transcripts/0%20-%20Government/USA%20-%20NASA%20Johnson/2015 12 10 - NASA Johnson - Expedition 46-47 Crew Prepares for Launch_fjqWBsaQj2k - transcript (automated).pdf","Transcript Link")</f>
        <v>Transcript Link</v>
      </c>
      <c r="M1171" s="2" t="str">
        <f>HYPERLINK("https://files.afu.se/Downloads/Transcripts/0%20-%20Government/USA%20-%20NASA%20Johnson/2015 12 10 - NASA Johnson - Expedition 46-47 Crew Prepares for Launch_fjqWBsaQj2k - transcript (automated).pdf","Transcript Link")</f>
        <v>Transcript Link</v>
      </c>
    </row>
    <row r="1172" ht="180" spans="1:13">
      <c r="A1172" s="1" t="s">
        <v>5182</v>
      </c>
      <c r="B1172" s="1" t="s">
        <v>13</v>
      </c>
      <c r="C1172" s="4" t="s">
        <v>5187</v>
      </c>
      <c r="D1172" s="1" t="s">
        <v>5188</v>
      </c>
      <c r="E1172" s="1" t="s">
        <v>5189</v>
      </c>
      <c r="F1172" s="4" t="s">
        <v>17</v>
      </c>
      <c r="G1172" s="1" t="s">
        <v>18</v>
      </c>
      <c r="H1172" s="1" t="s">
        <v>19</v>
      </c>
      <c r="I1172" s="1" t="s">
        <v>20</v>
      </c>
      <c r="J1172" s="1" t="s">
        <v>5190</v>
      </c>
      <c r="K1172" s="1" t="s">
        <v>22</v>
      </c>
      <c r="L1172" s="1" t="str">
        <f>HYPERLINK("https://files.afu.se/Downloads/Transcripts/0%20-%20Government/USA%20-%20NASA%20Johnson/2015 12 10 - NASA Johnson - Space Station Live  Remote Control From On Orbit_E5xbrT80yqA - transcript (automated).pdf","Transcript Link")</f>
        <v>Transcript Link</v>
      </c>
      <c r="M1172" s="2" t="str">
        <f>HYPERLINK("https://files.afu.se/Downloads/Transcripts/0%20-%20Government/USA%20-%20NASA%20Johnson/2015 12 10 - NASA Johnson - Space Station Live  Remote Control From On Orbit_E5xbrT80yqA - transcript (automated).pdf","Transcript Link")</f>
        <v>Transcript Link</v>
      </c>
    </row>
    <row r="1173" ht="225" spans="1:13">
      <c r="A1173" s="1" t="s">
        <v>5191</v>
      </c>
      <c r="B1173" s="1" t="s">
        <v>13</v>
      </c>
      <c r="C1173" s="4" t="s">
        <v>5192</v>
      </c>
      <c r="D1173" s="1" t="s">
        <v>5193</v>
      </c>
      <c r="E1173" s="1" t="s">
        <v>5194</v>
      </c>
      <c r="F1173" s="4" t="s">
        <v>17</v>
      </c>
      <c r="G1173" s="1" t="s">
        <v>18</v>
      </c>
      <c r="H1173" s="1" t="s">
        <v>19</v>
      </c>
      <c r="I1173" s="1" t="s">
        <v>20</v>
      </c>
      <c r="J1173" s="1" t="s">
        <v>5195</v>
      </c>
      <c r="K1173" s="1" t="s">
        <v>22</v>
      </c>
      <c r="L1173" s="1" t="str">
        <f>HYPERLINK("https://files.afu.se/Downloads/Transcripts/0%20-%20Government/USA%20-%20NASA%20Johnson/2015 12 09 - NASA Johnson - Preparing America for Deep Space Exploration Episode 11  Committed to Exploration_h5WOWMlt9Ug - transcript (automated).pdf","Transcript Link")</f>
        <v>Transcript Link</v>
      </c>
      <c r="M1173" s="2" t="str">
        <f>HYPERLINK("https://files.afu.se/Downloads/Transcripts/0%20-%20Government/USA%20-%20NASA%20Johnson/2015 12 09 - NASA Johnson - Preparing America for Deep Space Exploration Episode 11  Committed to Exploration_h5WOWMlt9Ug - transcript (automated).pdf","Transcript Link")</f>
        <v>Transcript Link</v>
      </c>
    </row>
    <row r="1174" ht="180" spans="1:13">
      <c r="A1174" s="1" t="s">
        <v>5191</v>
      </c>
      <c r="B1174" s="1" t="s">
        <v>13</v>
      </c>
      <c r="C1174" s="4" t="s">
        <v>5196</v>
      </c>
      <c r="D1174" s="1" t="s">
        <v>5197</v>
      </c>
      <c r="E1174" s="1" t="s">
        <v>5198</v>
      </c>
      <c r="F1174" s="4" t="s">
        <v>17</v>
      </c>
      <c r="G1174" s="1" t="s">
        <v>18</v>
      </c>
      <c r="H1174" s="1" t="s">
        <v>19</v>
      </c>
      <c r="I1174" s="1" t="s">
        <v>20</v>
      </c>
      <c r="J1174" s="1" t="s">
        <v>5199</v>
      </c>
      <c r="K1174" s="1" t="s">
        <v>22</v>
      </c>
      <c r="L1174" s="1" t="str">
        <f>HYPERLINK("https://files.afu.se/Downloads/Transcripts/0%20-%20Government/USA%20-%20NASA%20Johnson/2015 12 09 - NASA Johnson - A Visual Journey  NASA’s Exploration Mission-1_Mo8IkHM8fGE - transcript (automated).pdf","Transcript Link")</f>
        <v>Transcript Link</v>
      </c>
      <c r="M1174" s="2" t="str">
        <f>HYPERLINK("https://files.afu.se/Downloads/Transcripts/0%20-%20Government/USA%20-%20NASA%20Johnson/2015 12 09 - NASA Johnson - A Visual Journey  NASA’s Exploration Mission-1_Mo8IkHM8fGE - transcript (automated).pdf","Transcript Link")</f>
        <v>Transcript Link</v>
      </c>
    </row>
    <row r="1175" ht="195" spans="1:13">
      <c r="A1175" s="1" t="s">
        <v>5191</v>
      </c>
      <c r="B1175" s="1" t="s">
        <v>13</v>
      </c>
      <c r="C1175" s="4" t="s">
        <v>5200</v>
      </c>
      <c r="D1175" s="1" t="s">
        <v>5201</v>
      </c>
      <c r="E1175" s="1" t="s">
        <v>5202</v>
      </c>
      <c r="F1175" s="4" t="s">
        <v>17</v>
      </c>
      <c r="G1175" s="1" t="s">
        <v>18</v>
      </c>
      <c r="H1175" s="1" t="s">
        <v>19</v>
      </c>
      <c r="I1175" s="1" t="s">
        <v>20</v>
      </c>
      <c r="J1175" s="1" t="s">
        <v>5203</v>
      </c>
      <c r="K1175" s="1" t="s">
        <v>22</v>
      </c>
      <c r="L1175" s="1" t="str">
        <f>HYPERLINK("https://files.afu.se/Downloads/Transcripts/0%20-%20Government/USA%20-%20NASA%20Johnson/2015 12 09 - NASA Johnson - Space Station Live  NASA-TV Going UHD_merzd5ib4l8 - transcript (automated).pdf","Transcript Link")</f>
        <v>Transcript Link</v>
      </c>
      <c r="M1175" s="2" t="str">
        <f>HYPERLINK("https://files.afu.se/Downloads/Transcripts/0%20-%20Government/USA%20-%20NASA%20Johnson/2015 12 09 - NASA Johnson - Space Station Live  NASA-TV Going UHD_merzd5ib4l8 - transcript (automated).pdf","Transcript Link")</f>
        <v>Transcript Link</v>
      </c>
    </row>
    <row r="1176" ht="180" spans="1:13">
      <c r="A1176" s="1" t="s">
        <v>5191</v>
      </c>
      <c r="B1176" s="1" t="s">
        <v>13</v>
      </c>
      <c r="C1176" s="4" t="s">
        <v>5204</v>
      </c>
      <c r="D1176" s="1" t="s">
        <v>5205</v>
      </c>
      <c r="E1176" s="1" t="s">
        <v>5206</v>
      </c>
      <c r="F1176" s="4" t="s">
        <v>17</v>
      </c>
      <c r="G1176" s="1" t="s">
        <v>18</v>
      </c>
      <c r="H1176" s="1" t="s">
        <v>19</v>
      </c>
      <c r="I1176" s="1" t="s">
        <v>20</v>
      </c>
      <c r="J1176" s="1" t="s">
        <v>5207</v>
      </c>
      <c r="K1176" s="1" t="s">
        <v>22</v>
      </c>
      <c r="L1176" s="1" t="str">
        <f>HYPERLINK("https://files.afu.se/Downloads/Transcripts/0%20-%20Government/USA%20-%20NASA%20Johnson/2015 12 09 - NASA Johnson - Johnson Space Center 2015 Highlights_metJZuLJiy4 - transcript (automated).pdf","Transcript Link")</f>
        <v>Transcript Link</v>
      </c>
      <c r="M1176" s="2" t="str">
        <f>HYPERLINK("https://files.afu.se/Downloads/Transcripts/0%20-%20Government/USA%20-%20NASA%20Johnson/2015 12 09 - NASA Johnson - Johnson Space Center 2015 Highlights_metJZuLJiy4 - transcript (automated).pdf","Transcript Link")</f>
        <v>Transcript Link</v>
      </c>
    </row>
    <row r="1177" ht="270" spans="1:13">
      <c r="A1177" s="1" t="s">
        <v>5208</v>
      </c>
      <c r="B1177" s="1" t="s">
        <v>13</v>
      </c>
      <c r="C1177" s="4" t="s">
        <v>5209</v>
      </c>
      <c r="D1177" s="1" t="s">
        <v>5210</v>
      </c>
      <c r="E1177" s="1" t="s">
        <v>5211</v>
      </c>
      <c r="F1177" s="4" t="s">
        <v>17</v>
      </c>
      <c r="G1177" s="1" t="s">
        <v>18</v>
      </c>
      <c r="H1177" s="1" t="s">
        <v>19</v>
      </c>
      <c r="I1177" s="1" t="s">
        <v>20</v>
      </c>
      <c r="J1177" s="1" t="s">
        <v>5212</v>
      </c>
      <c r="K1177" s="1" t="s">
        <v>22</v>
      </c>
      <c r="L1177" s="1" t="str">
        <f>HYPERLINK("https://files.afu.se/Downloads/Transcripts/0%20-%20Government/USA%20-%20NASA%20Johnson/2015 12 08 - NASA Johnson - Space Station Live  Synthetic Muscle_5e82F6auX4M - transcript (automated).pdf","Transcript Link")</f>
        <v>Transcript Link</v>
      </c>
      <c r="M1177" s="2" t="str">
        <f>HYPERLINK("https://files.afu.se/Downloads/Transcripts/0%20-%20Government/USA%20-%20NASA%20Johnson/2015 12 08 - NASA Johnson - Space Station Live  Synthetic Muscle_5e82F6auX4M - transcript (automated).pdf","Transcript Link")</f>
        <v>Transcript Link</v>
      </c>
    </row>
    <row r="1178" ht="270" spans="1:13">
      <c r="A1178" s="1" t="s">
        <v>5208</v>
      </c>
      <c r="B1178" s="1" t="s">
        <v>13</v>
      </c>
      <c r="C1178" s="4" t="s">
        <v>5213</v>
      </c>
      <c r="D1178" s="1" t="s">
        <v>5214</v>
      </c>
      <c r="E1178" s="1" t="s">
        <v>5215</v>
      </c>
      <c r="F1178" s="4" t="s">
        <v>17</v>
      </c>
      <c r="G1178" s="1" t="s">
        <v>18</v>
      </c>
      <c r="H1178" s="1" t="s">
        <v>19</v>
      </c>
      <c r="I1178" s="1" t="s">
        <v>20</v>
      </c>
      <c r="J1178" s="1" t="s">
        <v>5216</v>
      </c>
      <c r="K1178" s="1" t="s">
        <v>22</v>
      </c>
      <c r="L1178" s="1" t="str">
        <f>HYPERLINK("https://files.afu.se/Downloads/Transcripts/0%20-%20Government/USA%20-%20NASA%20Johnson/2015 12 08 - NASA Johnson - Space Station Stories  A World of Possibilities_gK03z06_Tkg - transcript (automated).pdf","Transcript Link")</f>
        <v>Transcript Link</v>
      </c>
      <c r="M1178" s="2" t="str">
        <f>HYPERLINK("https://files.afu.se/Downloads/Transcripts/0%20-%20Government/USA%20-%20NASA%20Johnson/2015 12 08 - NASA Johnson - Space Station Stories  A World of Possibilities_gK03z06_Tkg - transcript (automated).pdf","Transcript Link")</f>
        <v>Transcript Link</v>
      </c>
    </row>
    <row r="1179" ht="195" spans="1:13">
      <c r="A1179" s="1" t="s">
        <v>5217</v>
      </c>
      <c r="B1179" s="1" t="s">
        <v>13</v>
      </c>
      <c r="C1179" s="4" t="s">
        <v>5218</v>
      </c>
      <c r="D1179" s="1" t="s">
        <v>5219</v>
      </c>
      <c r="E1179" s="1" t="s">
        <v>5220</v>
      </c>
      <c r="F1179" s="4" t="s">
        <v>17</v>
      </c>
      <c r="G1179" s="1" t="s">
        <v>18</v>
      </c>
      <c r="H1179" s="1" t="s">
        <v>19</v>
      </c>
      <c r="I1179" s="1" t="s">
        <v>20</v>
      </c>
      <c r="J1179" s="1" t="s">
        <v>5221</v>
      </c>
      <c r="K1179" s="1" t="s">
        <v>22</v>
      </c>
      <c r="L1179" s="1" t="str">
        <f>HYPERLINK("https://files.afu.se/Downloads/Transcripts/0%20-%20Government/USA%20-%20NASA%20Johnson/2015 12 07 - NASA Johnson - Combined Federal Campaign 2015_R62xbngPcOE - transcript (automated).pdf","Transcript Link")</f>
        <v>Transcript Link</v>
      </c>
      <c r="M1179" s="2" t="str">
        <f>HYPERLINK("https://files.afu.se/Downloads/Transcripts/0%20-%20Government/USA%20-%20NASA%20Johnson/2015 12 07 - NASA Johnson - Combined Federal Campaign 2015_R62xbngPcOE - transcript (automated).pdf","Transcript Link")</f>
        <v>Transcript Link</v>
      </c>
    </row>
    <row r="1180" ht="180" spans="1:13">
      <c r="A1180" s="1" t="s">
        <v>5222</v>
      </c>
      <c r="B1180" s="1" t="s">
        <v>13</v>
      </c>
      <c r="C1180" s="4" t="s">
        <v>5223</v>
      </c>
      <c r="D1180" s="1" t="s">
        <v>5224</v>
      </c>
      <c r="E1180" s="1" t="s">
        <v>5225</v>
      </c>
      <c r="F1180" s="4" t="s">
        <v>17</v>
      </c>
      <c r="G1180" s="1" t="s">
        <v>18</v>
      </c>
      <c r="H1180" s="1" t="s">
        <v>19</v>
      </c>
      <c r="I1180" s="1" t="s">
        <v>20</v>
      </c>
      <c r="J1180" s="1" t="s">
        <v>5226</v>
      </c>
      <c r="K1180" s="1" t="s">
        <v>22</v>
      </c>
      <c r="L1180" s="1" t="str">
        <f>HYPERLINK("https://files.afu.se/Downloads/Transcripts/0%20-%20Government/USA%20-%20NASA%20Johnson/2015 12 04 - NASA Johnson - Space Station Live  Studying the Microbiome_IlejgR0DM-g - transcript (automated).pdf","Transcript Link")</f>
        <v>Transcript Link</v>
      </c>
      <c r="M1180" s="2" t="str">
        <f>HYPERLINK("https://files.afu.se/Downloads/Transcripts/0%20-%20Government/USA%20-%20NASA%20Johnson/2015 12 04 - NASA Johnson - Space Station Live  Studying the Microbiome_IlejgR0DM-g - transcript (automated).pdf","Transcript Link")</f>
        <v>Transcript Link</v>
      </c>
    </row>
    <row r="1181" ht="180" spans="1:13">
      <c r="A1181" s="1" t="s">
        <v>5222</v>
      </c>
      <c r="B1181" s="1" t="s">
        <v>13</v>
      </c>
      <c r="C1181" s="4" t="s">
        <v>5227</v>
      </c>
      <c r="D1181" s="1" t="s">
        <v>5228</v>
      </c>
      <c r="E1181" s="1" t="s">
        <v>5059</v>
      </c>
      <c r="F1181" s="4" t="s">
        <v>17</v>
      </c>
      <c r="G1181" s="1" t="s">
        <v>18</v>
      </c>
      <c r="H1181" s="1" t="s">
        <v>19</v>
      </c>
      <c r="I1181" s="1" t="s">
        <v>20</v>
      </c>
      <c r="J1181" s="1" t="s">
        <v>5229</v>
      </c>
      <c r="K1181" s="1" t="s">
        <v>22</v>
      </c>
      <c r="L1181" s="1" t="str">
        <f>HYPERLINK("https://files.afu.se/Downloads/Transcripts/0%20-%20Government/USA%20-%20NASA%20Johnson/2015 12 04 - NASA Johnson - Space to Ground  Orbital ATK   12 04 2015_Q8ynNFZ8XCw - transcript (automated).pdf","Transcript Link")</f>
        <v>Transcript Link</v>
      </c>
      <c r="M1181" s="2" t="str">
        <f>HYPERLINK("https://files.afu.se/Downloads/Transcripts/0%20-%20Government/USA%20-%20NASA%20Johnson/2015 12 04 - NASA Johnson - Space to Ground  Orbital ATK   12 04 2015_Q8ynNFZ8XCw - transcript (automated).pdf","Transcript Link")</f>
        <v>Transcript Link</v>
      </c>
    </row>
    <row r="1182" ht="180" spans="1:13">
      <c r="A1182" s="1" t="s">
        <v>5230</v>
      </c>
      <c r="B1182" s="1" t="s">
        <v>13</v>
      </c>
      <c r="C1182" s="4" t="s">
        <v>5231</v>
      </c>
      <c r="D1182" s="1" t="s">
        <v>5232</v>
      </c>
      <c r="E1182" s="1" t="s">
        <v>5233</v>
      </c>
      <c r="F1182" s="4" t="s">
        <v>17</v>
      </c>
      <c r="G1182" s="1" t="s">
        <v>18</v>
      </c>
      <c r="H1182" s="1" t="s">
        <v>19</v>
      </c>
      <c r="I1182" s="1" t="s">
        <v>20</v>
      </c>
      <c r="J1182" s="1" t="s">
        <v>5234</v>
      </c>
      <c r="K1182" s="1" t="s">
        <v>22</v>
      </c>
      <c r="L1182" s="1" t="str">
        <f>HYPERLINK("https://files.afu.se/Downloads/Transcripts/0%20-%20Government/USA%20-%20NASA%20Johnson/2015 12 02 - NASA Johnson - Space Station Live  Packed Bed Reactor_NFEC8OZWDCY - transcript (automated).pdf","Transcript Link")</f>
        <v>Transcript Link</v>
      </c>
      <c r="M1182" s="2" t="str">
        <f>HYPERLINK("https://files.afu.se/Downloads/Transcripts/0%20-%20Government/USA%20-%20NASA%20Johnson/2015 12 02 - NASA Johnson - Space Station Live  Packed Bed Reactor_NFEC8OZWDCY - transcript (automated).pdf","Transcript Link")</f>
        <v>Transcript Link</v>
      </c>
    </row>
    <row r="1183" ht="409.5" spans="1:13">
      <c r="A1183" s="1" t="s">
        <v>5230</v>
      </c>
      <c r="B1183" s="1" t="s">
        <v>13</v>
      </c>
      <c r="C1183" s="4" t="s">
        <v>5235</v>
      </c>
      <c r="D1183" s="1" t="s">
        <v>5236</v>
      </c>
      <c r="E1183" s="1" t="s">
        <v>5237</v>
      </c>
      <c r="F1183" s="4" t="s">
        <v>17</v>
      </c>
      <c r="G1183" s="1" t="s">
        <v>18</v>
      </c>
      <c r="H1183" s="1" t="s">
        <v>19</v>
      </c>
      <c r="I1183" s="1" t="s">
        <v>20</v>
      </c>
      <c r="J1183" s="1" t="s">
        <v>5238</v>
      </c>
      <c r="K1183" s="1" t="s">
        <v>22</v>
      </c>
      <c r="L1183" s="1" t="str">
        <f>HYPERLINK("https://files.afu.se/Downloads/Transcripts/0%20-%20Government/USA%20-%20NASA%20Johnson/2015 12 02 - NASA Johnson - StationLIFE  Robotics – December_bVzwbGFdX1Q - transcript (automated).pdf","Transcript Link")</f>
        <v>Transcript Link</v>
      </c>
      <c r="M1183" s="2" t="str">
        <f>HYPERLINK("https://files.afu.se/Downloads/Transcripts/0%20-%20Government/USA%20-%20NASA%20Johnson/2015 12 02 - NASA Johnson - StationLIFE  Robotics – December_bVzwbGFdX1Q - transcript (automated).pdf","Transcript Link")</f>
        <v>Transcript Link</v>
      </c>
    </row>
    <row r="1184" ht="180" spans="1:13">
      <c r="A1184" s="1" t="s">
        <v>5239</v>
      </c>
      <c r="B1184" s="1" t="s">
        <v>13</v>
      </c>
      <c r="C1184" s="4" t="s">
        <v>5240</v>
      </c>
      <c r="D1184" s="1" t="s">
        <v>5241</v>
      </c>
      <c r="E1184" s="1" t="s">
        <v>5242</v>
      </c>
      <c r="F1184" s="4" t="s">
        <v>17</v>
      </c>
      <c r="G1184" s="1" t="s">
        <v>18</v>
      </c>
      <c r="H1184" s="1" t="s">
        <v>19</v>
      </c>
      <c r="I1184" s="1" t="s">
        <v>20</v>
      </c>
      <c r="J1184" s="1" t="s">
        <v>5243</v>
      </c>
      <c r="K1184" s="1" t="s">
        <v>22</v>
      </c>
      <c r="L1184" s="1" t="str">
        <f>HYPERLINK("https://files.afu.se/Downloads/Transcripts/0%20-%20Government/USA%20-%20NASA%20Johnson/2015 11 30 - NASA Johnson - Meet R5  Valkyrie_yTGSy-79eHc - transcript (automated).pdf","Transcript Link")</f>
        <v>Transcript Link</v>
      </c>
      <c r="M1184" s="2" t="str">
        <f>HYPERLINK("https://files.afu.se/Downloads/Transcripts/0%20-%20Government/USA%20-%20NASA%20Johnson/2015 11 30 - NASA Johnson - Meet R5  Valkyrie_yTGSy-79eHc - transcript (automated).pdf","Transcript Link")</f>
        <v>Transcript Link</v>
      </c>
    </row>
    <row r="1185" ht="180" spans="1:13">
      <c r="A1185" s="1" t="s">
        <v>5239</v>
      </c>
      <c r="B1185" s="1" t="s">
        <v>13</v>
      </c>
      <c r="C1185" s="4" t="s">
        <v>5244</v>
      </c>
      <c r="D1185" s="1" t="s">
        <v>5245</v>
      </c>
      <c r="E1185" s="1" t="s">
        <v>5083</v>
      </c>
      <c r="F1185" s="4" t="s">
        <v>17</v>
      </c>
      <c r="G1185" s="1" t="s">
        <v>18</v>
      </c>
      <c r="H1185" s="1" t="s">
        <v>19</v>
      </c>
      <c r="I1185" s="1" t="s">
        <v>20</v>
      </c>
      <c r="J1185" s="1" t="s">
        <v>5246</v>
      </c>
      <c r="K1185" s="1" t="s">
        <v>22</v>
      </c>
      <c r="L1185" s="1" t="str">
        <f>HYPERLINK("https://files.afu.se/Downloads/Transcripts/0%20-%20Government/USA%20-%20NASA%20Johnson/2015 11 30 - NASA Johnson - Monthly ISS Research Video Update for December 2015_1YdAYr16Y1U - transcript (automated).pdf","Transcript Link")</f>
        <v>Transcript Link</v>
      </c>
      <c r="M1185" s="2" t="str">
        <f>HYPERLINK("https://files.afu.se/Downloads/Transcripts/0%20-%20Government/USA%20-%20NASA%20Johnson/2015 11 30 - NASA Johnson - Monthly ISS Research Video Update for December 2015_1YdAYr16Y1U - transcript (automated).pdf","Transcript Link")</f>
        <v>Transcript Link</v>
      </c>
    </row>
    <row r="1186" ht="195" spans="1:13">
      <c r="A1186" s="1" t="s">
        <v>5239</v>
      </c>
      <c r="B1186" s="1" t="s">
        <v>13</v>
      </c>
      <c r="C1186" s="4" t="s">
        <v>5247</v>
      </c>
      <c r="D1186" s="1" t="s">
        <v>5248</v>
      </c>
      <c r="E1186" s="1" t="s">
        <v>5249</v>
      </c>
      <c r="F1186" s="4" t="s">
        <v>17</v>
      </c>
      <c r="G1186" s="1" t="s">
        <v>18</v>
      </c>
      <c r="H1186" s="1" t="s">
        <v>19</v>
      </c>
      <c r="I1186" s="1" t="s">
        <v>20</v>
      </c>
      <c r="J1186" s="1" t="s">
        <v>5250</v>
      </c>
      <c r="K1186" s="1" t="s">
        <v>22</v>
      </c>
      <c r="L1186" s="1" t="str">
        <f>HYPERLINK("https://files.afu.se/Downloads/Transcripts/0%20-%20Government/USA%20-%20NASA%20Johnson/2015 11 30 - NASA Johnson - Expedition 46-47 Crew Departs for Kazakh Launch Site__n7lnGySYEk - transcript (automated).pdf","Transcript Link")</f>
        <v>Transcript Link</v>
      </c>
      <c r="M1186" s="2" t="str">
        <f>HYPERLINK("https://files.afu.se/Downloads/Transcripts/0%20-%20Government/USA%20-%20NASA%20Johnson/2015 11 30 - NASA Johnson - Expedition 46-47 Crew Departs for Kazakh Launch Site__n7lnGySYEk - transcript (automated).pdf","Transcript Link")</f>
        <v>Transcript Link</v>
      </c>
    </row>
    <row r="1187" ht="180" spans="1:13">
      <c r="A1187" s="1" t="s">
        <v>5251</v>
      </c>
      <c r="B1187" s="1" t="s">
        <v>13</v>
      </c>
      <c r="C1187" s="4" t="s">
        <v>5252</v>
      </c>
      <c r="D1187" s="1" t="s">
        <v>5253</v>
      </c>
      <c r="E1187" s="1" t="s">
        <v>5059</v>
      </c>
      <c r="F1187" s="4" t="s">
        <v>17</v>
      </c>
      <c r="G1187" s="1" t="s">
        <v>18</v>
      </c>
      <c r="H1187" s="1" t="s">
        <v>19</v>
      </c>
      <c r="I1187" s="1" t="s">
        <v>20</v>
      </c>
      <c r="J1187" s="1" t="s">
        <v>5254</v>
      </c>
      <c r="K1187" s="1" t="s">
        <v>22</v>
      </c>
      <c r="L1187" s="1" t="str">
        <f>HYPERLINK("https://files.afu.se/Downloads/Transcripts/0%20-%20Government/USA%20-%20NASA%20Johnson/2015 11 27 - NASA Johnson - Space to Ground  Space Thanksgiving   11 27 2015_Brwb6JAZJ0I - transcript (automated).pdf","Transcript Link")</f>
        <v>Transcript Link</v>
      </c>
      <c r="M1187" s="2" t="str">
        <f>HYPERLINK("https://files.afu.se/Downloads/Transcripts/0%20-%20Government/USA%20-%20NASA%20Johnson/2015 11 27 - NASA Johnson - Space to Ground  Space Thanksgiving   11 27 2015_Brwb6JAZJ0I - transcript (automated).pdf","Transcript Link")</f>
        <v>Transcript Link</v>
      </c>
    </row>
    <row r="1188" ht="180" spans="1:13">
      <c r="A1188" s="1" t="s">
        <v>5255</v>
      </c>
      <c r="B1188" s="1" t="s">
        <v>13</v>
      </c>
      <c r="C1188" s="4" t="s">
        <v>5256</v>
      </c>
      <c r="D1188" s="1" t="s">
        <v>5257</v>
      </c>
      <c r="E1188" s="1" t="s">
        <v>5258</v>
      </c>
      <c r="F1188" s="4" t="s">
        <v>17</v>
      </c>
      <c r="G1188" s="1" t="s">
        <v>18</v>
      </c>
      <c r="H1188" s="1" t="s">
        <v>19</v>
      </c>
      <c r="I1188" s="1" t="s">
        <v>20</v>
      </c>
      <c r="J1188" s="1" t="s">
        <v>5259</v>
      </c>
      <c r="K1188" s="1" t="s">
        <v>22</v>
      </c>
      <c r="L1188" s="1" t="str">
        <f>HYPERLINK("https://files.afu.se/Downloads/Transcripts/0%20-%20Government/USA%20-%20NASA%20Johnson/2015 11 25 - NASA Johnson - How to Prepare (Thanksgiving) Food in Space_60fxGvNLFtY - transcript (automated).pdf","Transcript Link")</f>
        <v>Transcript Link</v>
      </c>
      <c r="M1188" s="2" t="str">
        <f>HYPERLINK("https://files.afu.se/Downloads/Transcripts/0%20-%20Government/USA%20-%20NASA%20Johnson/2015 11 25 - NASA Johnson - How to Prepare (Thanksgiving) Food in Space_60fxGvNLFtY - transcript (automated).pdf","Transcript Link")</f>
        <v>Transcript Link</v>
      </c>
    </row>
    <row r="1189" ht="180" spans="1:13">
      <c r="A1189" s="1" t="s">
        <v>5260</v>
      </c>
      <c r="B1189" s="1" t="s">
        <v>13</v>
      </c>
      <c r="C1189" s="4" t="s">
        <v>5261</v>
      </c>
      <c r="D1189" s="1" t="s">
        <v>5262</v>
      </c>
      <c r="E1189" s="1" t="s">
        <v>5263</v>
      </c>
      <c r="F1189" s="4" t="s">
        <v>17</v>
      </c>
      <c r="G1189" s="1" t="s">
        <v>18</v>
      </c>
      <c r="H1189" s="1" t="s">
        <v>19</v>
      </c>
      <c r="I1189" s="1" t="s">
        <v>20</v>
      </c>
      <c r="J1189" s="1" t="s">
        <v>5264</v>
      </c>
      <c r="K1189" s="1" t="s">
        <v>22</v>
      </c>
      <c r="L1189" s="1" t="str">
        <f>HYPERLINK("https://files.afu.se/Downloads/Transcripts/0%20-%20Government/USA%20-%20NASA%20Johnson/2015 11 24 - NASA Johnson - Space Station Live  Drug Development in Space_QFoZG-eI0WU - transcript (automated).pdf","Transcript Link")</f>
        <v>Transcript Link</v>
      </c>
      <c r="M1189" s="2" t="str">
        <f>HYPERLINK("https://files.afu.se/Downloads/Transcripts/0%20-%20Government/USA%20-%20NASA%20Johnson/2015 11 24 - NASA Johnson - Space Station Live  Drug Development in Space_QFoZG-eI0WU - transcript (automated).pdf","Transcript Link")</f>
        <v>Transcript Link</v>
      </c>
    </row>
    <row r="1190" ht="270" spans="1:13">
      <c r="A1190" s="1" t="s">
        <v>5265</v>
      </c>
      <c r="B1190" s="1" t="s">
        <v>13</v>
      </c>
      <c r="C1190" s="4" t="s">
        <v>5266</v>
      </c>
      <c r="D1190" s="1" t="s">
        <v>5267</v>
      </c>
      <c r="E1190" s="1" t="s">
        <v>5268</v>
      </c>
      <c r="F1190" s="4" t="s">
        <v>17</v>
      </c>
      <c r="G1190" s="1" t="s">
        <v>18</v>
      </c>
      <c r="H1190" s="1" t="s">
        <v>19</v>
      </c>
      <c r="I1190" s="1" t="s">
        <v>20</v>
      </c>
      <c r="J1190" s="1" t="s">
        <v>5269</v>
      </c>
      <c r="K1190" s="1" t="s">
        <v>22</v>
      </c>
      <c r="L1190" s="1" t="str">
        <f>HYPERLINK("https://files.afu.se/Downloads/Transcripts/0%20-%20Government/USA%20-%20NASA%20Johnson/2015 11 23 - NASA Johnson - Malenchenko, Kopra and Peake Conduct Ceremonies in Russia_VSIC752WPe4 - transcript (automated).pdf","Transcript Link")</f>
        <v>Transcript Link</v>
      </c>
      <c r="M1190" s="2" t="str">
        <f>HYPERLINK("https://files.afu.se/Downloads/Transcripts/0%20-%20Government/USA%20-%20NASA%20Johnson/2015 11 23 - NASA Johnson - Malenchenko, Kopra and Peake Conduct Ceremonies in Russia_VSIC752WPe4 - transcript (automated).pdf","Transcript Link")</f>
        <v>Transcript Link</v>
      </c>
    </row>
    <row r="1191" ht="180" spans="1:13">
      <c r="A1191" s="1" t="s">
        <v>5265</v>
      </c>
      <c r="B1191" s="1" t="s">
        <v>13</v>
      </c>
      <c r="C1191" s="4" t="s">
        <v>5270</v>
      </c>
      <c r="D1191" s="1" t="s">
        <v>5271</v>
      </c>
      <c r="E1191" s="1" t="s">
        <v>5272</v>
      </c>
      <c r="F1191" s="4" t="s">
        <v>17</v>
      </c>
      <c r="G1191" s="1" t="s">
        <v>18</v>
      </c>
      <c r="H1191" s="1" t="s">
        <v>19</v>
      </c>
      <c r="I1191" s="1" t="s">
        <v>20</v>
      </c>
      <c r="J1191" s="1" t="s">
        <v>5273</v>
      </c>
      <c r="K1191" s="1" t="s">
        <v>22</v>
      </c>
      <c r="L1191" s="1" t="str">
        <f>HYPERLINK("https://files.afu.se/Downloads/Transcripts/0%20-%20Government/USA%20-%20NASA%20Johnson/2015 11 23 - NASA Johnson - Thanksgiving 2015 on the International Space Station_HAhAP4MPT5I - transcript (automated).pdf","Transcript Link")</f>
        <v>Transcript Link</v>
      </c>
      <c r="M1191" s="2" t="str">
        <f>HYPERLINK("https://files.afu.se/Downloads/Transcripts/0%20-%20Government/USA%20-%20NASA%20Johnson/2015 11 23 - NASA Johnson - Thanksgiving 2015 on the International Space Station_HAhAP4MPT5I - transcript (automated).pdf","Transcript Link")</f>
        <v>Transcript Link</v>
      </c>
    </row>
    <row r="1192" ht="300" spans="1:13">
      <c r="A1192" s="1" t="s">
        <v>5265</v>
      </c>
      <c r="B1192" s="1" t="s">
        <v>13</v>
      </c>
      <c r="C1192" s="4" t="s">
        <v>5274</v>
      </c>
      <c r="D1192" s="1" t="s">
        <v>5275</v>
      </c>
      <c r="E1192" s="1" t="s">
        <v>5276</v>
      </c>
      <c r="F1192" s="4" t="s">
        <v>17</v>
      </c>
      <c r="G1192" s="1" t="s">
        <v>18</v>
      </c>
      <c r="H1192" s="1" t="s">
        <v>19</v>
      </c>
      <c r="I1192" s="1" t="s">
        <v>20</v>
      </c>
      <c r="J1192" s="1" t="s">
        <v>5277</v>
      </c>
      <c r="K1192" s="1" t="s">
        <v>22</v>
      </c>
      <c r="L1192" s="1" t="str">
        <f>HYPERLINK("https://files.afu.se/Downloads/Transcripts/0%20-%20Government/USA%20-%20NASA%20Johnson/2015 11 23 - NASA Johnson -  Is It Possible To Define Inspiration   - A CineSpace 2015 Film_96G3qqBoALw - transcript (automated).pdf","Transcript Link")</f>
        <v>Transcript Link</v>
      </c>
      <c r="M1192" s="2" t="str">
        <f>HYPERLINK("https://files.afu.se/Downloads/Transcripts/0%20-%20Government/USA%20-%20NASA%20Johnson/2015 11 23 - NASA Johnson -  Is It Possible To Define Inspiration   - A CineSpace 2015 Film_96G3qqBoALw - transcript (automated).pdf","Transcript Link")</f>
        <v>Transcript Link</v>
      </c>
    </row>
    <row r="1193" ht="315" spans="1:13">
      <c r="A1193" s="1" t="s">
        <v>5265</v>
      </c>
      <c r="B1193" s="1" t="s">
        <v>13</v>
      </c>
      <c r="C1193" s="4" t="s">
        <v>5278</v>
      </c>
      <c r="D1193" s="1" t="s">
        <v>5279</v>
      </c>
      <c r="E1193" s="1" t="s">
        <v>5280</v>
      </c>
      <c r="F1193" s="4" t="s">
        <v>17</v>
      </c>
      <c r="G1193" s="1" t="s">
        <v>18</v>
      </c>
      <c r="H1193" s="1" t="s">
        <v>19</v>
      </c>
      <c r="I1193" s="1" t="s">
        <v>20</v>
      </c>
      <c r="J1193" s="1" t="s">
        <v>5281</v>
      </c>
      <c r="K1193" s="1" t="s">
        <v>22</v>
      </c>
      <c r="L1193" s="1" t="str">
        <f>HYPERLINK("https://files.afu.se/Downloads/Transcripts/0%20-%20Government/USA%20-%20NASA%20Johnson/2015 11 23 - NASA Johnson -  Home  - A CineSpace 2015 Film_9CsEF9RB1Yw - transcript (automated).pdf","Transcript Link")</f>
        <v>Transcript Link</v>
      </c>
      <c r="M1193" s="2" t="str">
        <f>HYPERLINK("https://files.afu.se/Downloads/Transcripts/0%20-%20Government/USA%20-%20NASA%20Johnson/2015 11 23 - NASA Johnson -  Home  - A CineSpace 2015 Film_9CsEF9RB1Yw - transcript (automated).pdf","Transcript Link")</f>
        <v>Transcript Link</v>
      </c>
    </row>
    <row r="1194" ht="300" spans="1:13">
      <c r="A1194" s="1" t="s">
        <v>5265</v>
      </c>
      <c r="B1194" s="1" t="s">
        <v>13</v>
      </c>
      <c r="C1194" s="4" t="s">
        <v>5282</v>
      </c>
      <c r="D1194" s="1" t="s">
        <v>5283</v>
      </c>
      <c r="E1194" s="1" t="s">
        <v>5284</v>
      </c>
      <c r="F1194" s="4" t="s">
        <v>17</v>
      </c>
      <c r="G1194" s="1" t="s">
        <v>18</v>
      </c>
      <c r="H1194" s="1" t="s">
        <v>19</v>
      </c>
      <c r="I1194" s="1" t="s">
        <v>20</v>
      </c>
      <c r="J1194" s="1" t="s">
        <v>5285</v>
      </c>
      <c r="K1194" s="1" t="s">
        <v>22</v>
      </c>
      <c r="L1194" s="1" t="str">
        <f>HYPERLINK("https://files.afu.se/Downloads/Transcripts/0%20-%20Government/USA%20-%20NASA%20Johnson/2015 11 23 - NASA Johnson -  Le Voyage  - A CineSpace 2015 Film_GBcHOfqEBKI - transcript (automated).pdf","Transcript Link")</f>
        <v>Transcript Link</v>
      </c>
      <c r="M1194" s="2" t="str">
        <f>HYPERLINK("https://files.afu.se/Downloads/Transcripts/0%20-%20Government/USA%20-%20NASA%20Johnson/2015 11 23 - NASA Johnson -  Le Voyage  - A CineSpace 2015 Film_GBcHOfqEBKI - transcript (automated).pdf","Transcript Link")</f>
        <v>Transcript Link</v>
      </c>
    </row>
    <row r="1195" ht="300" spans="1:13">
      <c r="A1195" s="1" t="s">
        <v>5265</v>
      </c>
      <c r="B1195" s="1" t="s">
        <v>13</v>
      </c>
      <c r="C1195" s="4" t="s">
        <v>5286</v>
      </c>
      <c r="D1195" s="1" t="s">
        <v>5287</v>
      </c>
      <c r="E1195" s="1" t="s">
        <v>5288</v>
      </c>
      <c r="F1195" s="4" t="s">
        <v>17</v>
      </c>
      <c r="G1195" s="1" t="s">
        <v>18</v>
      </c>
      <c r="H1195" s="1" t="s">
        <v>19</v>
      </c>
      <c r="I1195" s="1" t="s">
        <v>20</v>
      </c>
      <c r="J1195" s="1" t="s">
        <v>5289</v>
      </c>
      <c r="K1195" s="1" t="s">
        <v>22</v>
      </c>
      <c r="L1195" s="1" t="str">
        <f>HYPERLINK("https://files.afu.se/Downloads/Transcripts/0%20-%20Government/USA%20-%20NASA%20Johnson/2015 11 23 - NASA Johnson -  A Little Journey  - A CineSpace 2015 Film_2o8N4AdaW2A - transcript (automated).pdf","Transcript Link")</f>
        <v>Transcript Link</v>
      </c>
      <c r="M1195" s="2" t="str">
        <f>HYPERLINK("https://files.afu.se/Downloads/Transcripts/0%20-%20Government/USA%20-%20NASA%20Johnson/2015 11 23 - NASA Johnson -  A Little Journey  - A CineSpace 2015 Film_2o8N4AdaW2A - transcript (automated).pdf","Transcript Link")</f>
        <v>Transcript Link</v>
      </c>
    </row>
    <row r="1196" ht="270" spans="1:13">
      <c r="A1196" s="1" t="s">
        <v>5265</v>
      </c>
      <c r="B1196" s="1" t="s">
        <v>13</v>
      </c>
      <c r="C1196" s="4" t="s">
        <v>5290</v>
      </c>
      <c r="D1196" s="1" t="s">
        <v>5291</v>
      </c>
      <c r="E1196" s="1" t="s">
        <v>5292</v>
      </c>
      <c r="F1196" s="4" t="s">
        <v>17</v>
      </c>
      <c r="G1196" s="1" t="s">
        <v>18</v>
      </c>
      <c r="H1196" s="1" t="s">
        <v>19</v>
      </c>
      <c r="I1196" s="1" t="s">
        <v>20</v>
      </c>
      <c r="J1196" s="1" t="s">
        <v>5293</v>
      </c>
      <c r="K1196" s="1" t="s">
        <v>22</v>
      </c>
      <c r="L1196" s="1" t="str">
        <f>HYPERLINK("https://files.afu.se/Downloads/Transcripts/0%20-%20Government/USA%20-%20NASA%20Johnson/2015 11 23 - NASA Johnson -  Mission Avante  - A CineSpace 2015 Film_M8mntXMihNU - transcript (automated).pdf","Transcript Link")</f>
        <v>Transcript Link</v>
      </c>
      <c r="M1196" s="2" t="str">
        <f>HYPERLINK("https://files.afu.se/Downloads/Transcripts/0%20-%20Government/USA%20-%20NASA%20Johnson/2015 11 23 - NASA Johnson -  Mission Avante  - A CineSpace 2015 Film_M8mntXMihNU - transcript (automated).pdf","Transcript Link")</f>
        <v>Transcript Link</v>
      </c>
    </row>
    <row r="1197" ht="315" spans="1:13">
      <c r="A1197" s="1" t="s">
        <v>5265</v>
      </c>
      <c r="B1197" s="1" t="s">
        <v>13</v>
      </c>
      <c r="C1197" s="4" t="s">
        <v>5294</v>
      </c>
      <c r="D1197" s="1" t="s">
        <v>5295</v>
      </c>
      <c r="E1197" s="1" t="s">
        <v>5296</v>
      </c>
      <c r="F1197" s="4" t="s">
        <v>17</v>
      </c>
      <c r="G1197" s="1" t="s">
        <v>18</v>
      </c>
      <c r="H1197" s="1" t="s">
        <v>19</v>
      </c>
      <c r="I1197" s="1" t="s">
        <v>20</v>
      </c>
      <c r="J1197" s="1" t="s">
        <v>5297</v>
      </c>
      <c r="K1197" s="1" t="s">
        <v>22</v>
      </c>
      <c r="L1197" s="1" t="str">
        <f>HYPERLINK("https://files.afu.se/Downloads/Transcripts/0%20-%20Government/USA%20-%20NASA%20Johnson/2015 11 23 - NASA Johnson -  Red Pearl  - A CineSpace 2015 Film_OxF9kOnPVB8 - transcript (automated).pdf","Transcript Link")</f>
        <v>Transcript Link</v>
      </c>
      <c r="M1197" s="2" t="str">
        <f>HYPERLINK("https://files.afu.se/Downloads/Transcripts/0%20-%20Government/USA%20-%20NASA%20Johnson/2015 11 23 - NASA Johnson -  Red Pearl  - A CineSpace 2015 Film_OxF9kOnPVB8 - transcript (automated).pdf","Transcript Link")</f>
        <v>Transcript Link</v>
      </c>
    </row>
    <row r="1198" ht="300" spans="1:13">
      <c r="A1198" s="1" t="s">
        <v>5265</v>
      </c>
      <c r="B1198" s="1" t="s">
        <v>13</v>
      </c>
      <c r="C1198" s="4" t="s">
        <v>5298</v>
      </c>
      <c r="D1198" s="1" t="s">
        <v>5299</v>
      </c>
      <c r="E1198" s="1" t="s">
        <v>5300</v>
      </c>
      <c r="F1198" s="4" t="s">
        <v>17</v>
      </c>
      <c r="G1198" s="1" t="s">
        <v>18</v>
      </c>
      <c r="H1198" s="1" t="s">
        <v>19</v>
      </c>
      <c r="I1198" s="1" t="s">
        <v>20</v>
      </c>
      <c r="J1198" s="1" t="s">
        <v>5301</v>
      </c>
      <c r="K1198" s="1" t="s">
        <v>22</v>
      </c>
      <c r="L1198" s="1" t="str">
        <f>HYPERLINK("https://files.afu.se/Downloads/Transcripts/0%20-%20Government/USA%20-%20NASA%20Johnson/2015 11 23 - NASA Johnson -  Voyagers  - A CineSpace 2015 Film__tFvHUnfKcQ - transcript (automated).pdf","Transcript Link")</f>
        <v>Transcript Link</v>
      </c>
      <c r="M1198" s="2" t="str">
        <f>HYPERLINK("https://files.afu.se/Downloads/Transcripts/0%20-%20Government/USA%20-%20NASA%20Johnson/2015 11 23 - NASA Johnson -  Voyagers  - A CineSpace 2015 Film__tFvHUnfKcQ - transcript (automated).pdf","Transcript Link")</f>
        <v>Transcript Link</v>
      </c>
    </row>
    <row r="1199" ht="300" spans="1:13">
      <c r="A1199" s="1" t="s">
        <v>5265</v>
      </c>
      <c r="B1199" s="1" t="s">
        <v>13</v>
      </c>
      <c r="C1199" s="4" t="s">
        <v>5302</v>
      </c>
      <c r="D1199" s="1" t="s">
        <v>5303</v>
      </c>
      <c r="E1199" s="1" t="s">
        <v>5304</v>
      </c>
      <c r="F1199" s="4" t="s">
        <v>17</v>
      </c>
      <c r="G1199" s="1" t="s">
        <v>18</v>
      </c>
      <c r="H1199" s="1" t="s">
        <v>19</v>
      </c>
      <c r="I1199" s="1" t="s">
        <v>20</v>
      </c>
      <c r="J1199" s="1" t="s">
        <v>5305</v>
      </c>
      <c r="K1199" s="1" t="s">
        <v>22</v>
      </c>
      <c r="L1199" s="1" t="str">
        <f>HYPERLINK("https://files.afu.se/Downloads/Transcripts/0%20-%20Government/USA%20-%20NASA%20Johnson/2015 11 23 - NASA Johnson -  Supersymetry  - A CineSpace 2015 Film_hf5PUqp5spg - transcript (automated).pdf","Transcript Link")</f>
        <v>Transcript Link</v>
      </c>
      <c r="M1199" s="2" t="str">
        <f>HYPERLINK("https://files.afu.se/Downloads/Transcripts/0%20-%20Government/USA%20-%20NASA%20Johnson/2015 11 23 - NASA Johnson -  Supersymetry  - A CineSpace 2015 Film_hf5PUqp5spg - transcript (automated).pdf","Transcript Link")</f>
        <v>Transcript Link</v>
      </c>
    </row>
    <row r="1200" ht="300" spans="1:13">
      <c r="A1200" s="1" t="s">
        <v>5265</v>
      </c>
      <c r="B1200" s="1" t="s">
        <v>13</v>
      </c>
      <c r="C1200" s="4" t="s">
        <v>5306</v>
      </c>
      <c r="D1200" s="1" t="s">
        <v>5307</v>
      </c>
      <c r="E1200" s="1" t="s">
        <v>5308</v>
      </c>
      <c r="F1200" s="4" t="s">
        <v>17</v>
      </c>
      <c r="G1200" s="1" t="s">
        <v>18</v>
      </c>
      <c r="H1200" s="1" t="s">
        <v>19</v>
      </c>
      <c r="I1200" s="1" t="s">
        <v>20</v>
      </c>
      <c r="J1200" s="1" t="s">
        <v>5309</v>
      </c>
      <c r="K1200" s="1" t="s">
        <v>22</v>
      </c>
      <c r="L1200" s="1" t="str">
        <f>HYPERLINK("https://files.afu.se/Downloads/Transcripts/0%20-%20Government/USA%20-%20NASA%20Johnson/2015 11 23 - NASA Johnson -  Outer Space  - A CineSpace 2015 Film_vBe-onc4aic - transcript (automated).pdf","Transcript Link")</f>
        <v>Transcript Link</v>
      </c>
      <c r="M1200" s="2" t="str">
        <f>HYPERLINK("https://files.afu.se/Downloads/Transcripts/0%20-%20Government/USA%20-%20NASA%20Johnson/2015 11 23 - NASA Johnson -  Outer Space  - A CineSpace 2015 Film_vBe-onc4aic - transcript (automated).pdf","Transcript Link")</f>
        <v>Transcript Link</v>
      </c>
    </row>
    <row r="1201" ht="300" spans="1:13">
      <c r="A1201" s="1" t="s">
        <v>5265</v>
      </c>
      <c r="B1201" s="1" t="s">
        <v>13</v>
      </c>
      <c r="C1201" s="4" t="s">
        <v>5310</v>
      </c>
      <c r="D1201" s="1" t="s">
        <v>5311</v>
      </c>
      <c r="E1201" s="1" t="s">
        <v>5312</v>
      </c>
      <c r="F1201" s="4" t="s">
        <v>17</v>
      </c>
      <c r="G1201" s="1" t="s">
        <v>18</v>
      </c>
      <c r="H1201" s="1" t="s">
        <v>19</v>
      </c>
      <c r="I1201" s="1" t="s">
        <v>20</v>
      </c>
      <c r="J1201" s="1" t="s">
        <v>5313</v>
      </c>
      <c r="K1201" s="1" t="s">
        <v>22</v>
      </c>
      <c r="L1201" s="1" t="str">
        <f>HYPERLINK("https://files.afu.se/Downloads/Transcripts/0%20-%20Government/USA%20-%20NASA%20Johnson/2015 11 23 - NASA Johnson -  End Of The Sky  - A CineSpace 2015 Film_B0Y6jA6AqqI - transcript (automated).pdf","Transcript Link")</f>
        <v>Transcript Link</v>
      </c>
      <c r="M1201" s="2" t="str">
        <f>HYPERLINK("https://files.afu.se/Downloads/Transcripts/0%20-%20Government/USA%20-%20NASA%20Johnson/2015 11 23 - NASA Johnson -  End Of The Sky  - A CineSpace 2015 Film_B0Y6jA6AqqI - transcript (automated).pdf","Transcript Link")</f>
        <v>Transcript Link</v>
      </c>
    </row>
    <row r="1202" ht="300" spans="1:13">
      <c r="A1202" s="1" t="s">
        <v>5265</v>
      </c>
      <c r="B1202" s="1" t="s">
        <v>13</v>
      </c>
      <c r="C1202" s="4" t="s">
        <v>5314</v>
      </c>
      <c r="D1202" s="1" t="s">
        <v>5315</v>
      </c>
      <c r="E1202" s="1" t="s">
        <v>5316</v>
      </c>
      <c r="F1202" s="4" t="s">
        <v>17</v>
      </c>
      <c r="G1202" s="1" t="s">
        <v>18</v>
      </c>
      <c r="H1202" s="1" t="s">
        <v>19</v>
      </c>
      <c r="I1202" s="1" t="s">
        <v>20</v>
      </c>
      <c r="J1202" s="1" t="s">
        <v>5317</v>
      </c>
      <c r="K1202" s="1" t="s">
        <v>22</v>
      </c>
      <c r="L1202" s="1" t="str">
        <f>HYPERLINK("https://files.afu.se/Downloads/Transcripts/0%20-%20Government/USA%20-%20NASA%20Johnson/2015 11 23 - NASA Johnson -  As We Set Sail  - A CineSpace 2015 Film_Kd8wC_TQtM0 - transcript (automated).pdf","Transcript Link")</f>
        <v>Transcript Link</v>
      </c>
      <c r="M1202" s="2" t="str">
        <f>HYPERLINK("https://files.afu.se/Downloads/Transcripts/0%20-%20Government/USA%20-%20NASA%20Johnson/2015 11 23 - NASA Johnson -  As We Set Sail  - A CineSpace 2015 Film_Kd8wC_TQtM0 - transcript (automated).pdf","Transcript Link")</f>
        <v>Transcript Link</v>
      </c>
    </row>
    <row r="1203" ht="300" spans="1:13">
      <c r="A1203" s="1" t="s">
        <v>5265</v>
      </c>
      <c r="B1203" s="1" t="s">
        <v>13</v>
      </c>
      <c r="C1203" s="4" t="s">
        <v>5318</v>
      </c>
      <c r="D1203" s="1" t="s">
        <v>5319</v>
      </c>
      <c r="E1203" s="1" t="s">
        <v>5320</v>
      </c>
      <c r="F1203" s="4" t="s">
        <v>17</v>
      </c>
      <c r="G1203" s="1" t="s">
        <v>18</v>
      </c>
      <c r="H1203" s="1" t="s">
        <v>19</v>
      </c>
      <c r="I1203" s="1" t="s">
        <v>20</v>
      </c>
      <c r="J1203" s="1" t="s">
        <v>5321</v>
      </c>
      <c r="K1203" s="1" t="s">
        <v>22</v>
      </c>
      <c r="L1203" s="1" t="str">
        <f>HYPERLINK("https://files.afu.se/Downloads/Transcripts/0%20-%20Government/USA%20-%20NASA%20Johnson/2015 11 23 - NASA Johnson -  General Astronomy  - A CineSpace 2015 Film_LZ0ItjwivYE - transcript (automated).pdf","Transcript Link")</f>
        <v>Transcript Link</v>
      </c>
      <c r="M1203" s="2" t="str">
        <f>HYPERLINK("https://files.afu.se/Downloads/Transcripts/0%20-%20Government/USA%20-%20NASA%20Johnson/2015 11 23 - NASA Johnson -  General Astronomy  - A CineSpace 2015 Film_LZ0ItjwivYE - transcript (automated).pdf","Transcript Link")</f>
        <v>Transcript Link</v>
      </c>
    </row>
    <row r="1204" ht="300" spans="1:13">
      <c r="A1204" s="1" t="s">
        <v>5265</v>
      </c>
      <c r="B1204" s="1" t="s">
        <v>13</v>
      </c>
      <c r="C1204" s="4" t="s">
        <v>5322</v>
      </c>
      <c r="D1204" s="1" t="s">
        <v>5323</v>
      </c>
      <c r="E1204" s="1" t="s">
        <v>5324</v>
      </c>
      <c r="F1204" s="4" t="s">
        <v>17</v>
      </c>
      <c r="G1204" s="1" t="s">
        <v>18</v>
      </c>
      <c r="H1204" s="1" t="s">
        <v>19</v>
      </c>
      <c r="I1204" s="1" t="s">
        <v>20</v>
      </c>
      <c r="J1204" s="1" t="s">
        <v>5325</v>
      </c>
      <c r="K1204" s="1" t="s">
        <v>22</v>
      </c>
      <c r="L1204" s="1" t="str">
        <f>HYPERLINK("https://files.afu.se/Downloads/Transcripts/0%20-%20Government/USA%20-%20NASA%20Johnson/2015 11 23 - NASA Johnson -  Come Closer  - A CineSpace 2015 Film_mDQdc5YT0-0 - transcript (automated).pdf","Transcript Link")</f>
        <v>Transcript Link</v>
      </c>
      <c r="M1204" s="2" t="str">
        <f>HYPERLINK("https://files.afu.se/Downloads/Transcripts/0%20-%20Government/USA%20-%20NASA%20Johnson/2015 11 23 - NASA Johnson -  Come Closer  - A CineSpace 2015 Film_mDQdc5YT0-0 - transcript (automated).pdf","Transcript Link")</f>
        <v>Transcript Link</v>
      </c>
    </row>
    <row r="1205" ht="300" spans="1:13">
      <c r="A1205" s="1" t="s">
        <v>5265</v>
      </c>
      <c r="B1205" s="1" t="s">
        <v>13</v>
      </c>
      <c r="C1205" s="4" t="s">
        <v>5326</v>
      </c>
      <c r="D1205" s="1" t="s">
        <v>5327</v>
      </c>
      <c r="E1205" s="1" t="s">
        <v>5328</v>
      </c>
      <c r="F1205" s="4" t="s">
        <v>17</v>
      </c>
      <c r="G1205" s="1" t="s">
        <v>18</v>
      </c>
      <c r="H1205" s="1" t="s">
        <v>19</v>
      </c>
      <c r="I1205" s="1" t="s">
        <v>20</v>
      </c>
      <c r="J1205" s="1" t="s">
        <v>5329</v>
      </c>
      <c r="K1205" s="1" t="s">
        <v>22</v>
      </c>
      <c r="L1205" s="1" t="str">
        <f>HYPERLINK("https://files.afu.se/Downloads/Transcripts/0%20-%20Government/USA%20-%20NASA%20Johnson/2015 11 23 - NASA Johnson -  Higher Ground  - A CineSpace 2015 Film_3bxRpZ6uP2k - transcript (automated).pdf","Transcript Link")</f>
        <v>Transcript Link</v>
      </c>
      <c r="M1205" s="2" t="str">
        <f>HYPERLINK("https://files.afu.se/Downloads/Transcripts/0%20-%20Government/USA%20-%20NASA%20Johnson/2015 11 23 - NASA Johnson -  Higher Ground  - A CineSpace 2015 Film_3bxRpZ6uP2k - transcript (automated).pdf","Transcript Link")</f>
        <v>Transcript Link</v>
      </c>
    </row>
    <row r="1206" ht="300" spans="1:13">
      <c r="A1206" s="1" t="s">
        <v>5265</v>
      </c>
      <c r="B1206" s="1" t="s">
        <v>13</v>
      </c>
      <c r="C1206" s="4" t="s">
        <v>5330</v>
      </c>
      <c r="D1206" s="1" t="s">
        <v>5331</v>
      </c>
      <c r="E1206" s="1" t="s">
        <v>5332</v>
      </c>
      <c r="F1206" s="4" t="s">
        <v>17</v>
      </c>
      <c r="G1206" s="1" t="s">
        <v>18</v>
      </c>
      <c r="H1206" s="1" t="s">
        <v>19</v>
      </c>
      <c r="I1206" s="1" t="s">
        <v>20</v>
      </c>
      <c r="J1206" s="1" t="s">
        <v>5333</v>
      </c>
      <c r="K1206" s="1" t="s">
        <v>22</v>
      </c>
      <c r="L1206" s="1" t="str">
        <f>HYPERLINK("https://files.afu.se/Downloads/Transcripts/0%20-%20Government/USA%20-%20NASA%20Johnson/2015 11 23 - NASA Johnson -  Guiding Light  - A CineSpace 2015 Film_qODBzyB91so - transcript (automated).pdf","Transcript Link")</f>
        <v>Transcript Link</v>
      </c>
      <c r="M1206" s="2" t="str">
        <f>HYPERLINK("https://files.afu.se/Downloads/Transcripts/0%20-%20Government/USA%20-%20NASA%20Johnson/2015 11 23 - NASA Johnson -  Guiding Light  - A CineSpace 2015 Film_qODBzyB91so - transcript (automated).pdf","Transcript Link")</f>
        <v>Transcript Link</v>
      </c>
    </row>
    <row r="1207" ht="180" spans="1:13">
      <c r="A1207" s="1" t="s">
        <v>5334</v>
      </c>
      <c r="B1207" s="1" t="s">
        <v>13</v>
      </c>
      <c r="C1207" s="4" t="s">
        <v>5335</v>
      </c>
      <c r="D1207" s="1" t="s">
        <v>5336</v>
      </c>
      <c r="E1207" s="1" t="s">
        <v>5337</v>
      </c>
      <c r="F1207" s="4" t="s">
        <v>17</v>
      </c>
      <c r="G1207" s="1" t="s">
        <v>18</v>
      </c>
      <c r="H1207" s="1" t="s">
        <v>19</v>
      </c>
      <c r="I1207" s="1" t="s">
        <v>20</v>
      </c>
      <c r="J1207" s="1" t="s">
        <v>5338</v>
      </c>
      <c r="K1207" s="1" t="s">
        <v>22</v>
      </c>
      <c r="L1207" s="1" t="str">
        <f>HYPERLINK("https://files.afu.se/Downloads/Transcripts/0%20-%20Government/USA%20-%20NASA%20Johnson/2015 11 20 - NASA Johnson - Space Station Live  Boosting Science on ISS_24Yk81lenCk - transcript (automated).pdf","Transcript Link")</f>
        <v>Transcript Link</v>
      </c>
      <c r="M1207" s="2" t="str">
        <f>HYPERLINK("https://files.afu.se/Downloads/Transcripts/0%20-%20Government/USA%20-%20NASA%20Johnson/2015 11 20 - NASA Johnson - Space Station Live  Boosting Science on ISS_24Yk81lenCk - transcript (automated).pdf","Transcript Link")</f>
        <v>Transcript Link</v>
      </c>
    </row>
    <row r="1208" ht="180" spans="1:13">
      <c r="A1208" s="1" t="s">
        <v>5334</v>
      </c>
      <c r="B1208" s="1" t="s">
        <v>13</v>
      </c>
      <c r="C1208" s="4" t="s">
        <v>5339</v>
      </c>
      <c r="D1208" s="1" t="s">
        <v>5340</v>
      </c>
      <c r="E1208" s="1" t="s">
        <v>5341</v>
      </c>
      <c r="F1208" s="4" t="s">
        <v>17</v>
      </c>
      <c r="G1208" s="1" t="s">
        <v>18</v>
      </c>
      <c r="H1208" s="1" t="s">
        <v>19</v>
      </c>
      <c r="I1208" s="1" t="s">
        <v>20</v>
      </c>
      <c r="J1208" s="1" t="s">
        <v>5342</v>
      </c>
      <c r="K1208" s="1" t="s">
        <v>22</v>
      </c>
      <c r="L1208" s="1" t="str">
        <f>HYPERLINK("https://files.afu.se/Downloads/Transcripts/0%20-%20Government/USA%20-%20NASA%20Johnson/2015 11 20 - NASA Johnson - Expedition 46 47 Crew Undergoes Final Training Outside Moscow_T9aKSogrL-I - transcript (automated).pdf","Transcript Link")</f>
        <v>Transcript Link</v>
      </c>
      <c r="M1208" s="2" t="str">
        <f>HYPERLINK("https://files.afu.se/Downloads/Transcripts/0%20-%20Government/USA%20-%20NASA%20Johnson/2015 11 20 - NASA Johnson - Expedition 46 47 Crew Undergoes Final Training Outside Moscow_T9aKSogrL-I - transcript (automated).pdf","Transcript Link")</f>
        <v>Transcript Link</v>
      </c>
    </row>
    <row r="1209" ht="180" spans="1:13">
      <c r="A1209" s="1" t="s">
        <v>5334</v>
      </c>
      <c r="B1209" s="1" t="s">
        <v>13</v>
      </c>
      <c r="C1209" s="4" t="s">
        <v>5343</v>
      </c>
      <c r="D1209" s="1" t="s">
        <v>5344</v>
      </c>
      <c r="E1209" s="1" t="s">
        <v>4931</v>
      </c>
      <c r="F1209" s="4" t="s">
        <v>17</v>
      </c>
      <c r="G1209" s="1" t="s">
        <v>18</v>
      </c>
      <c r="H1209" s="1" t="s">
        <v>19</v>
      </c>
      <c r="I1209" s="1" t="s">
        <v>20</v>
      </c>
      <c r="J1209" s="1" t="s">
        <v>5345</v>
      </c>
      <c r="K1209" s="1" t="s">
        <v>22</v>
      </c>
      <c r="L1209" s="1" t="str">
        <f>HYPERLINK("https://files.afu.se/Downloads/Transcripts/0%20-%20Government/USA%20-%20NASA%20Johnson/2015 11 20 - NASA Johnson - Space to Ground  Outer Space Orchestra  11 20 2015_6Otg83PPls8 - transcript (automated).pdf","Transcript Link")</f>
        <v>Transcript Link</v>
      </c>
      <c r="M1209" s="2" t="str">
        <f>HYPERLINK("https://files.afu.se/Downloads/Transcripts/0%20-%20Government/USA%20-%20NASA%20Johnson/2015 11 20 - NASA Johnson - Space to Ground  Outer Space Orchestra  11 20 2015_6Otg83PPls8 - transcript (automated).pdf","Transcript Link")</f>
        <v>Transcript Link</v>
      </c>
    </row>
    <row r="1210" ht="315" spans="1:13">
      <c r="A1210" s="1" t="s">
        <v>5346</v>
      </c>
      <c r="B1210" s="1" t="s">
        <v>13</v>
      </c>
      <c r="C1210" s="4" t="s">
        <v>5347</v>
      </c>
      <c r="D1210" s="1" t="s">
        <v>5348</v>
      </c>
      <c r="E1210" s="1" t="s">
        <v>5349</v>
      </c>
      <c r="F1210" s="4" t="s">
        <v>17</v>
      </c>
      <c r="G1210" s="1" t="s">
        <v>18</v>
      </c>
      <c r="H1210" s="1" t="s">
        <v>19</v>
      </c>
      <c r="I1210" s="1" t="s">
        <v>20</v>
      </c>
      <c r="J1210" s="1" t="s">
        <v>5350</v>
      </c>
      <c r="K1210" s="1" t="s">
        <v>22</v>
      </c>
      <c r="L1210" s="1" t="str">
        <f>HYPERLINK("https://files.afu.se/Downloads/Transcripts/0%20-%20Government/USA%20-%20NASA%20Johnson/2015 11 19 - NASA Johnson - Space Station Live  It’s Story Time!_pP4dK_12O48 - transcript (automated).pdf","Transcript Link")</f>
        <v>Transcript Link</v>
      </c>
      <c r="M1210" s="2" t="str">
        <f>HYPERLINK("https://files.afu.se/Downloads/Transcripts/0%20-%20Government/USA%20-%20NASA%20Johnson/2015 11 19 - NASA Johnson - Space Station Live  It’s Story Time!_pP4dK_12O48 - transcript (automated).pdf","Transcript Link")</f>
        <v>Transcript Link</v>
      </c>
    </row>
    <row r="1211" ht="270" spans="1:13">
      <c r="A1211" s="1" t="s">
        <v>5351</v>
      </c>
      <c r="B1211" s="1" t="s">
        <v>13</v>
      </c>
      <c r="C1211" s="4" t="s">
        <v>5352</v>
      </c>
      <c r="D1211" s="1" t="s">
        <v>5353</v>
      </c>
      <c r="E1211" s="1" t="s">
        <v>5354</v>
      </c>
      <c r="F1211" s="4" t="s">
        <v>17</v>
      </c>
      <c r="G1211" s="1" t="s">
        <v>18</v>
      </c>
      <c r="H1211" s="1" t="s">
        <v>19</v>
      </c>
      <c r="I1211" s="1" t="s">
        <v>20</v>
      </c>
      <c r="J1211" s="1" t="s">
        <v>5355</v>
      </c>
      <c r="K1211" s="1" t="s">
        <v>22</v>
      </c>
      <c r="L1211" s="1" t="str">
        <f>HYPERLINK("https://files.afu.se/Downloads/Transcripts/0%20-%20Government/USA%20-%20NASA%20Johnson/2015 11 18 - NASA Johnson - Space Station Live  Station Fosters New Drug Therapies_BybUJYl0aVk - transcript (automated).pdf","Transcript Link")</f>
        <v>Transcript Link</v>
      </c>
      <c r="M1211" s="2" t="str">
        <f>HYPERLINK("https://files.afu.se/Downloads/Transcripts/0%20-%20Government/USA%20-%20NASA%20Johnson/2015 11 18 - NASA Johnson - Space Station Live  Station Fosters New Drug Therapies_BybUJYl0aVk - transcript (automated).pdf","Transcript Link")</f>
        <v>Transcript Link</v>
      </c>
    </row>
    <row r="1212" ht="409.5" spans="1:13">
      <c r="A1212" s="1" t="s">
        <v>5351</v>
      </c>
      <c r="B1212" s="1" t="s">
        <v>13</v>
      </c>
      <c r="C1212" s="4" t="s">
        <v>5356</v>
      </c>
      <c r="D1212" s="1" t="s">
        <v>5357</v>
      </c>
      <c r="E1212" s="1" t="s">
        <v>5358</v>
      </c>
      <c r="F1212" s="4" t="s">
        <v>17</v>
      </c>
      <c r="G1212" s="1" t="s">
        <v>18</v>
      </c>
      <c r="H1212" s="1" t="s">
        <v>19</v>
      </c>
      <c r="I1212" s="1" t="s">
        <v>20</v>
      </c>
      <c r="J1212" s="1" t="s">
        <v>5359</v>
      </c>
      <c r="K1212" s="1" t="s">
        <v>22</v>
      </c>
      <c r="L1212" s="1" t="str">
        <f>HYPERLINK("https://files.afu.se/Downloads/Transcripts/0%20-%20Government/USA%20-%20NASA%20Johnson/2015 11 18 - NASA Johnson - Benefits for Humanity  Space is Our Business_NecjpG1NVac - transcript (automated).pdf","Transcript Link")</f>
        <v>Transcript Link</v>
      </c>
      <c r="M1212" s="2" t="str">
        <f>HYPERLINK("https://files.afu.se/Downloads/Transcripts/0%20-%20Government/USA%20-%20NASA%20Johnson/2015 11 18 - NASA Johnson - Benefits for Humanity  Space is Our Business_NecjpG1NVac - transcript (automated).pdf","Transcript Link")</f>
        <v>Transcript Link</v>
      </c>
    </row>
    <row r="1213" ht="180" spans="1:13">
      <c r="A1213" s="1" t="s">
        <v>5360</v>
      </c>
      <c r="B1213" s="1" t="s">
        <v>13</v>
      </c>
      <c r="C1213" s="4" t="s">
        <v>5361</v>
      </c>
      <c r="D1213" s="1" t="s">
        <v>5362</v>
      </c>
      <c r="E1213" s="1" t="s">
        <v>4931</v>
      </c>
      <c r="F1213" s="4" t="s">
        <v>17</v>
      </c>
      <c r="G1213" s="1" t="s">
        <v>18</v>
      </c>
      <c r="H1213" s="1" t="s">
        <v>19</v>
      </c>
      <c r="I1213" s="1" t="s">
        <v>20</v>
      </c>
      <c r="J1213" s="1" t="s">
        <v>5363</v>
      </c>
      <c r="K1213" s="1" t="s">
        <v>22</v>
      </c>
      <c r="L1213" s="1" t="str">
        <f>HYPERLINK("https://files.afu.se/Downloads/Transcripts/0%20-%20Government/USA%20-%20NASA%20Johnson/2015 11 13 - NASA Johnson - Space to Ground  Tanks Up  11 13 2015_tQ_eK5q2q0w - transcript (automated).pdf","Transcript Link")</f>
        <v>Transcript Link</v>
      </c>
      <c r="M1213" s="2" t="str">
        <f>HYPERLINK("https://files.afu.se/Downloads/Transcripts/0%20-%20Government/USA%20-%20NASA%20Johnson/2015 11 13 - NASA Johnson - Space to Ground  Tanks Up  11 13 2015_tQ_eK5q2q0w - transcript (automated).pdf","Transcript Link")</f>
        <v>Transcript Link</v>
      </c>
    </row>
    <row r="1214" ht="315" spans="1:13">
      <c r="A1214" s="1" t="s">
        <v>5364</v>
      </c>
      <c r="B1214" s="1" t="s">
        <v>13</v>
      </c>
      <c r="C1214" s="4" t="s">
        <v>5365</v>
      </c>
      <c r="D1214" s="1" t="s">
        <v>5366</v>
      </c>
      <c r="E1214" s="1" t="s">
        <v>5367</v>
      </c>
      <c r="F1214" s="4" t="s">
        <v>17</v>
      </c>
      <c r="G1214" s="1" t="s">
        <v>18</v>
      </c>
      <c r="H1214" s="1" t="s">
        <v>19</v>
      </c>
      <c r="I1214" s="1" t="s">
        <v>20</v>
      </c>
      <c r="J1214" s="1" t="s">
        <v>5368</v>
      </c>
      <c r="K1214" s="1" t="s">
        <v>22</v>
      </c>
      <c r="L1214" s="1" t="str">
        <f>HYPERLINK("https://files.afu.se/Downloads/Transcripts/0%20-%20Government/USA%20-%20NASA%20Johnson/2015 11 12 - NASA Johnson - Space Station Live  We’ll Get Back to You_BpCgHsYaA8U - transcript (automated).pdf","Transcript Link")</f>
        <v>Transcript Link</v>
      </c>
      <c r="M1214" s="2" t="str">
        <f>HYPERLINK("https://files.afu.se/Downloads/Transcripts/0%20-%20Government/USA%20-%20NASA%20Johnson/2015 11 12 - NASA Johnson - Space Station Live  We’ll Get Back to You_BpCgHsYaA8U - transcript (automated).pdf","Transcript Link")</f>
        <v>Transcript Link</v>
      </c>
    </row>
    <row r="1215" ht="210" spans="1:13">
      <c r="A1215" s="1" t="s">
        <v>5364</v>
      </c>
      <c r="B1215" s="1" t="s">
        <v>13</v>
      </c>
      <c r="C1215" s="4" t="s">
        <v>5369</v>
      </c>
      <c r="D1215" s="1" t="s">
        <v>5370</v>
      </c>
      <c r="E1215" s="1" t="s">
        <v>5371</v>
      </c>
      <c r="F1215" s="4" t="s">
        <v>17</v>
      </c>
      <c r="G1215" s="1" t="s">
        <v>18</v>
      </c>
      <c r="H1215" s="1" t="s">
        <v>19</v>
      </c>
      <c r="I1215" s="1" t="s">
        <v>20</v>
      </c>
      <c r="J1215" s="1" t="s">
        <v>5372</v>
      </c>
      <c r="K1215" s="1" t="s">
        <v>22</v>
      </c>
      <c r="L1215" s="1" t="str">
        <f>HYPERLINK("https://files.afu.se/Downloads/Transcripts/0%20-%20Government/USA%20-%20NASA%20Johnson/2015 11 12 - NASA Johnson - NASA astronaut Kjell Lindgren plays Amazing Grace on the bagpipes_7DWzmq9e0Lw - transcript (automated).pdf","Transcript Link")</f>
        <v>Transcript Link</v>
      </c>
      <c r="M1215" s="2" t="str">
        <f>HYPERLINK("https://files.afu.se/Downloads/Transcripts/0%20-%20Government/USA%20-%20NASA%20Johnson/2015 11 12 - NASA Johnson - NASA astronaut Kjell Lindgren plays Amazing Grace on the bagpipes_7DWzmq9e0Lw - transcript (automated).pdf","Transcript Link")</f>
        <v>Transcript Link</v>
      </c>
    </row>
    <row r="1216" ht="300" spans="1:13">
      <c r="A1216" s="1" t="s">
        <v>5373</v>
      </c>
      <c r="B1216" s="1" t="s">
        <v>13</v>
      </c>
      <c r="C1216" s="4" t="s">
        <v>5374</v>
      </c>
      <c r="D1216" s="1" t="s">
        <v>5375</v>
      </c>
      <c r="E1216" s="1" t="s">
        <v>5376</v>
      </c>
      <c r="F1216" s="4" t="s">
        <v>17</v>
      </c>
      <c r="G1216" s="1" t="s">
        <v>18</v>
      </c>
      <c r="H1216" s="1" t="s">
        <v>19</v>
      </c>
      <c r="I1216" s="1" t="s">
        <v>20</v>
      </c>
      <c r="J1216" s="1" t="s">
        <v>5377</v>
      </c>
      <c r="K1216" s="1" t="s">
        <v>22</v>
      </c>
      <c r="L1216" s="1" t="str">
        <f>HYPERLINK("https://files.afu.se/Downloads/Transcripts/0%20-%20Government/USA%20-%20NASA%20Johnson/2015 11 10 - NASA Johnson - Space Station Live  The Science of Slosh_LrobW07DFk8 - transcript (automated).pdf","Transcript Link")</f>
        <v>Transcript Link</v>
      </c>
      <c r="M1216" s="2" t="str">
        <f>HYPERLINK("https://files.afu.se/Downloads/Transcripts/0%20-%20Government/USA%20-%20NASA%20Johnson/2015 11 10 - NASA Johnson - Space Station Live  The Science of Slosh_LrobW07DFk8 - transcript (automated).pdf","Transcript Link")</f>
        <v>Transcript Link</v>
      </c>
    </row>
    <row r="1217" ht="409.5" spans="1:13">
      <c r="A1217" s="1" t="s">
        <v>5373</v>
      </c>
      <c r="B1217" s="1" t="s">
        <v>13</v>
      </c>
      <c r="C1217" s="4" t="s">
        <v>5378</v>
      </c>
      <c r="D1217" s="1" t="s">
        <v>5379</v>
      </c>
      <c r="E1217" s="1" t="s">
        <v>5380</v>
      </c>
      <c r="F1217" s="4" t="s">
        <v>17</v>
      </c>
      <c r="G1217" s="1" t="s">
        <v>18</v>
      </c>
      <c r="H1217" s="1" t="s">
        <v>19</v>
      </c>
      <c r="I1217" s="1" t="s">
        <v>20</v>
      </c>
      <c r="J1217" s="1" t="s">
        <v>5381</v>
      </c>
      <c r="K1217" s="1" t="s">
        <v>22</v>
      </c>
      <c r="L1217" s="1" t="str">
        <f>HYPERLINK("https://files.afu.se/Downloads/Transcripts/0%20-%20Government/USA%20-%20NASA%20Johnson/2015 11 10 - NASA Johnson - Benefits for Humanity  A Snapshot of Earth_cm3sN-wpLpE - transcript (automated).pdf","Transcript Link")</f>
        <v>Transcript Link</v>
      </c>
      <c r="M1217" s="2" t="str">
        <f>HYPERLINK("https://files.afu.se/Downloads/Transcripts/0%20-%20Government/USA%20-%20NASA%20Johnson/2015 11 10 - NASA Johnson - Benefits for Humanity  A Snapshot of Earth_cm3sN-wpLpE - transcript (automated).pdf","Transcript Link")</f>
        <v>Transcript Link</v>
      </c>
    </row>
    <row r="1218" ht="195" spans="1:13">
      <c r="A1218" s="1" t="s">
        <v>5382</v>
      </c>
      <c r="B1218" s="1" t="s">
        <v>13</v>
      </c>
      <c r="C1218" s="4" t="s">
        <v>5383</v>
      </c>
      <c r="D1218" s="1" t="s">
        <v>5384</v>
      </c>
      <c r="E1218" s="1" t="s">
        <v>5385</v>
      </c>
      <c r="F1218" s="4" t="s">
        <v>17</v>
      </c>
      <c r="G1218" s="1" t="s">
        <v>18</v>
      </c>
      <c r="H1218" s="1" t="s">
        <v>19</v>
      </c>
      <c r="I1218" s="1" t="s">
        <v>20</v>
      </c>
      <c r="J1218" s="1" t="s">
        <v>5386</v>
      </c>
      <c r="K1218" s="1" t="s">
        <v>22</v>
      </c>
      <c r="L1218" s="1" t="str">
        <f>HYPERLINK("https://files.afu.se/Downloads/Transcripts/0%20-%20Government/USA%20-%20NASA%20Johnson/2015 11 09 - NASA Johnson - Orion Backstage Episode 4  Oliver Juckenhöfel_K1O4kqprsX8 - transcript (automated).pdf","Transcript Link")</f>
        <v>Transcript Link</v>
      </c>
      <c r="M1218" s="2" t="str">
        <f>HYPERLINK("https://files.afu.se/Downloads/Transcripts/0%20-%20Government/USA%20-%20NASA%20Johnson/2015 11 09 - NASA Johnson - Orion Backstage Episode 4  Oliver Juckenhöfel_K1O4kqprsX8 - transcript (automated).pdf","Transcript Link")</f>
        <v>Transcript Link</v>
      </c>
    </row>
    <row r="1219" ht="180" spans="1:13">
      <c r="A1219" s="1" t="s">
        <v>5387</v>
      </c>
      <c r="B1219" s="1" t="s">
        <v>13</v>
      </c>
      <c r="C1219" s="4" t="s">
        <v>5388</v>
      </c>
      <c r="D1219" s="1" t="s">
        <v>5389</v>
      </c>
      <c r="E1219" s="1" t="s">
        <v>5059</v>
      </c>
      <c r="F1219" s="4" t="s">
        <v>17</v>
      </c>
      <c r="G1219" s="1" t="s">
        <v>18</v>
      </c>
      <c r="H1219" s="1" t="s">
        <v>19</v>
      </c>
      <c r="I1219" s="1" t="s">
        <v>20</v>
      </c>
      <c r="J1219" s="1" t="s">
        <v>5390</v>
      </c>
      <c r="K1219" s="1" t="s">
        <v>22</v>
      </c>
      <c r="L1219" s="1" t="str">
        <f>HYPERLINK("https://files.afu.se/Downloads/Transcripts/0%20-%20Government/USA%20-%20NASA%20Johnson/2015 11 06 - NASA Johnson - Space to Ground  Happy Anniversary  11 06 2015_69eIsLTZ3uQ - transcript (automated).pdf","Transcript Link")</f>
        <v>Transcript Link</v>
      </c>
      <c r="M1219" s="2" t="str">
        <f>HYPERLINK("https://files.afu.se/Downloads/Transcripts/0%20-%20Government/USA%20-%20NASA%20Johnson/2015 11 06 - NASA Johnson - Space to Ground  Happy Anniversary  11 06 2015_69eIsLTZ3uQ - transcript (automated).pdf","Transcript Link")</f>
        <v>Transcript Link</v>
      </c>
    </row>
    <row r="1220" ht="180" spans="1:13">
      <c r="A1220" s="1" t="s">
        <v>5391</v>
      </c>
      <c r="B1220" s="1" t="s">
        <v>13</v>
      </c>
      <c r="C1220" s="4" t="s">
        <v>5392</v>
      </c>
      <c r="D1220" s="1" t="s">
        <v>5393</v>
      </c>
      <c r="E1220" s="1" t="s">
        <v>5394</v>
      </c>
      <c r="F1220" s="4" t="s">
        <v>17</v>
      </c>
      <c r="G1220" s="1" t="s">
        <v>18</v>
      </c>
      <c r="H1220" s="1" t="s">
        <v>19</v>
      </c>
      <c r="I1220" s="1" t="s">
        <v>20</v>
      </c>
      <c r="J1220" s="1" t="s">
        <v>5395</v>
      </c>
      <c r="K1220" s="1" t="s">
        <v>22</v>
      </c>
      <c r="L1220" s="1" t="str">
        <f>HYPERLINK("https://files.afu.se/Downloads/Transcripts/0%20-%20Government/USA%20-%20NASA%20Johnson/2015 11 04 - NASA Johnson - Monthly ISS Research Video Update for November 2015_Qe3DZQAQfcA - transcript (automated).pdf","Transcript Link")</f>
        <v>Transcript Link</v>
      </c>
      <c r="M1220" s="2" t="str">
        <f>HYPERLINK("https://files.afu.se/Downloads/Transcripts/0%20-%20Government/USA%20-%20NASA%20Johnson/2015 11 04 - NASA Johnson - Monthly ISS Research Video Update for November 2015_Qe3DZQAQfcA - transcript (automated).pdf","Transcript Link")</f>
        <v>Transcript Link</v>
      </c>
    </row>
    <row r="1221" ht="285" spans="1:13">
      <c r="A1221" s="1" t="s">
        <v>5391</v>
      </c>
      <c r="B1221" s="1" t="s">
        <v>13</v>
      </c>
      <c r="C1221" s="4" t="s">
        <v>5396</v>
      </c>
      <c r="D1221" s="1" t="s">
        <v>5397</v>
      </c>
      <c r="E1221" s="1" t="s">
        <v>5398</v>
      </c>
      <c r="F1221" s="4" t="s">
        <v>17</v>
      </c>
      <c r="G1221" s="1" t="s">
        <v>18</v>
      </c>
      <c r="H1221" s="1" t="s">
        <v>19</v>
      </c>
      <c r="I1221" s="1" t="s">
        <v>20</v>
      </c>
      <c r="J1221" s="1" t="s">
        <v>5399</v>
      </c>
      <c r="K1221" s="1" t="s">
        <v>22</v>
      </c>
      <c r="L1221" s="1" t="str">
        <f>HYPERLINK("https://files.afu.se/Downloads/Transcripts/0%20-%20Government/USA%20-%20NASA%20Johnson/2015 11 04 - NASA Johnson - Space Station Live  15 Years of Science Ops_izSYMrnDESY - transcript (automated).pdf","Transcript Link")</f>
        <v>Transcript Link</v>
      </c>
      <c r="M1221" s="2" t="str">
        <f>HYPERLINK("https://files.afu.se/Downloads/Transcripts/0%20-%20Government/USA%20-%20NASA%20Johnson/2015 11 04 - NASA Johnson - Space Station Live  15 Years of Science Ops_izSYMrnDESY - transcript (automated).pdf","Transcript Link")</f>
        <v>Transcript Link</v>
      </c>
    </row>
    <row r="1222" ht="270" spans="1:13">
      <c r="A1222" s="1" t="s">
        <v>5400</v>
      </c>
      <c r="B1222" s="1" t="s">
        <v>13</v>
      </c>
      <c r="C1222" s="4" t="s">
        <v>5401</v>
      </c>
      <c r="D1222" s="1" t="s">
        <v>5402</v>
      </c>
      <c r="E1222" s="1" t="s">
        <v>5403</v>
      </c>
      <c r="F1222" s="4" t="s">
        <v>17</v>
      </c>
      <c r="G1222" s="1" t="s">
        <v>18</v>
      </c>
      <c r="H1222" s="1" t="s">
        <v>19</v>
      </c>
      <c r="I1222" s="1" t="s">
        <v>20</v>
      </c>
      <c r="J1222" s="1" t="s">
        <v>5404</v>
      </c>
      <c r="K1222" s="1" t="s">
        <v>22</v>
      </c>
      <c r="L1222" s="1" t="str">
        <f>HYPERLINK("https://files.afu.se/Downloads/Transcripts/0%20-%20Government/USA%20-%20NASA%20Johnson/2015 11 02 - NASA Johnson - Space Station Live  Top Benefits from the First 15 Years_ObF0zVyQ_Xo - transcript (automated).pdf","Transcript Link")</f>
        <v>Transcript Link</v>
      </c>
      <c r="M1222" s="2" t="str">
        <f>HYPERLINK("https://files.afu.se/Downloads/Transcripts/0%20-%20Government/USA%20-%20NASA%20Johnson/2015 11 02 - NASA Johnson - Space Station Live  Top Benefits from the First 15 Years_ObF0zVyQ_Xo - transcript (automated).pdf","Transcript Link")</f>
        <v>Transcript Link</v>
      </c>
    </row>
    <row r="1223" ht="270" spans="1:13">
      <c r="A1223" s="1" t="s">
        <v>5400</v>
      </c>
      <c r="B1223" s="1" t="s">
        <v>13</v>
      </c>
      <c r="C1223" s="4" t="s">
        <v>5405</v>
      </c>
      <c r="D1223" s="1" t="s">
        <v>5406</v>
      </c>
      <c r="E1223" s="1" t="s">
        <v>5407</v>
      </c>
      <c r="F1223" s="4" t="s">
        <v>17</v>
      </c>
      <c r="G1223" s="1" t="s">
        <v>18</v>
      </c>
      <c r="H1223" s="1" t="s">
        <v>19</v>
      </c>
      <c r="I1223" s="1" t="s">
        <v>20</v>
      </c>
      <c r="J1223" s="1" t="s">
        <v>5408</v>
      </c>
      <c r="K1223" s="1" t="s">
        <v>22</v>
      </c>
      <c r="L1223" s="1" t="str">
        <f>HYPERLINK("https://files.afu.se/Downloads/Transcripts/0%20-%20Government/USA%20-%20NASA%20Johnson/2015 11 02 - NASA Johnson - StationLIFE  International Partnerships and Commercialization – November_zK-Rw_6SX_M - transcript (automated).pdf","Transcript Link")</f>
        <v>Transcript Link</v>
      </c>
      <c r="M1223" s="2" t="str">
        <f>HYPERLINK("https://files.afu.se/Downloads/Transcripts/0%20-%20Government/USA%20-%20NASA%20Johnson/2015 11 02 - NASA Johnson - StationLIFE  International Partnerships and Commercialization – November_zK-Rw_6SX_M - transcript (automated).pdf","Transcript Link")</f>
        <v>Transcript Link</v>
      </c>
    </row>
    <row r="1224" ht="409.5" spans="1:13">
      <c r="A1224" s="1" t="s">
        <v>5400</v>
      </c>
      <c r="B1224" s="1" t="s">
        <v>13</v>
      </c>
      <c r="C1224" s="4" t="s">
        <v>5409</v>
      </c>
      <c r="D1224" s="1" t="s">
        <v>5410</v>
      </c>
      <c r="E1224" s="1" t="s">
        <v>5411</v>
      </c>
      <c r="F1224" s="4" t="s">
        <v>17</v>
      </c>
      <c r="G1224" s="1" t="s">
        <v>18</v>
      </c>
      <c r="H1224" s="1" t="s">
        <v>19</v>
      </c>
      <c r="I1224" s="1" t="s">
        <v>20</v>
      </c>
      <c r="J1224" s="1" t="s">
        <v>5412</v>
      </c>
      <c r="K1224" s="1" t="s">
        <v>22</v>
      </c>
      <c r="L1224" s="1" t="str">
        <f>HYPERLINK("https://files.afu.se/Downloads/Transcripts/0%20-%20Government/USA%20-%20NASA%20Johnson/2015 11 02 - NASA Johnson - The International Space Station  A Musical_4wRixEZWem8 - transcript (automated).pdf","Transcript Link")</f>
        <v>Transcript Link</v>
      </c>
      <c r="M1224" s="2" t="str">
        <f>HYPERLINK("https://files.afu.se/Downloads/Transcripts/0%20-%20Government/USA%20-%20NASA%20Johnson/2015 11 02 - NASA Johnson - The International Space Station  A Musical_4wRixEZWem8 - transcript (automated).pdf","Transcript Link")</f>
        <v>Transcript Link</v>
      </c>
    </row>
    <row r="1225" ht="180" spans="1:13">
      <c r="A1225" s="1" t="s">
        <v>5413</v>
      </c>
      <c r="B1225" s="1" t="s">
        <v>13</v>
      </c>
      <c r="C1225" s="4" t="s">
        <v>5414</v>
      </c>
      <c r="D1225" s="1" t="s">
        <v>5415</v>
      </c>
      <c r="E1225" s="1" t="s">
        <v>5416</v>
      </c>
      <c r="F1225" s="4" t="s">
        <v>17</v>
      </c>
      <c r="G1225" s="1" t="s">
        <v>18</v>
      </c>
      <c r="H1225" s="1" t="s">
        <v>19</v>
      </c>
      <c r="I1225" s="1" t="s">
        <v>20</v>
      </c>
      <c r="J1225" s="1" t="s">
        <v>5417</v>
      </c>
      <c r="K1225" s="1" t="s">
        <v>22</v>
      </c>
      <c r="L1225" s="1" t="str">
        <f>HYPERLINK("https://files.afu.se/Downloads/Transcripts/0%20-%20Government/USA%20-%20NASA%20Johnson/2015 10 30 - NASA Johnson - Spacewalk Airlock Training_Dp8M9r8m4_c - transcript (automated).pdf","Transcript Link")</f>
        <v>Transcript Link</v>
      </c>
      <c r="M1225" s="2" t="str">
        <f>HYPERLINK("https://files.afu.se/Downloads/Transcripts/0%20-%20Government/USA%20-%20NASA%20Johnson/2015 10 30 - NASA Johnson - Spacewalk Airlock Training_Dp8M9r8m4_c - transcript (automated).pdf","Transcript Link")</f>
        <v>Transcript Link</v>
      </c>
    </row>
    <row r="1226" ht="180" spans="1:13">
      <c r="A1226" s="1" t="s">
        <v>5413</v>
      </c>
      <c r="B1226" s="1" t="s">
        <v>13</v>
      </c>
      <c r="C1226" s="4" t="s">
        <v>5418</v>
      </c>
      <c r="D1226" s="1" t="s">
        <v>5419</v>
      </c>
      <c r="E1226" s="1" t="s">
        <v>5420</v>
      </c>
      <c r="F1226" s="4" t="s">
        <v>17</v>
      </c>
      <c r="G1226" s="1" t="s">
        <v>18</v>
      </c>
      <c r="H1226" s="1" t="s">
        <v>19</v>
      </c>
      <c r="I1226" s="1" t="s">
        <v>20</v>
      </c>
      <c r="J1226" s="1" t="s">
        <v>5421</v>
      </c>
      <c r="K1226" s="1" t="s">
        <v>22</v>
      </c>
      <c r="L1226" s="1" t="str">
        <f>HYPERLINK("https://files.afu.se/Downloads/Transcripts/0%20-%20Government/USA%20-%20NASA%20Johnson/2015 10 30 - NASA Johnson - Space to Ground  Home Improvements  10 30 2015_Qk2xoT_E8Uc - transcript (automated).pdf","Transcript Link")</f>
        <v>Transcript Link</v>
      </c>
      <c r="M1226" s="2" t="str">
        <f>HYPERLINK("https://files.afu.se/Downloads/Transcripts/0%20-%20Government/USA%20-%20NASA%20Johnson/2015 10 30 - NASA Johnson - Space to Ground  Home Improvements  10 30 2015_Qk2xoT_E8Uc - transcript (automated).pdf","Transcript Link")</f>
        <v>Transcript Link</v>
      </c>
    </row>
    <row r="1227" ht="300" spans="1:13">
      <c r="A1227" s="1" t="s">
        <v>5422</v>
      </c>
      <c r="B1227" s="1" t="s">
        <v>13</v>
      </c>
      <c r="C1227" s="4" t="s">
        <v>5423</v>
      </c>
      <c r="D1227" s="1" t="s">
        <v>5424</v>
      </c>
      <c r="E1227" s="1" t="s">
        <v>5425</v>
      </c>
      <c r="F1227" s="4" t="s">
        <v>17</v>
      </c>
      <c r="G1227" s="1" t="s">
        <v>18</v>
      </c>
      <c r="H1227" s="1" t="s">
        <v>19</v>
      </c>
      <c r="I1227" s="1" t="s">
        <v>20</v>
      </c>
      <c r="J1227" s="1" t="s">
        <v>5426</v>
      </c>
      <c r="K1227" s="1" t="s">
        <v>22</v>
      </c>
      <c r="L1227" s="1" t="str">
        <f>HYPERLINK("https://files.afu.se/Downloads/Transcripts/0%20-%20Government/USA%20-%20NASA%20Johnson/2015 10 29 - NASA Johnson - Space Station Live  Another American Record_317euw7huSU - transcript (automated).pdf","Transcript Link")</f>
        <v>Transcript Link</v>
      </c>
      <c r="M1227" s="2" t="str">
        <f>HYPERLINK("https://files.afu.se/Downloads/Transcripts/0%20-%20Government/USA%20-%20NASA%20Johnson/2015 10 29 - NASA Johnson - Space Station Live  Another American Record_317euw7huSU - transcript (automated).pdf","Transcript Link")</f>
        <v>Transcript Link</v>
      </c>
    </row>
    <row r="1228" ht="180" spans="1:13">
      <c r="A1228" s="1" t="s">
        <v>5427</v>
      </c>
      <c r="B1228" s="1" t="s">
        <v>13</v>
      </c>
      <c r="C1228" s="4" t="s">
        <v>5428</v>
      </c>
      <c r="D1228" s="1" t="s">
        <v>5429</v>
      </c>
      <c r="E1228" s="1" t="s">
        <v>5430</v>
      </c>
      <c r="F1228" s="4" t="s">
        <v>17</v>
      </c>
      <c r="G1228" s="1" t="s">
        <v>18</v>
      </c>
      <c r="H1228" s="1" t="s">
        <v>19</v>
      </c>
      <c r="I1228" s="1" t="s">
        <v>20</v>
      </c>
      <c r="J1228" s="1" t="s">
        <v>5431</v>
      </c>
      <c r="K1228" s="1" t="s">
        <v>22</v>
      </c>
      <c r="L1228" s="1" t="str">
        <f>HYPERLINK("https://files.afu.se/Downloads/Transcripts/0%20-%20Government/USA%20-%20NASA%20Johnson/2015 10 26 - NASA Johnson - 3D Animation of Nov. 6 Spacewalk Activities_G9Ojp4B-iys - transcript (automated).pdf","Transcript Link")</f>
        <v>Transcript Link</v>
      </c>
      <c r="M1228" s="2" t="str">
        <f>HYPERLINK("https://files.afu.se/Downloads/Transcripts/0%20-%20Government/USA%20-%20NASA%20Johnson/2015 10 26 - NASA Johnson - 3D Animation of Nov. 6 Spacewalk Activities_G9Ojp4B-iys - transcript (automated).pdf","Transcript Link")</f>
        <v>Transcript Link</v>
      </c>
    </row>
    <row r="1229" ht="180" spans="1:13">
      <c r="A1229" s="1" t="s">
        <v>5427</v>
      </c>
      <c r="B1229" s="1" t="s">
        <v>13</v>
      </c>
      <c r="C1229" s="4" t="s">
        <v>5432</v>
      </c>
      <c r="D1229" s="1" t="s">
        <v>5433</v>
      </c>
      <c r="E1229" s="1" t="s">
        <v>5434</v>
      </c>
      <c r="F1229" s="4" t="s">
        <v>17</v>
      </c>
      <c r="G1229" s="1" t="s">
        <v>18</v>
      </c>
      <c r="H1229" s="1" t="s">
        <v>19</v>
      </c>
      <c r="I1229" s="1" t="s">
        <v>20</v>
      </c>
      <c r="J1229" s="1" t="s">
        <v>5435</v>
      </c>
      <c r="K1229" s="1" t="s">
        <v>22</v>
      </c>
      <c r="L1229" s="1" t="str">
        <f>HYPERLINK("https://files.afu.se/Downloads/Transcripts/0%20-%20Government/USA%20-%20NASA%20Johnson/2015 10 26 - NASA Johnson - 3D Animation of Oct. 28 Spacewalk Activities_uezBWff0wK8 - transcript (automated).pdf","Transcript Link")</f>
        <v>Transcript Link</v>
      </c>
      <c r="M1229" s="2" t="str">
        <f>HYPERLINK("https://files.afu.se/Downloads/Transcripts/0%20-%20Government/USA%20-%20NASA%20Johnson/2015 10 26 - NASA Johnson - 3D Animation of Oct. 28 Spacewalk Activities_uezBWff0wK8 - transcript (automated).pdf","Transcript Link")</f>
        <v>Transcript Link</v>
      </c>
    </row>
    <row r="1230" ht="180" spans="1:13">
      <c r="A1230" s="1" t="s">
        <v>5436</v>
      </c>
      <c r="B1230" s="1" t="s">
        <v>13</v>
      </c>
      <c r="C1230" s="4" t="s">
        <v>5437</v>
      </c>
      <c r="D1230" s="1" t="s">
        <v>5438</v>
      </c>
      <c r="E1230" s="1" t="s">
        <v>5439</v>
      </c>
      <c r="F1230" s="4" t="s">
        <v>17</v>
      </c>
      <c r="G1230" s="1" t="s">
        <v>18</v>
      </c>
      <c r="H1230" s="1" t="s">
        <v>19</v>
      </c>
      <c r="I1230" s="1" t="s">
        <v>20</v>
      </c>
      <c r="J1230" s="1" t="s">
        <v>5440</v>
      </c>
      <c r="K1230" s="1" t="s">
        <v>22</v>
      </c>
      <c r="L1230" s="1" t="str">
        <f>HYPERLINK("https://files.afu.se/Downloads/Transcripts/0%20-%20Government/USA%20-%20NASA%20Johnson/2015 10 25 - NASA Johnson - Hurricane Patricia off the West Coast of Mexico_dHgBYA4gEnQ - transcript (automated).pdf","Transcript Link")</f>
        <v>Transcript Link</v>
      </c>
      <c r="M1230" s="2" t="str">
        <f>HYPERLINK("https://files.afu.se/Downloads/Transcripts/0%20-%20Government/USA%20-%20NASA%20Johnson/2015 10 25 - NASA Johnson - Hurricane Patricia off the West Coast of Mexico_dHgBYA4gEnQ - transcript (automated).pdf","Transcript Link")</f>
        <v>Transcript Link</v>
      </c>
    </row>
    <row r="1231" ht="180" spans="1:13">
      <c r="A1231" s="1" t="s">
        <v>5441</v>
      </c>
      <c r="B1231" s="1" t="s">
        <v>13</v>
      </c>
      <c r="C1231" s="4" t="s">
        <v>5442</v>
      </c>
      <c r="D1231" s="1" t="s">
        <v>5443</v>
      </c>
      <c r="E1231" s="1" t="s">
        <v>4931</v>
      </c>
      <c r="F1231" s="4" t="s">
        <v>17</v>
      </c>
      <c r="G1231" s="1" t="s">
        <v>18</v>
      </c>
      <c r="H1231" s="1" t="s">
        <v>19</v>
      </c>
      <c r="I1231" s="1" t="s">
        <v>20</v>
      </c>
      <c r="J1231" s="1" t="s">
        <v>5444</v>
      </c>
      <c r="K1231" s="1" t="s">
        <v>22</v>
      </c>
      <c r="L1231" s="1" t="str">
        <f>HYPERLINK("https://files.afu.se/Downloads/Transcripts/0%20-%20Government/USA%20-%20NASA%20Johnson/2015 10 23 - NASA Johnson - Space to Ground  Station Sleep  10 23 2015_pd7A-k7ic5Q - transcript (automated).pdf","Transcript Link")</f>
        <v>Transcript Link</v>
      </c>
      <c r="M1231" s="2" t="str">
        <f>HYPERLINK("https://files.afu.se/Downloads/Transcripts/0%20-%20Government/USA%20-%20NASA%20Johnson/2015 10 23 - NASA Johnson - Space to Ground  Station Sleep  10 23 2015_pd7A-k7ic5Q - transcript (automated).pdf","Transcript Link")</f>
        <v>Transcript Link</v>
      </c>
    </row>
    <row r="1232" ht="255" spans="1:13">
      <c r="A1232" s="1" t="s">
        <v>5445</v>
      </c>
      <c r="B1232" s="1" t="s">
        <v>13</v>
      </c>
      <c r="C1232" s="4" t="s">
        <v>5446</v>
      </c>
      <c r="D1232" s="1" t="s">
        <v>5447</v>
      </c>
      <c r="E1232" s="1" t="s">
        <v>5448</v>
      </c>
      <c r="F1232" s="4" t="s">
        <v>17</v>
      </c>
      <c r="G1232" s="1" t="s">
        <v>18</v>
      </c>
      <c r="H1232" s="1" t="s">
        <v>19</v>
      </c>
      <c r="I1232" s="1" t="s">
        <v>20</v>
      </c>
      <c r="J1232" s="1" t="s">
        <v>5449</v>
      </c>
      <c r="K1232" s="1" t="s">
        <v>22</v>
      </c>
      <c r="L1232" s="1" t="str">
        <f>HYPERLINK("https://files.afu.se/Downloads/Transcripts/0%20-%20Government/USA%20-%20NASA%20Johnson/2015 10 21 - NASA Johnson - Space Station Live  Just the Stats, Ma’am_2FxNCh9dAKE - transcript (automated).pdf","Transcript Link")</f>
        <v>Transcript Link</v>
      </c>
      <c r="M1232" s="2" t="str">
        <f>HYPERLINK("https://files.afu.se/Downloads/Transcripts/0%20-%20Government/USA%20-%20NASA%20Johnson/2015 10 21 - NASA Johnson - Space Station Live  Just the Stats, Ma’am_2FxNCh9dAKE - transcript (automated).pdf","Transcript Link")</f>
        <v>Transcript Link</v>
      </c>
    </row>
    <row r="1233" ht="180" spans="1:13">
      <c r="A1233" s="1" t="s">
        <v>5450</v>
      </c>
      <c r="B1233" s="1" t="s">
        <v>13</v>
      </c>
      <c r="C1233" s="4" t="s">
        <v>5451</v>
      </c>
      <c r="D1233" s="1" t="s">
        <v>5452</v>
      </c>
      <c r="E1233" s="1" t="s">
        <v>5394</v>
      </c>
      <c r="F1233" s="4" t="s">
        <v>17</v>
      </c>
      <c r="G1233" s="1" t="s">
        <v>18</v>
      </c>
      <c r="H1233" s="1" t="s">
        <v>19</v>
      </c>
      <c r="I1233" s="1" t="s">
        <v>20</v>
      </c>
      <c r="J1233" s="1" t="s">
        <v>5453</v>
      </c>
      <c r="K1233" s="1" t="s">
        <v>22</v>
      </c>
      <c r="L1233" s="1" t="str">
        <f>HYPERLINK("https://files.afu.se/Downloads/Transcripts/0%20-%20Government/USA%20-%20NASA%20Johnson/2015 10 20 - NASA Johnson - Monthly ISS Research Video Update for October 2015_vsdOE7OJzJM - transcript (automated).pdf","Transcript Link")</f>
        <v>Transcript Link</v>
      </c>
      <c r="M1233" s="2" t="str">
        <f>HYPERLINK("https://files.afu.se/Downloads/Transcripts/0%20-%20Government/USA%20-%20NASA%20Johnson/2015 10 20 - NASA Johnson - Monthly ISS Research Video Update for October 2015_vsdOE7OJzJM - transcript (automated).pdf","Transcript Link")</f>
        <v>Transcript Link</v>
      </c>
    </row>
    <row r="1234" ht="300" spans="1:13">
      <c r="A1234" s="1" t="s">
        <v>5454</v>
      </c>
      <c r="B1234" s="1" t="s">
        <v>13</v>
      </c>
      <c r="C1234" s="4" t="s">
        <v>5455</v>
      </c>
      <c r="D1234" s="1" t="s">
        <v>5456</v>
      </c>
      <c r="E1234" s="1" t="s">
        <v>5457</v>
      </c>
      <c r="F1234" s="4" t="s">
        <v>17</v>
      </c>
      <c r="G1234" s="1" t="s">
        <v>18</v>
      </c>
      <c r="H1234" s="1" t="s">
        <v>19</v>
      </c>
      <c r="I1234" s="1" t="s">
        <v>20</v>
      </c>
      <c r="J1234" s="1" t="s">
        <v>5458</v>
      </c>
      <c r="K1234" s="1" t="s">
        <v>22</v>
      </c>
      <c r="L1234" s="1" t="str">
        <f>HYPERLINK("https://files.afu.se/Downloads/Transcripts/0%20-%20Government/USA%20-%20NASA%20Johnson/2015 10 19 - NASA Johnson - Space Station Live  Doing Science in Their Sleep_akq1bdn_dIY - transcript (automated).pdf","Transcript Link")</f>
        <v>Transcript Link</v>
      </c>
      <c r="M1234" s="2" t="str">
        <f>HYPERLINK("https://files.afu.se/Downloads/Transcripts/0%20-%20Government/USA%20-%20NASA%20Johnson/2015 10 19 - NASA Johnson - Space Station Live  Doing Science in Their Sleep_akq1bdn_dIY - transcript (automated).pdf","Transcript Link")</f>
        <v>Transcript Link</v>
      </c>
    </row>
    <row r="1235" ht="270" spans="1:13">
      <c r="A1235" s="1" t="s">
        <v>5459</v>
      </c>
      <c r="B1235" s="1" t="s">
        <v>13</v>
      </c>
      <c r="C1235" s="4" t="s">
        <v>5460</v>
      </c>
      <c r="D1235" s="1" t="s">
        <v>5461</v>
      </c>
      <c r="E1235" s="1" t="s">
        <v>5462</v>
      </c>
      <c r="F1235" s="4" t="s">
        <v>17</v>
      </c>
      <c r="G1235" s="1" t="s">
        <v>18</v>
      </c>
      <c r="H1235" s="1" t="s">
        <v>19</v>
      </c>
      <c r="I1235" s="1" t="s">
        <v>20</v>
      </c>
      <c r="J1235" s="1" t="s">
        <v>5463</v>
      </c>
      <c r="K1235" s="1" t="s">
        <v>22</v>
      </c>
      <c r="L1235" s="1" t="str">
        <f>HYPERLINK("https://files.afu.se/Downloads/Transcripts/0%20-%20Government/USA%20-%20NASA%20Johnson/2015 10 16 - NASA Johnson - Space Station Live  Fighting Cancer in Space_npkhnDBufRw - transcript (automated).pdf","Transcript Link")</f>
        <v>Transcript Link</v>
      </c>
      <c r="M1235" s="2" t="str">
        <f>HYPERLINK("https://files.afu.se/Downloads/Transcripts/0%20-%20Government/USA%20-%20NASA%20Johnson/2015 10 16 - NASA Johnson - Space Station Live  Fighting Cancer in Space_npkhnDBufRw - transcript (automated).pdf","Transcript Link")</f>
        <v>Transcript Link</v>
      </c>
    </row>
    <row r="1236" ht="409.5" spans="1:13">
      <c r="A1236" s="1" t="s">
        <v>5459</v>
      </c>
      <c r="B1236" s="1" t="s">
        <v>13</v>
      </c>
      <c r="C1236" s="4" t="s">
        <v>5464</v>
      </c>
      <c r="D1236" s="1" t="s">
        <v>5465</v>
      </c>
      <c r="E1236" s="1" t="s">
        <v>5466</v>
      </c>
      <c r="F1236" s="4" t="s">
        <v>17</v>
      </c>
      <c r="G1236" s="1" t="s">
        <v>18</v>
      </c>
      <c r="H1236" s="1" t="s">
        <v>19</v>
      </c>
      <c r="I1236" s="1" t="s">
        <v>20</v>
      </c>
      <c r="J1236" s="1" t="s">
        <v>5467</v>
      </c>
      <c r="K1236" s="1" t="s">
        <v>22</v>
      </c>
      <c r="L1236" s="1" t="str">
        <f>HYPERLINK("https://files.afu.se/Downloads/Transcripts/0%20-%20Government/USA%20-%20NASA%20Johnson/2015 10 16 - NASA Johnson - Speed of Sound_Y4d2WfjGMqU - transcript (automated).pdf","Transcript Link")</f>
        <v>Transcript Link</v>
      </c>
      <c r="M1236" s="2" t="str">
        <f>HYPERLINK("https://files.afu.se/Downloads/Transcripts/0%20-%20Government/USA%20-%20NASA%20Johnson/2015 10 16 - NASA Johnson - Speed of Sound_Y4d2WfjGMqU - transcript (automated).pdf","Transcript Link")</f>
        <v>Transcript Link</v>
      </c>
    </row>
    <row r="1237" ht="180" spans="1:13">
      <c r="A1237" s="1" t="s">
        <v>5459</v>
      </c>
      <c r="B1237" s="1" t="s">
        <v>13</v>
      </c>
      <c r="C1237" s="4" t="s">
        <v>5468</v>
      </c>
      <c r="D1237" s="1" t="s">
        <v>5469</v>
      </c>
      <c r="E1237" s="1" t="s">
        <v>5470</v>
      </c>
      <c r="F1237" s="4" t="s">
        <v>17</v>
      </c>
      <c r="G1237" s="1" t="s">
        <v>18</v>
      </c>
      <c r="H1237" s="1" t="s">
        <v>19</v>
      </c>
      <c r="I1237" s="1" t="s">
        <v>20</v>
      </c>
      <c r="J1237" s="1" t="s">
        <v>5471</v>
      </c>
      <c r="K1237" s="1" t="s">
        <v>22</v>
      </c>
      <c r="L1237" s="1" t="str">
        <f>HYPERLINK("https://files.afu.se/Downloads/Transcripts/0%20-%20Government/USA%20-%20NASA%20Johnson/2015 10 16 - NASA Johnson - Space to Ground  Spacewalk Preps  10 16 2015_49wKRx05Rtg - transcript (automated).pdf","Transcript Link")</f>
        <v>Transcript Link</v>
      </c>
      <c r="M1237" s="2" t="str">
        <f>HYPERLINK("https://files.afu.se/Downloads/Transcripts/0%20-%20Government/USA%20-%20NASA%20Johnson/2015 10 16 - NASA Johnson - Space to Ground  Spacewalk Preps  10 16 2015_49wKRx05Rtg - transcript (automated).pdf","Transcript Link")</f>
        <v>Transcript Link</v>
      </c>
    </row>
    <row r="1238" ht="315" spans="1:13">
      <c r="A1238" s="1" t="s">
        <v>5472</v>
      </c>
      <c r="B1238" s="1" t="s">
        <v>13</v>
      </c>
      <c r="C1238" s="4" t="s">
        <v>5473</v>
      </c>
      <c r="D1238" s="1" t="s">
        <v>5474</v>
      </c>
      <c r="E1238" s="1" t="s">
        <v>5475</v>
      </c>
      <c r="F1238" s="4" t="s">
        <v>17</v>
      </c>
      <c r="G1238" s="1" t="s">
        <v>18</v>
      </c>
      <c r="H1238" s="1" t="s">
        <v>19</v>
      </c>
      <c r="I1238" s="1" t="s">
        <v>20</v>
      </c>
      <c r="J1238" s="1" t="s">
        <v>5476</v>
      </c>
      <c r="K1238" s="1" t="s">
        <v>22</v>
      </c>
      <c r="L1238" s="1" t="str">
        <f>HYPERLINK("https://files.afu.se/Downloads/Transcripts/0%20-%20Government/USA%20-%20NASA%20Johnson/2015 10 15 - NASA Johnson - The Human Challenges of Mars  Stress_tioUzyhs6a4 - transcript (automated).pdf","Transcript Link")</f>
        <v>Transcript Link</v>
      </c>
      <c r="M1238" s="2" t="str">
        <f>HYPERLINK("https://files.afu.se/Downloads/Transcripts/0%20-%20Government/USA%20-%20NASA%20Johnson/2015 10 15 - NASA Johnson - The Human Challenges of Mars  Stress_tioUzyhs6a4 - transcript (automated).pdf","Transcript Link")</f>
        <v>Transcript Link</v>
      </c>
    </row>
    <row r="1239" ht="255" spans="1:13">
      <c r="A1239" s="1" t="s">
        <v>5477</v>
      </c>
      <c r="B1239" s="1" t="s">
        <v>13</v>
      </c>
      <c r="C1239" s="4" t="s">
        <v>5478</v>
      </c>
      <c r="D1239" s="1" t="s">
        <v>5479</v>
      </c>
      <c r="E1239" s="1" t="s">
        <v>5480</v>
      </c>
      <c r="F1239" s="4" t="s">
        <v>17</v>
      </c>
      <c r="G1239" s="1" t="s">
        <v>18</v>
      </c>
      <c r="H1239" s="1" t="s">
        <v>19</v>
      </c>
      <c r="I1239" s="1" t="s">
        <v>20</v>
      </c>
      <c r="J1239" s="1" t="s">
        <v>5481</v>
      </c>
      <c r="K1239" s="1" t="s">
        <v>22</v>
      </c>
      <c r="L1239" s="1" t="str">
        <f>HYPERLINK("https://files.afu.se/Downloads/Transcripts/0%20-%20Government/USA%20-%20NASA%20Johnson/2015 10 14 - NASA Johnson - Space Station Live  The Space Inside the Station_BPvEAWWRfGs - transcript (automated).pdf","Transcript Link")</f>
        <v>Transcript Link</v>
      </c>
      <c r="M1239" s="2" t="str">
        <f>HYPERLINK("https://files.afu.se/Downloads/Transcripts/0%20-%20Government/USA%20-%20NASA%20Johnson/2015 10 14 - NASA Johnson - Space Station Live  The Space Inside the Station_BPvEAWWRfGs - transcript (automated).pdf","Transcript Link")</f>
        <v>Transcript Link</v>
      </c>
    </row>
    <row r="1240" ht="180" spans="1:13">
      <c r="A1240" s="1" t="s">
        <v>5477</v>
      </c>
      <c r="B1240" s="1" t="s">
        <v>13</v>
      </c>
      <c r="C1240" s="4" t="s">
        <v>5482</v>
      </c>
      <c r="D1240" s="1" t="s">
        <v>5483</v>
      </c>
      <c r="E1240" s="1" t="s">
        <v>5484</v>
      </c>
      <c r="F1240" s="4" t="s">
        <v>17</v>
      </c>
      <c r="G1240" s="1" t="s">
        <v>18</v>
      </c>
      <c r="H1240" s="1" t="s">
        <v>19</v>
      </c>
      <c r="I1240" s="1" t="s">
        <v>20</v>
      </c>
      <c r="J1240" s="1" t="s">
        <v>5485</v>
      </c>
      <c r="K1240" s="1" t="s">
        <v>22</v>
      </c>
      <c r="L1240" s="1" t="str">
        <f>HYPERLINK("https://files.afu.se/Downloads/Transcripts/0%20-%20Government/USA%20-%20NASA%20Johnson/2015 10 14 - NASA Johnson - Orion Backstage  Astronaut Mike Fincke_d7Ofjkexqmc - transcript (automated).pdf","Transcript Link")</f>
        <v>Transcript Link</v>
      </c>
      <c r="M1240" s="2" t="str">
        <f>HYPERLINK("https://files.afu.se/Downloads/Transcripts/0%20-%20Government/USA%20-%20NASA%20Johnson/2015 10 14 - NASA Johnson - Orion Backstage  Astronaut Mike Fincke_d7Ofjkexqmc - transcript (automated).pdf","Transcript Link")</f>
        <v>Transcript Link</v>
      </c>
    </row>
    <row r="1241" ht="180" spans="1:13">
      <c r="A1241" s="1" t="s">
        <v>5486</v>
      </c>
      <c r="B1241" s="1" t="s">
        <v>13</v>
      </c>
      <c r="C1241" s="4" t="s">
        <v>5487</v>
      </c>
      <c r="D1241" s="1" t="s">
        <v>5488</v>
      </c>
      <c r="E1241" s="1" t="s">
        <v>5489</v>
      </c>
      <c r="F1241" s="4" t="s">
        <v>17</v>
      </c>
      <c r="G1241" s="1" t="s">
        <v>18</v>
      </c>
      <c r="H1241" s="1" t="s">
        <v>19</v>
      </c>
      <c r="I1241" s="1" t="s">
        <v>20</v>
      </c>
      <c r="J1241" s="1" t="s">
        <v>5490</v>
      </c>
      <c r="K1241" s="1" t="s">
        <v>22</v>
      </c>
      <c r="L1241" s="1" t="str">
        <f>HYPERLINK("https://files.afu.se/Downloads/Transcripts/0%20-%20Government/USA%20-%20NASA%20Johnson/2015 10 13 - NASA Johnson - Space Station Live  A MinION to Space Station_g701qIxrMlU - transcript (automated).pdf","Transcript Link")</f>
        <v>Transcript Link</v>
      </c>
      <c r="M1241" s="2" t="str">
        <f>HYPERLINK("https://files.afu.se/Downloads/Transcripts/0%20-%20Government/USA%20-%20NASA%20Johnson/2015 10 13 - NASA Johnson - Space Station Live  A MinION to Space Station_g701qIxrMlU - transcript (automated).pdf","Transcript Link")</f>
        <v>Transcript Link</v>
      </c>
    </row>
    <row r="1242" ht="180" spans="1:13">
      <c r="A1242" s="1" t="s">
        <v>5486</v>
      </c>
      <c r="B1242" s="1" t="s">
        <v>13</v>
      </c>
      <c r="C1242" s="4" t="s">
        <v>5491</v>
      </c>
      <c r="D1242" s="1" t="s">
        <v>5492</v>
      </c>
      <c r="E1242" s="1" t="s">
        <v>5493</v>
      </c>
      <c r="F1242" s="4" t="s">
        <v>17</v>
      </c>
      <c r="G1242" s="1" t="s">
        <v>18</v>
      </c>
      <c r="H1242" s="1" t="s">
        <v>19</v>
      </c>
      <c r="I1242" s="1" t="s">
        <v>20</v>
      </c>
      <c r="J1242" s="1" t="s">
        <v>5494</v>
      </c>
      <c r="K1242" s="1" t="s">
        <v>22</v>
      </c>
      <c r="L1242" s="1" t="str">
        <f>HYPERLINK("https://files.afu.se/Downloads/Transcripts/0%20-%20Government/USA%20-%20NASA%20Johnson/2015 10 13 - NASA Johnson - Why would astronauts need a rover on Mars _HdjVVsaIL50 - transcript (automated).pdf","Transcript Link")</f>
        <v>Transcript Link</v>
      </c>
      <c r="M1242" s="2" t="str">
        <f>HYPERLINK("https://files.afu.se/Downloads/Transcripts/0%20-%20Government/USA%20-%20NASA%20Johnson/2015 10 13 - NASA Johnson - Why would astronauts need a rover on Mars _HdjVVsaIL50 - transcript (automated).pdf","Transcript Link")</f>
        <v>Transcript Link</v>
      </c>
    </row>
    <row r="1243" ht="180" spans="1:13">
      <c r="A1243" s="1" t="s">
        <v>5486</v>
      </c>
      <c r="B1243" s="1" t="s">
        <v>13</v>
      </c>
      <c r="C1243" s="4" t="s">
        <v>5495</v>
      </c>
      <c r="D1243" s="1" t="s">
        <v>5496</v>
      </c>
      <c r="E1243" s="1" t="s">
        <v>5497</v>
      </c>
      <c r="F1243" s="4" t="s">
        <v>17</v>
      </c>
      <c r="G1243" s="1" t="s">
        <v>18</v>
      </c>
      <c r="H1243" s="1" t="s">
        <v>19</v>
      </c>
      <c r="I1243" s="1" t="s">
        <v>20</v>
      </c>
      <c r="J1243" s="1" t="s">
        <v>5498</v>
      </c>
      <c r="K1243" s="1" t="s">
        <v>22</v>
      </c>
      <c r="L1243" s="1" t="str">
        <f>HYPERLINK("https://files.afu.se/Downloads/Transcripts/0%20-%20Government/USA%20-%20NASA%20Johnson/2015 10 13 - NASA Johnson - Espacio a Tierra - 12 de Octobre, 2015_y_zvGnV-tn4 - transcript (automated).pdf","Transcript Link")</f>
        <v>Transcript Link</v>
      </c>
      <c r="M1243" s="2" t="str">
        <f>HYPERLINK("https://files.afu.se/Downloads/Transcripts/0%20-%20Government/USA%20-%20NASA%20Johnson/2015 10 13 - NASA Johnson - Espacio a Tierra - 12 de Octobre, 2015_y_zvGnV-tn4 - transcript (automated).pdf","Transcript Link")</f>
        <v>Transcript Link</v>
      </c>
    </row>
    <row r="1244" ht="409.5" spans="1:13">
      <c r="A1244" s="1" t="s">
        <v>5499</v>
      </c>
      <c r="B1244" s="1" t="s">
        <v>13</v>
      </c>
      <c r="C1244" s="4" t="s">
        <v>5500</v>
      </c>
      <c r="D1244" s="1" t="s">
        <v>5501</v>
      </c>
      <c r="E1244" s="1" t="s">
        <v>5502</v>
      </c>
      <c r="F1244" s="4" t="s">
        <v>17</v>
      </c>
      <c r="G1244" s="1" t="s">
        <v>18</v>
      </c>
      <c r="H1244" s="1" t="s">
        <v>19</v>
      </c>
      <c r="I1244" s="1" t="s">
        <v>20</v>
      </c>
      <c r="J1244" s="1" t="s">
        <v>5503</v>
      </c>
      <c r="K1244" s="1" t="s">
        <v>22</v>
      </c>
      <c r="L1244" s="1" t="str">
        <f>HYPERLINK("https://files.afu.se/Downloads/Transcripts/0%20-%20Government/USA%20-%20NASA%20Johnson/2015 10 09 - NASA Johnson - 4K Video of Colorful Liquid in Space_bKk_7NIKY3Y - transcript (automated).pdf","Transcript Link")</f>
        <v>Transcript Link</v>
      </c>
      <c r="M1244" s="2" t="str">
        <f>HYPERLINK("https://files.afu.se/Downloads/Transcripts/0%20-%20Government/USA%20-%20NASA%20Johnson/2015 10 09 - NASA Johnson - 4K Video of Colorful Liquid in Space_bKk_7NIKY3Y - transcript (automated).pdf","Transcript Link")</f>
        <v>Transcript Link</v>
      </c>
    </row>
    <row r="1245" ht="180" spans="1:13">
      <c r="A1245" s="1" t="s">
        <v>5499</v>
      </c>
      <c r="B1245" s="1" t="s">
        <v>13</v>
      </c>
      <c r="C1245" s="4" t="s">
        <v>5504</v>
      </c>
      <c r="D1245" s="1" t="s">
        <v>5505</v>
      </c>
      <c r="E1245" s="1" t="s">
        <v>5059</v>
      </c>
      <c r="F1245" s="4" t="s">
        <v>17</v>
      </c>
      <c r="G1245" s="1" t="s">
        <v>18</v>
      </c>
      <c r="H1245" s="1" t="s">
        <v>19</v>
      </c>
      <c r="I1245" s="1" t="s">
        <v>20</v>
      </c>
      <c r="J1245" s="1" t="s">
        <v>5506</v>
      </c>
      <c r="K1245" s="1" t="s">
        <v>22</v>
      </c>
      <c r="L1245" s="1" t="str">
        <f>HYPERLINK("https://files.afu.se/Downloads/Transcripts/0%20-%20Government/USA%20-%20NASA%20Johnson/2015 10 09 - NASA Johnson - Space to Ground  Small Satellites 10 9 2015_crQ_iGm318U - transcript (automated).pdf","Transcript Link")</f>
        <v>Transcript Link</v>
      </c>
      <c r="M1245" s="2" t="str">
        <f>HYPERLINK("https://files.afu.se/Downloads/Transcripts/0%20-%20Government/USA%20-%20NASA%20Johnson/2015 10 09 - NASA Johnson - Space to Ground  Small Satellites 10 9 2015_crQ_iGm318U - transcript (automated).pdf","Transcript Link")</f>
        <v>Transcript Link</v>
      </c>
    </row>
    <row r="1246" ht="300" spans="1:13">
      <c r="A1246" s="1" t="s">
        <v>5507</v>
      </c>
      <c r="B1246" s="1" t="s">
        <v>13</v>
      </c>
      <c r="C1246" s="4" t="s">
        <v>5508</v>
      </c>
      <c r="D1246" s="1" t="s">
        <v>5509</v>
      </c>
      <c r="E1246" s="1" t="s">
        <v>5510</v>
      </c>
      <c r="F1246" s="4" t="s">
        <v>17</v>
      </c>
      <c r="G1246" s="1" t="s">
        <v>18</v>
      </c>
      <c r="H1246" s="1" t="s">
        <v>19</v>
      </c>
      <c r="I1246" s="1" t="s">
        <v>20</v>
      </c>
      <c r="J1246" s="1" t="s">
        <v>5511</v>
      </c>
      <c r="K1246" s="1" t="s">
        <v>22</v>
      </c>
      <c r="L1246" s="1" t="str">
        <f>HYPERLINK("https://files.afu.se/Downloads/Transcripts/0%20-%20Government/USA%20-%20NASA%20Johnson/2015 10 08 - NASA Johnson - The Human Challenges of Mars  Radiation_PC4_kkd1laU - transcript (automated).pdf","Transcript Link")</f>
        <v>Transcript Link</v>
      </c>
      <c r="M1246" s="2" t="str">
        <f>HYPERLINK("https://files.afu.se/Downloads/Transcripts/0%20-%20Government/USA%20-%20NASA%20Johnson/2015 10 08 - NASA Johnson - The Human Challenges of Mars  Radiation_PC4_kkd1laU - transcript (automated).pdf","Transcript Link")</f>
        <v>Transcript Link</v>
      </c>
    </row>
    <row r="1247" ht="180" spans="1:13">
      <c r="A1247" s="1" t="s">
        <v>5507</v>
      </c>
      <c r="B1247" s="1" t="s">
        <v>13</v>
      </c>
      <c r="C1247" s="4" t="s">
        <v>5512</v>
      </c>
      <c r="D1247" s="1" t="s">
        <v>5513</v>
      </c>
      <c r="E1247" s="1" t="s">
        <v>5514</v>
      </c>
      <c r="F1247" s="4" t="s">
        <v>17</v>
      </c>
      <c r="G1247" s="1" t="s">
        <v>18</v>
      </c>
      <c r="H1247" s="1" t="s">
        <v>19</v>
      </c>
      <c r="I1247" s="1" t="s">
        <v>20</v>
      </c>
      <c r="J1247" s="1" t="s">
        <v>5515</v>
      </c>
      <c r="K1247" s="1" t="s">
        <v>22</v>
      </c>
      <c r="L1247" s="1" t="str">
        <f>HYPERLINK("https://files.afu.se/Downloads/Transcripts/0%20-%20Government/USA%20-%20NASA%20Johnson/2015 10 08 - NASA Johnson - Space Station Live  The Brain in Space_9SXJq_RP3V4 - transcript (automated).pdf","Transcript Link")</f>
        <v>Transcript Link</v>
      </c>
      <c r="M1247" s="2" t="str">
        <f>HYPERLINK("https://files.afu.se/Downloads/Transcripts/0%20-%20Government/USA%20-%20NASA%20Johnson/2015 10 08 - NASA Johnson - Space Station Live  The Brain in Space_9SXJq_RP3V4 - transcript (automated).pdf","Transcript Link")</f>
        <v>Transcript Link</v>
      </c>
    </row>
    <row r="1248" ht="180" spans="1:13">
      <c r="A1248" s="1" t="s">
        <v>5507</v>
      </c>
      <c r="B1248" s="1" t="s">
        <v>13</v>
      </c>
      <c r="C1248" s="4" t="s">
        <v>5516</v>
      </c>
      <c r="D1248" s="1" t="s">
        <v>5517</v>
      </c>
      <c r="E1248" s="1" t="s">
        <v>5518</v>
      </c>
      <c r="F1248" s="4" t="s">
        <v>17</v>
      </c>
      <c r="G1248" s="1" t="s">
        <v>18</v>
      </c>
      <c r="H1248" s="1" t="s">
        <v>19</v>
      </c>
      <c r="I1248" s="1" t="s">
        <v>20</v>
      </c>
      <c r="J1248" s="1" t="s">
        <v>5519</v>
      </c>
      <c r="K1248" s="1" t="s">
        <v>22</v>
      </c>
      <c r="L1248" s="1" t="str">
        <f>HYPERLINK("https://files.afu.se/Downloads/Transcripts/0%20-%20Government/USA%20-%20NASA%20Johnson/2015 10 08 - NASA Johnson - John Charles talkMARS  What would happen if we landed on Mars today _YCyVdWXtlUE - transcript (automated).pdf","Transcript Link")</f>
        <v>Transcript Link</v>
      </c>
      <c r="M1248" s="2" t="str">
        <f>HYPERLINK("https://files.afu.se/Downloads/Transcripts/0%20-%20Government/USA%20-%20NASA%20Johnson/2015 10 08 - NASA Johnson - John Charles talkMARS  What would happen if we landed on Mars today _YCyVdWXtlUE - transcript (automated).pdf","Transcript Link")</f>
        <v>Transcript Link</v>
      </c>
    </row>
    <row r="1249" ht="409.5" spans="1:13">
      <c r="A1249" s="1" t="s">
        <v>5520</v>
      </c>
      <c r="B1249" s="1" t="s">
        <v>13</v>
      </c>
      <c r="C1249" s="4" t="s">
        <v>5521</v>
      </c>
      <c r="D1249" s="1" t="s">
        <v>5522</v>
      </c>
      <c r="E1249" s="1" t="s">
        <v>5523</v>
      </c>
      <c r="F1249" s="4" t="s">
        <v>17</v>
      </c>
      <c r="G1249" s="1" t="s">
        <v>18</v>
      </c>
      <c r="H1249" s="1" t="s">
        <v>19</v>
      </c>
      <c r="I1249" s="1" t="s">
        <v>20</v>
      </c>
      <c r="J1249" s="1" t="s">
        <v>5524</v>
      </c>
      <c r="K1249" s="1" t="s">
        <v>22</v>
      </c>
      <c r="L1249" s="1" t="str">
        <f>HYPERLINK("https://files.afu.se/Downloads/Transcripts/0%20-%20Government/USA%20-%20NASA%20Johnson/2015 10 07 - NASA Johnson - NASA is Good (Based off of Andy Grammer’s “Honey, I’m Good.”)_VGzsoB7Y06w - transcript (automated).pdf","Transcript Link")</f>
        <v>Transcript Link</v>
      </c>
      <c r="M1249" s="2" t="str">
        <f>HYPERLINK("https://files.afu.se/Downloads/Transcripts/0%20-%20Government/USA%20-%20NASA%20Johnson/2015 10 07 - NASA Johnson - NASA is Good (Based off of Andy Grammer’s “Honey, I’m Good.”)_VGzsoB7Y06w - transcript (automated).pdf","Transcript Link")</f>
        <v>Transcript Link</v>
      </c>
    </row>
    <row r="1250" ht="180" spans="1:13">
      <c r="A1250" s="1" t="s">
        <v>5525</v>
      </c>
      <c r="B1250" s="1" t="s">
        <v>13</v>
      </c>
      <c r="C1250" s="4" t="s">
        <v>5526</v>
      </c>
      <c r="D1250" s="1" t="s">
        <v>5527</v>
      </c>
      <c r="E1250" s="1" t="s">
        <v>5528</v>
      </c>
      <c r="F1250" s="4" t="s">
        <v>17</v>
      </c>
      <c r="G1250" s="1" t="s">
        <v>18</v>
      </c>
      <c r="H1250" s="1" t="s">
        <v>19</v>
      </c>
      <c r="I1250" s="1" t="s">
        <v>20</v>
      </c>
      <c r="J1250" s="1" t="s">
        <v>5529</v>
      </c>
      <c r="K1250" s="1" t="s">
        <v>22</v>
      </c>
      <c r="L1250" s="1" t="str">
        <f>HYPERLINK("https://files.afu.se/Downloads/Transcripts/0%20-%20Government/USA%20-%20NASA%20Johnson/2015 10 06 - NASA Johnson - ‘The Martian’ Actress Mackenzie Davis Discusses Space Exploration_Psy-AtTP3hw - transcript (automated).pdf","Transcript Link")</f>
        <v>Transcript Link</v>
      </c>
      <c r="M1250" s="2" t="str">
        <f>HYPERLINK("https://files.afu.se/Downloads/Transcripts/0%20-%20Government/USA%20-%20NASA%20Johnson/2015 10 06 - NASA Johnson - ‘The Martian’ Actress Mackenzie Davis Discusses Space Exploration_Psy-AtTP3hw - transcript (automated).pdf","Transcript Link")</f>
        <v>Transcript Link</v>
      </c>
    </row>
    <row r="1251" ht="180" spans="1:13">
      <c r="A1251" s="1" t="s">
        <v>5525</v>
      </c>
      <c r="B1251" s="1" t="s">
        <v>13</v>
      </c>
      <c r="C1251" s="4" t="s">
        <v>5530</v>
      </c>
      <c r="D1251" s="1" t="s">
        <v>5531</v>
      </c>
      <c r="E1251" s="1" t="s">
        <v>5532</v>
      </c>
      <c r="F1251" s="4" t="s">
        <v>17</v>
      </c>
      <c r="G1251" s="1" t="s">
        <v>18</v>
      </c>
      <c r="H1251" s="1" t="s">
        <v>19</v>
      </c>
      <c r="I1251" s="1" t="s">
        <v>20</v>
      </c>
      <c r="J1251" s="1" t="s">
        <v>5533</v>
      </c>
      <c r="K1251" s="1" t="s">
        <v>22</v>
      </c>
      <c r="L1251" s="1" t="str">
        <f>HYPERLINK("https://files.afu.se/Downloads/Transcripts/0%20-%20Government/USA%20-%20NASA%20Johnson/2015 10 06 - NASA Johnson - ‘The Martian’ Actor Sebastian Stan Discusses Astronauts_6rByLGwcYN4 - transcript (automated).pdf","Transcript Link")</f>
        <v>Transcript Link</v>
      </c>
      <c r="M1251" s="2" t="str">
        <f>HYPERLINK("https://files.afu.se/Downloads/Transcripts/0%20-%20Government/USA%20-%20NASA%20Johnson/2015 10 06 - NASA Johnson - ‘The Martian’ Actor Sebastian Stan Discusses Astronauts_6rByLGwcYN4 - transcript (automated).pdf","Transcript Link")</f>
        <v>Transcript Link</v>
      </c>
    </row>
    <row r="1252" ht="330" spans="1:13">
      <c r="A1252" s="1" t="s">
        <v>5525</v>
      </c>
      <c r="B1252" s="1" t="s">
        <v>13</v>
      </c>
      <c r="C1252" s="4" t="s">
        <v>5534</v>
      </c>
      <c r="D1252" s="1" t="s">
        <v>5535</v>
      </c>
      <c r="E1252" s="1" t="s">
        <v>5536</v>
      </c>
      <c r="F1252" s="4" t="s">
        <v>17</v>
      </c>
      <c r="G1252" s="1" t="s">
        <v>18</v>
      </c>
      <c r="H1252" s="1" t="s">
        <v>19</v>
      </c>
      <c r="I1252" s="1" t="s">
        <v>20</v>
      </c>
      <c r="J1252" s="1" t="s">
        <v>5537</v>
      </c>
      <c r="K1252" s="1" t="s">
        <v>22</v>
      </c>
      <c r="L1252" s="1" t="str">
        <f>HYPERLINK("https://files.afu.se/Downloads/Transcripts/0%20-%20Government/USA%20-%20NASA%20Johnson/2015 10 06 - NASA Johnson - ISS Benefits for Humanity  Serving the World_1TzGSmTyFiA - transcript (automated).pdf","Transcript Link")</f>
        <v>Transcript Link</v>
      </c>
      <c r="M1252" s="2" t="str">
        <f>HYPERLINK("https://files.afu.se/Downloads/Transcripts/0%20-%20Government/USA%20-%20NASA%20Johnson/2015 10 06 - NASA Johnson - ISS Benefits for Humanity  Serving the World_1TzGSmTyFiA - transcript (automated).pdf","Transcript Link")</f>
        <v>Transcript Link</v>
      </c>
    </row>
    <row r="1253" ht="375" spans="1:13">
      <c r="A1253" s="1" t="s">
        <v>5538</v>
      </c>
      <c r="B1253" s="1" t="s">
        <v>13</v>
      </c>
      <c r="C1253" s="4" t="s">
        <v>5539</v>
      </c>
      <c r="D1253" s="1" t="s">
        <v>5540</v>
      </c>
      <c r="E1253" s="1" t="s">
        <v>5541</v>
      </c>
      <c r="F1253" s="4" t="s">
        <v>17</v>
      </c>
      <c r="G1253" s="1" t="s">
        <v>18</v>
      </c>
      <c r="H1253" s="1" t="s">
        <v>19</v>
      </c>
      <c r="I1253" s="1" t="s">
        <v>20</v>
      </c>
      <c r="J1253" s="1" t="s">
        <v>5542</v>
      </c>
      <c r="K1253" s="1" t="s">
        <v>22</v>
      </c>
      <c r="L1253" s="1" t="str">
        <f>HYPERLINK("https://files.afu.se/Downloads/Transcripts/0%20-%20Government/USA%20-%20NASA%20Johnson/2015 10 05 - NASA Johnson - NASA astronaut Peggy Whitson %23SuitUp Video_YIT2Up1imWs - transcript (automated).pdf","Transcript Link")</f>
        <v>Transcript Link</v>
      </c>
      <c r="M1253" s="2" t="str">
        <f>HYPERLINK("https://files.afu.se/Downloads/Transcripts/0%20-%20Government/USA%20-%20NASA%20Johnson/2015 10 05 - NASA Johnson - NASA astronaut Peggy Whitson %23SuitUp Video_YIT2Up1imWs - transcript (automated).pdf","Transcript Link")</f>
        <v>Transcript Link</v>
      </c>
    </row>
    <row r="1254" ht="180" spans="1:13">
      <c r="A1254" s="1" t="s">
        <v>5538</v>
      </c>
      <c r="B1254" s="1" t="s">
        <v>13</v>
      </c>
      <c r="C1254" s="4" t="s">
        <v>5543</v>
      </c>
      <c r="D1254" s="1" t="s">
        <v>5544</v>
      </c>
      <c r="E1254" s="1" t="s">
        <v>5497</v>
      </c>
      <c r="F1254" s="4" t="s">
        <v>17</v>
      </c>
      <c r="G1254" s="1" t="s">
        <v>18</v>
      </c>
      <c r="H1254" s="1" t="s">
        <v>19</v>
      </c>
      <c r="I1254" s="1" t="s">
        <v>20</v>
      </c>
      <c r="J1254" s="1" t="s">
        <v>5545</v>
      </c>
      <c r="K1254" s="1" t="s">
        <v>22</v>
      </c>
      <c r="L1254" s="1" t="str">
        <f>HYPERLINK("https://files.afu.se/Downloads/Transcripts/0%20-%20Government/USA%20-%20NASA%20Johnson/2015 10 05 - NASA Johnson - Espacio a Tierra - 05 de octobre, 2015_9yPjAkd9dHw - transcript (automated).pdf","Transcript Link")</f>
        <v>Transcript Link</v>
      </c>
      <c r="M1254" s="2" t="str">
        <f>HYPERLINK("https://files.afu.se/Downloads/Transcripts/0%20-%20Government/USA%20-%20NASA%20Johnson/2015 10 05 - NASA Johnson - Espacio a Tierra - 05 de octobre, 2015_9yPjAkd9dHw - transcript (automated).pdf","Transcript Link")</f>
        <v>Transcript Link</v>
      </c>
    </row>
    <row r="1255" ht="180" spans="1:13">
      <c r="A1255" s="1" t="s">
        <v>5546</v>
      </c>
      <c r="B1255" s="1" t="s">
        <v>13</v>
      </c>
      <c r="C1255" s="4" t="s">
        <v>5547</v>
      </c>
      <c r="D1255" s="1" t="s">
        <v>5548</v>
      </c>
      <c r="E1255" s="1" t="s">
        <v>4931</v>
      </c>
      <c r="F1255" s="4" t="s">
        <v>17</v>
      </c>
      <c r="G1255" s="1" t="s">
        <v>18</v>
      </c>
      <c r="H1255" s="1" t="s">
        <v>19</v>
      </c>
      <c r="I1255" s="1" t="s">
        <v>20</v>
      </c>
      <c r="J1255" s="1" t="s">
        <v>5549</v>
      </c>
      <c r="K1255" s="1" t="s">
        <v>22</v>
      </c>
      <c r="L1255" s="1" t="str">
        <f>HYPERLINK("https://files.afu.se/Downloads/Transcripts/0%20-%20Government/USA%20-%20NASA%20Johnson/2015 10 02 - NASA Johnson - Space to Ground   Cargo Traffic 10 2 2015_PdFJViWm4jE - transcript (automated).pdf","Transcript Link")</f>
        <v>Transcript Link</v>
      </c>
      <c r="M1255" s="2" t="str">
        <f>HYPERLINK("https://files.afu.se/Downloads/Transcripts/0%20-%20Government/USA%20-%20NASA%20Johnson/2015 10 02 - NASA Johnson - Space to Ground   Cargo Traffic 10 2 2015_PdFJViWm4jE - transcript (automated).pdf","Transcript Link")</f>
        <v>Transcript Link</v>
      </c>
    </row>
    <row r="1256" ht="405" spans="1:13">
      <c r="A1256" s="1" t="s">
        <v>5550</v>
      </c>
      <c r="B1256" s="1" t="s">
        <v>13</v>
      </c>
      <c r="C1256" s="4" t="s">
        <v>5551</v>
      </c>
      <c r="D1256" s="1" t="s">
        <v>5552</v>
      </c>
      <c r="E1256" s="1" t="s">
        <v>5553</v>
      </c>
      <c r="F1256" s="4" t="s">
        <v>17</v>
      </c>
      <c r="G1256" s="1" t="s">
        <v>18</v>
      </c>
      <c r="H1256" s="1" t="s">
        <v>19</v>
      </c>
      <c r="I1256" s="1" t="s">
        <v>20</v>
      </c>
      <c r="J1256" s="1" t="s">
        <v>5554</v>
      </c>
      <c r="K1256" s="1" t="s">
        <v>22</v>
      </c>
      <c r="L1256" s="1" t="str">
        <f>HYPERLINK("https://files.afu.se/Downloads/Transcripts/0%20-%20Government/USA%20-%20NASA%20Johnson/2015 10 01 - NASA Johnson - StationLIFE  Brain in Space - October_tjK0toxT7z0 - transcript (automated).pdf","Transcript Link")</f>
        <v>Transcript Link</v>
      </c>
      <c r="M1256" s="2" t="str">
        <f>HYPERLINK("https://files.afu.se/Downloads/Transcripts/0%20-%20Government/USA%20-%20NASA%20Johnson/2015 10 01 - NASA Johnson - StationLIFE  Brain in Space - October_tjK0toxT7z0 - transcript (automated).pdf","Transcript Link")</f>
        <v>Transcript Link</v>
      </c>
    </row>
    <row r="1257" ht="300" spans="1:13">
      <c r="A1257" s="1" t="s">
        <v>5555</v>
      </c>
      <c r="B1257" s="1" t="s">
        <v>13</v>
      </c>
      <c r="C1257" s="4" t="s">
        <v>5556</v>
      </c>
      <c r="D1257" s="1" t="s">
        <v>5557</v>
      </c>
      <c r="E1257" s="1" t="s">
        <v>5558</v>
      </c>
      <c r="F1257" s="4" t="s">
        <v>17</v>
      </c>
      <c r="G1257" s="1" t="s">
        <v>18</v>
      </c>
      <c r="H1257" s="1" t="s">
        <v>19</v>
      </c>
      <c r="I1257" s="1" t="s">
        <v>20</v>
      </c>
      <c r="J1257" s="1" t="s">
        <v>5559</v>
      </c>
      <c r="K1257" s="1" t="s">
        <v>22</v>
      </c>
      <c r="L1257" s="1" t="str">
        <f>HYPERLINK("https://files.afu.se/Downloads/Transcripts/0%20-%20Government/USA%20-%20NASA%20Johnson/2015 09 30 - NASA Johnson - Space Station Live  Space Plants in a BRIC_FudqalBElYo - transcript (automated).pdf","Transcript Link")</f>
        <v>Transcript Link</v>
      </c>
      <c r="M1257" s="2" t="str">
        <f>HYPERLINK("https://files.afu.se/Downloads/Transcripts/0%20-%20Government/USA%20-%20NASA%20Johnson/2015 09 30 - NASA Johnson - Space Station Live  Space Plants in a BRIC_FudqalBElYo - transcript (automated).pdf","Transcript Link")</f>
        <v>Transcript Link</v>
      </c>
    </row>
    <row r="1258" ht="285" spans="1:13">
      <c r="A1258" s="1" t="s">
        <v>5560</v>
      </c>
      <c r="B1258" s="1" t="s">
        <v>13</v>
      </c>
      <c r="C1258" s="4" t="s">
        <v>5561</v>
      </c>
      <c r="D1258" s="1" t="s">
        <v>5562</v>
      </c>
      <c r="E1258" s="1" t="s">
        <v>5563</v>
      </c>
      <c r="F1258" s="4" t="s">
        <v>17</v>
      </c>
      <c r="G1258" s="1" t="s">
        <v>18</v>
      </c>
      <c r="H1258" s="1" t="s">
        <v>19</v>
      </c>
      <c r="I1258" s="1" t="s">
        <v>20</v>
      </c>
      <c r="J1258" s="1" t="s">
        <v>5564</v>
      </c>
      <c r="K1258" s="1" t="s">
        <v>22</v>
      </c>
      <c r="L1258" s="1" t="str">
        <f>HYPERLINK("https://files.afu.se/Downloads/Transcripts/0%20-%20Government/USA%20-%20NASA%20Johnson/2015 09 29 - NASA Johnson - The Human Challenges of Mars  Balance and Coordination_04lrZeQOpNI - transcript (automated).pdf","Transcript Link")</f>
        <v>Transcript Link</v>
      </c>
      <c r="M1258" s="2" t="str">
        <f>HYPERLINK("https://files.afu.se/Downloads/Transcripts/0%20-%20Government/USA%20-%20NASA%20Johnson/2015 09 29 - NASA Johnson - The Human Challenges of Mars  Balance and Coordination_04lrZeQOpNI - transcript (automated).pdf","Transcript Link")</f>
        <v>Transcript Link</v>
      </c>
    </row>
    <row r="1259" ht="180" spans="1:13">
      <c r="A1259" s="1" t="s">
        <v>5565</v>
      </c>
      <c r="B1259" s="1" t="s">
        <v>13</v>
      </c>
      <c r="C1259" s="4" t="s">
        <v>5566</v>
      </c>
      <c r="D1259" s="1" t="s">
        <v>5567</v>
      </c>
      <c r="E1259" s="1" t="s">
        <v>5568</v>
      </c>
      <c r="F1259" s="4" t="s">
        <v>17</v>
      </c>
      <c r="G1259" s="1" t="s">
        <v>18</v>
      </c>
      <c r="H1259" s="1" t="s">
        <v>19</v>
      </c>
      <c r="I1259" s="1" t="s">
        <v>20</v>
      </c>
      <c r="J1259" s="1" t="s">
        <v>5569</v>
      </c>
      <c r="K1259" s="1" t="s">
        <v>22</v>
      </c>
      <c r="L1259" s="1" t="str">
        <f>HYPERLINK("https://files.afu.se/Downloads/Transcripts/0%20-%20Government/USA%20-%20NASA%20Johnson/2015 09 28 - NASA Johnson - What Makes Liquid Water on Mars Possible _fxnEKi7ItW4 - transcript (automated).pdf","Transcript Link")</f>
        <v>Transcript Link</v>
      </c>
      <c r="M1259" s="2" t="str">
        <f>HYPERLINK("https://files.afu.se/Downloads/Transcripts/0%20-%20Government/USA%20-%20NASA%20Johnson/2015 09 28 - NASA Johnson - What Makes Liquid Water on Mars Possible _fxnEKi7ItW4 - transcript (automated).pdf","Transcript Link")</f>
        <v>Transcript Link</v>
      </c>
    </row>
    <row r="1260" ht="180" spans="1:13">
      <c r="A1260" s="1" t="s">
        <v>5565</v>
      </c>
      <c r="B1260" s="1" t="s">
        <v>13</v>
      </c>
      <c r="C1260" s="4" t="s">
        <v>5570</v>
      </c>
      <c r="D1260" s="1" t="s">
        <v>5571</v>
      </c>
      <c r="E1260" s="1" t="s">
        <v>5572</v>
      </c>
      <c r="F1260" s="4" t="s">
        <v>17</v>
      </c>
      <c r="G1260" s="1" t="s">
        <v>18</v>
      </c>
      <c r="H1260" s="1" t="s">
        <v>19</v>
      </c>
      <c r="I1260" s="1" t="s">
        <v>20</v>
      </c>
      <c r="J1260" s="1" t="s">
        <v>5573</v>
      </c>
      <c r="K1260" s="1" t="s">
        <v>22</v>
      </c>
      <c r="L1260" s="1" t="str">
        <f>HYPERLINK("https://files.afu.se/Downloads/Transcripts/0%20-%20Government/USA%20-%20NASA%20Johnson/2015 09 28 - NASA Johnson - Espacio a Tierra - 28 de septiembre, 2015__4ELvaib0kg - transcript (automated).pdf","Transcript Link")</f>
        <v>Transcript Link</v>
      </c>
      <c r="M1260" s="2" t="str">
        <f>HYPERLINK("https://files.afu.se/Downloads/Transcripts/0%20-%20Government/USA%20-%20NASA%20Johnson/2015 09 28 - NASA Johnson - Espacio a Tierra - 28 de septiembre, 2015__4ELvaib0kg - transcript (automated).pdf","Transcript Link")</f>
        <v>Transcript Link</v>
      </c>
    </row>
    <row r="1261" ht="180" spans="1:13">
      <c r="A1261" s="1" t="s">
        <v>5574</v>
      </c>
      <c r="B1261" s="1" t="s">
        <v>13</v>
      </c>
      <c r="C1261" s="4" t="s">
        <v>5575</v>
      </c>
      <c r="D1261" s="1" t="s">
        <v>5576</v>
      </c>
      <c r="E1261" s="1" t="s">
        <v>4931</v>
      </c>
      <c r="F1261" s="4" t="s">
        <v>17</v>
      </c>
      <c r="G1261" s="1" t="s">
        <v>18</v>
      </c>
      <c r="H1261" s="1" t="s">
        <v>19</v>
      </c>
      <c r="I1261" s="1" t="s">
        <v>20</v>
      </c>
      <c r="J1261" s="1" t="s">
        <v>5577</v>
      </c>
      <c r="K1261" s="1" t="s">
        <v>22</v>
      </c>
      <c r="L1261" s="1" t="str">
        <f>HYPERLINK("https://files.afu.se/Downloads/Transcripts/0%20-%20Government/USA%20-%20NASA%20Johnson/2015 09 25 - NASA Johnson - Space to Ground  Movie Night  9 25 2015_fRW3GH1MeBs - transcript (automated).pdf","Transcript Link")</f>
        <v>Transcript Link</v>
      </c>
      <c r="M1261" s="2" t="str">
        <f>HYPERLINK("https://files.afu.se/Downloads/Transcripts/0%20-%20Government/USA%20-%20NASA%20Johnson/2015 09 25 - NASA Johnson - Space to Ground  Movie Night  9 25 2015_fRW3GH1MeBs - transcript (automated).pdf","Transcript Link")</f>
        <v>Transcript Link</v>
      </c>
    </row>
    <row r="1262" ht="240" spans="1:13">
      <c r="A1262" s="1" t="s">
        <v>5578</v>
      </c>
      <c r="B1262" s="1" t="s">
        <v>13</v>
      </c>
      <c r="C1262" s="4" t="s">
        <v>5579</v>
      </c>
      <c r="D1262" s="1" t="s">
        <v>5580</v>
      </c>
      <c r="E1262" s="1" t="s">
        <v>5581</v>
      </c>
      <c r="F1262" s="4" t="s">
        <v>17</v>
      </c>
      <c r="G1262" s="1" t="s">
        <v>18</v>
      </c>
      <c r="H1262" s="1" t="s">
        <v>19</v>
      </c>
      <c r="I1262" s="1" t="s">
        <v>20</v>
      </c>
      <c r="J1262" s="1" t="s">
        <v>5582</v>
      </c>
      <c r="K1262" s="1" t="s">
        <v>22</v>
      </c>
      <c r="L1262" s="1" t="str">
        <f>HYPERLINK("https://files.afu.se/Downloads/Transcripts/0%20-%20Government/USA%20-%20NASA%20Johnson/2015 09 24 - NASA Johnson - Expedition 46  47 scheduled for December launch_Xy_zm8y6nwI - transcript (automated).pdf","Transcript Link")</f>
        <v>Transcript Link</v>
      </c>
      <c r="M1262" s="2" t="str">
        <f>HYPERLINK("https://files.afu.se/Downloads/Transcripts/0%20-%20Government/USA%20-%20NASA%20Johnson/2015 09 24 - NASA Johnson - Expedition 46  47 scheduled for December launch_Xy_zm8y6nwI - transcript (automated).pdf","Transcript Link")</f>
        <v>Transcript Link</v>
      </c>
    </row>
    <row r="1263" ht="180" spans="1:13">
      <c r="A1263" s="1" t="s">
        <v>5578</v>
      </c>
      <c r="B1263" s="1" t="s">
        <v>13</v>
      </c>
      <c r="C1263" s="4" t="s">
        <v>5583</v>
      </c>
      <c r="D1263" s="1" t="s">
        <v>5584</v>
      </c>
      <c r="E1263" s="1" t="s">
        <v>5585</v>
      </c>
      <c r="F1263" s="4" t="s">
        <v>17</v>
      </c>
      <c r="G1263" s="1" t="s">
        <v>18</v>
      </c>
      <c r="H1263" s="1" t="s">
        <v>19</v>
      </c>
      <c r="I1263" s="1" t="s">
        <v>20</v>
      </c>
      <c r="J1263" s="1" t="s">
        <v>5586</v>
      </c>
      <c r="K1263" s="1" t="s">
        <v>22</v>
      </c>
      <c r="L1263" s="1" t="str">
        <f>HYPERLINK("https://files.afu.se/Downloads/Transcripts/0%20-%20Government/USA%20-%20NASA%20Johnson/2015 09 24 - NASA Johnson - Space Station Live  Astro-omics in Space_bc13InB3hmc - transcript (automated).pdf","Transcript Link")</f>
        <v>Transcript Link</v>
      </c>
      <c r="M1263" s="2" t="str">
        <f>HYPERLINK("https://files.afu.se/Downloads/Transcripts/0%20-%20Government/USA%20-%20NASA%20Johnson/2015 09 24 - NASA Johnson - Space Station Live  Astro-omics in Space_bc13InB3hmc - transcript (automated).pdf","Transcript Link")</f>
        <v>Transcript Link</v>
      </c>
    </row>
    <row r="1264" ht="180" spans="1:13">
      <c r="A1264" s="1" t="s">
        <v>5578</v>
      </c>
      <c r="B1264" s="1" t="s">
        <v>13</v>
      </c>
      <c r="C1264" s="4" t="s">
        <v>5587</v>
      </c>
      <c r="D1264" s="1" t="s">
        <v>5588</v>
      </c>
      <c r="E1264" s="1" t="s">
        <v>5589</v>
      </c>
      <c r="F1264" s="4" t="s">
        <v>17</v>
      </c>
      <c r="G1264" s="1" t="s">
        <v>18</v>
      </c>
      <c r="H1264" s="1" t="s">
        <v>19</v>
      </c>
      <c r="I1264" s="1" t="s">
        <v>20</v>
      </c>
      <c r="J1264" s="1" t="s">
        <v>5590</v>
      </c>
      <c r="K1264" s="1" t="s">
        <v>22</v>
      </c>
      <c r="L1264" s="1" t="str">
        <f>HYPERLINK("https://files.afu.se/Downloads/Transcripts/0%20-%20Government/USA%20-%20NASA%20Johnson/2015 09 24 - NASA Johnson - How the Human Body’s Immune System Responds in Microgravity_z43cNmfKUsc - transcript (automated).pdf","Transcript Link")</f>
        <v>Transcript Link</v>
      </c>
      <c r="M1264" s="2" t="str">
        <f>HYPERLINK("https://files.afu.se/Downloads/Transcripts/0%20-%20Government/USA%20-%20NASA%20Johnson/2015 09 24 - NASA Johnson - How the Human Body’s Immune System Responds in Microgravity_z43cNmfKUsc - transcript (automated).pdf","Transcript Link")</f>
        <v>Transcript Link</v>
      </c>
    </row>
    <row r="1265" ht="270" spans="1:13">
      <c r="A1265" s="1" t="s">
        <v>5591</v>
      </c>
      <c r="B1265" s="1" t="s">
        <v>13</v>
      </c>
      <c r="C1265" s="4" t="s">
        <v>5592</v>
      </c>
      <c r="D1265" s="1" t="s">
        <v>5593</v>
      </c>
      <c r="E1265" s="1" t="s">
        <v>5594</v>
      </c>
      <c r="F1265" s="4" t="s">
        <v>17</v>
      </c>
      <c r="G1265" s="1" t="s">
        <v>18</v>
      </c>
      <c r="H1265" s="1" t="s">
        <v>19</v>
      </c>
      <c r="I1265" s="1" t="s">
        <v>20</v>
      </c>
      <c r="J1265" s="1" t="s">
        <v>5595</v>
      </c>
      <c r="K1265" s="1" t="s">
        <v>22</v>
      </c>
      <c r="L1265" s="1" t="str">
        <f>HYPERLINK("https://files.afu.se/Downloads/Transcripts/0%20-%20Government/USA%20-%20NASA%20Johnson/2015 09 23 - NASA Johnson - Space Station Live  Cultivating Plant Growth in Space_9MfWARdoF-o - transcript (automated).pdf","Transcript Link")</f>
        <v>Transcript Link</v>
      </c>
      <c r="M1265" s="2" t="str">
        <f>HYPERLINK("https://files.afu.se/Downloads/Transcripts/0%20-%20Government/USA%20-%20NASA%20Johnson/2015 09 23 - NASA Johnson - Space Station Live  Cultivating Plant Growth in Space_9MfWARdoF-o - transcript (automated).pdf","Transcript Link")</f>
        <v>Transcript Link</v>
      </c>
    </row>
    <row r="1266" ht="195" spans="1:13">
      <c r="A1266" s="1" t="s">
        <v>5596</v>
      </c>
      <c r="B1266" s="1" t="s">
        <v>13</v>
      </c>
      <c r="C1266" s="4" t="s">
        <v>5597</v>
      </c>
      <c r="D1266" s="1" t="s">
        <v>5598</v>
      </c>
      <c r="E1266" s="1" t="s">
        <v>5599</v>
      </c>
      <c r="F1266" s="4" t="s">
        <v>17</v>
      </c>
      <c r="G1266" s="1" t="s">
        <v>18</v>
      </c>
      <c r="H1266" s="1" t="s">
        <v>19</v>
      </c>
      <c r="I1266" s="1" t="s">
        <v>20</v>
      </c>
      <c r="J1266" s="1" t="s">
        <v>5600</v>
      </c>
      <c r="K1266" s="1" t="s">
        <v>22</v>
      </c>
      <c r="L1266" s="1" t="str">
        <f>HYPERLINK("https://files.afu.se/Downloads/Transcripts/0%20-%20Government/USA%20-%20NASA%20Johnson/2015 09 21 - NASA Johnson - Espacio a Tierra - 21 de Septiembre, 2015_pV0gxHsxw5Y - transcript (automated).pdf","Transcript Link")</f>
        <v>Transcript Link</v>
      </c>
      <c r="M1266" s="2" t="str">
        <f>HYPERLINK("https://files.afu.se/Downloads/Transcripts/0%20-%20Government/USA%20-%20NASA%20Johnson/2015 09 21 - NASA Johnson - Espacio a Tierra - 21 de Septiembre, 2015_pV0gxHsxw5Y - transcript (automated).pdf","Transcript Link")</f>
        <v>Transcript Link</v>
      </c>
    </row>
    <row r="1267" ht="180" spans="1:13">
      <c r="A1267" s="1" t="s">
        <v>5601</v>
      </c>
      <c r="B1267" s="1" t="s">
        <v>13</v>
      </c>
      <c r="C1267" s="4" t="s">
        <v>5602</v>
      </c>
      <c r="D1267" s="1" t="s">
        <v>5603</v>
      </c>
      <c r="E1267" s="1" t="s">
        <v>5604</v>
      </c>
      <c r="F1267" s="4" t="s">
        <v>17</v>
      </c>
      <c r="G1267" s="1" t="s">
        <v>18</v>
      </c>
      <c r="H1267" s="1" t="s">
        <v>19</v>
      </c>
      <c r="I1267" s="1" t="s">
        <v>20</v>
      </c>
      <c r="J1267" s="1" t="s">
        <v>5605</v>
      </c>
      <c r="K1267" s="1" t="s">
        <v>22</v>
      </c>
      <c r="L1267" s="1" t="str">
        <f>HYPERLINK("https://files.afu.se/Downloads/Transcripts/0%20-%20Government/USA%20-%20NASA%20Johnson/2015 09 20 - NASA Johnson - Fruits of our Labor_hGdQnUUuwy0 - transcript (automated).pdf","Transcript Link")</f>
        <v>Transcript Link</v>
      </c>
      <c r="M1267" s="2" t="str">
        <f>HYPERLINK("https://files.afu.se/Downloads/Transcripts/0%20-%20Government/USA%20-%20NASA%20Johnson/2015 09 20 - NASA Johnson - Fruits of our Labor_hGdQnUUuwy0 - transcript (automated).pdf","Transcript Link")</f>
        <v>Transcript Link</v>
      </c>
    </row>
    <row r="1268" ht="409.5" spans="1:13">
      <c r="A1268" s="1" t="s">
        <v>5601</v>
      </c>
      <c r="B1268" s="1" t="s">
        <v>13</v>
      </c>
      <c r="C1268" s="4" t="s">
        <v>5606</v>
      </c>
      <c r="D1268" s="1" t="s">
        <v>5607</v>
      </c>
      <c r="E1268" s="1" t="s">
        <v>5608</v>
      </c>
      <c r="F1268" s="4" t="s">
        <v>17</v>
      </c>
      <c r="G1268" s="1" t="s">
        <v>18</v>
      </c>
      <c r="H1268" s="1" t="s">
        <v>19</v>
      </c>
      <c r="I1268" s="1" t="s">
        <v>20</v>
      </c>
      <c r="J1268" s="1" t="s">
        <v>5609</v>
      </c>
      <c r="K1268" s="1" t="s">
        <v>22</v>
      </c>
      <c r="L1268" s="1" t="str">
        <f>HYPERLINK("https://files.afu.se/Downloads/Transcripts/0%20-%20Government/USA%20-%20NASA%20Johnson/2015 09 20 - NASA Johnson - Space Station Stories  Fruits of our Labor_XNEWihFe_CA - transcript (automated).pdf","Transcript Link")</f>
        <v>Transcript Link</v>
      </c>
      <c r="M1268" s="2" t="str">
        <f>HYPERLINK("https://files.afu.se/Downloads/Transcripts/0%20-%20Government/USA%20-%20NASA%20Johnson/2015 09 20 - NASA Johnson - Space Station Stories  Fruits of our Labor_XNEWihFe_CA - transcript (automated).pdf","Transcript Link")</f>
        <v>Transcript Link</v>
      </c>
    </row>
    <row r="1269" ht="180" spans="1:13">
      <c r="A1269" s="1" t="s">
        <v>5610</v>
      </c>
      <c r="B1269" s="1" t="s">
        <v>13</v>
      </c>
      <c r="C1269" s="4" t="s">
        <v>5611</v>
      </c>
      <c r="D1269" s="1" t="s">
        <v>5612</v>
      </c>
      <c r="E1269" s="1" t="s">
        <v>4931</v>
      </c>
      <c r="F1269" s="4" t="s">
        <v>17</v>
      </c>
      <c r="G1269" s="1" t="s">
        <v>18</v>
      </c>
      <c r="H1269" s="1" t="s">
        <v>19</v>
      </c>
      <c r="I1269" s="1" t="s">
        <v>20</v>
      </c>
      <c r="J1269" s="1" t="s">
        <v>5613</v>
      </c>
      <c r="K1269" s="1" t="s">
        <v>22</v>
      </c>
      <c r="L1269" s="1" t="str">
        <f>HYPERLINK("https://files.afu.se/Downloads/Transcripts/0%20-%20Government/USA%20-%20NASA%20Johnson/2015 09 18 - NASA Johnson - Space to Ground  Halfway There  9 18 2015_2NHYmVZAXC0 - transcript (automated).pdf","Transcript Link")</f>
        <v>Transcript Link</v>
      </c>
      <c r="M1269" s="2" t="str">
        <f>HYPERLINK("https://files.afu.se/Downloads/Transcripts/0%20-%20Government/USA%20-%20NASA%20Johnson/2015 09 18 - NASA Johnson - Space to Ground  Halfway There  9 18 2015_2NHYmVZAXC0 - transcript (automated).pdf","Transcript Link")</f>
        <v>Transcript Link</v>
      </c>
    </row>
    <row r="1270" ht="180" spans="1:13">
      <c r="A1270" s="1" t="s">
        <v>5614</v>
      </c>
      <c r="B1270" s="1" t="s">
        <v>13</v>
      </c>
      <c r="C1270" s="4" t="s">
        <v>5615</v>
      </c>
      <c r="D1270" s="1" t="s">
        <v>5616</v>
      </c>
      <c r="E1270" s="1" t="s">
        <v>5617</v>
      </c>
      <c r="F1270" s="4" t="s">
        <v>17</v>
      </c>
      <c r="G1270" s="1" t="s">
        <v>18</v>
      </c>
      <c r="H1270" s="1" t="s">
        <v>19</v>
      </c>
      <c r="I1270" s="1" t="s">
        <v>20</v>
      </c>
      <c r="J1270" s="1" t="s">
        <v>5618</v>
      </c>
      <c r="K1270" s="1" t="s">
        <v>22</v>
      </c>
      <c r="L1270" s="1" t="str">
        <f>HYPERLINK("https://files.afu.se/Downloads/Transcripts/0%20-%20Government/USA%20-%20NASA%20Johnson/2015 09 17 - NASA Johnson - Space Station Live   Halfway Mark - Human Research_qmYxHkFBGw8 - transcript (automated).pdf","Transcript Link")</f>
        <v>Transcript Link</v>
      </c>
      <c r="M1270" s="2" t="str">
        <f>HYPERLINK("https://files.afu.se/Downloads/Transcripts/0%20-%20Government/USA%20-%20NASA%20Johnson/2015 09 17 - NASA Johnson - Space Station Live   Halfway Mark - Human Research_qmYxHkFBGw8 - transcript (automated).pdf","Transcript Link")</f>
        <v>Transcript Link</v>
      </c>
    </row>
    <row r="1271" ht="180" spans="1:13">
      <c r="A1271" s="1" t="s">
        <v>5619</v>
      </c>
      <c r="B1271" s="1" t="s">
        <v>13</v>
      </c>
      <c r="C1271" s="4" t="s">
        <v>5620</v>
      </c>
      <c r="D1271" s="1" t="s">
        <v>5621</v>
      </c>
      <c r="E1271" s="1" t="s">
        <v>5622</v>
      </c>
      <c r="F1271" s="4" t="s">
        <v>17</v>
      </c>
      <c r="G1271" s="1" t="s">
        <v>18</v>
      </c>
      <c r="H1271" s="1" t="s">
        <v>19</v>
      </c>
      <c r="I1271" s="1" t="s">
        <v>20</v>
      </c>
      <c r="J1271" s="1" t="s">
        <v>5623</v>
      </c>
      <c r="K1271" s="1" t="s">
        <v>22</v>
      </c>
      <c r="L1271" s="1" t="str">
        <f>HYPERLINK("https://files.afu.se/Downloads/Transcripts/0%20-%20Government/USA%20-%20NASA%20Johnson/2015 09 16 - NASA Johnson - Space Station Live    Halfway Mark - One-Year Payloads_4DrztPY2Zws - transcript (automated).pdf","Transcript Link")</f>
        <v>Transcript Link</v>
      </c>
      <c r="M1271" s="2" t="str">
        <f>HYPERLINK("https://files.afu.se/Downloads/Transcripts/0%20-%20Government/USA%20-%20NASA%20Johnson/2015 09 16 - NASA Johnson - Space Station Live    Halfway Mark - One-Year Payloads_4DrztPY2Zws - transcript (automated).pdf","Transcript Link")</f>
        <v>Transcript Link</v>
      </c>
    </row>
    <row r="1272" ht="225" spans="1:13">
      <c r="A1272" s="1" t="s">
        <v>5619</v>
      </c>
      <c r="B1272" s="1" t="s">
        <v>13</v>
      </c>
      <c r="C1272" s="4" t="s">
        <v>5624</v>
      </c>
      <c r="D1272" s="1" t="s">
        <v>5625</v>
      </c>
      <c r="E1272" s="1" t="s">
        <v>5626</v>
      </c>
      <c r="F1272" s="4" t="s">
        <v>17</v>
      </c>
      <c r="G1272" s="1" t="s">
        <v>18</v>
      </c>
      <c r="H1272" s="1" t="s">
        <v>19</v>
      </c>
      <c r="I1272" s="1" t="s">
        <v>20</v>
      </c>
      <c r="J1272" s="1" t="s">
        <v>5627</v>
      </c>
      <c r="K1272" s="1" t="s">
        <v>22</v>
      </c>
      <c r="L1272" s="1" t="str">
        <f>HYPERLINK("https://files.afu.se/Downloads/Transcripts/0%20-%20Government/USA%20-%20NASA%20Johnson/2015 09 16 - NASA Johnson - Space Station Live Interview   ISS Program Manager Kirk Shireman_JCJj-1e3LM0 - transcript (automated).pdf","Transcript Link")</f>
        <v>Transcript Link</v>
      </c>
      <c r="M1272" s="2" t="str">
        <f>HYPERLINK("https://files.afu.se/Downloads/Transcripts/0%20-%20Government/USA%20-%20NASA%20Johnson/2015 09 16 - NASA Johnson - Space Station Live Interview   ISS Program Manager Kirk Shireman_JCJj-1e3LM0 - transcript (automated).pdf","Transcript Link")</f>
        <v>Transcript Link</v>
      </c>
    </row>
    <row r="1273" ht="180" spans="1:13">
      <c r="A1273" s="1" t="s">
        <v>5628</v>
      </c>
      <c r="B1273" s="1" t="s">
        <v>13</v>
      </c>
      <c r="C1273" s="4" t="s">
        <v>5629</v>
      </c>
      <c r="D1273" s="1" t="s">
        <v>5630</v>
      </c>
      <c r="E1273" s="1" t="s">
        <v>5631</v>
      </c>
      <c r="F1273" s="4" t="s">
        <v>17</v>
      </c>
      <c r="G1273" s="1" t="s">
        <v>18</v>
      </c>
      <c r="H1273" s="1" t="s">
        <v>19</v>
      </c>
      <c r="I1273" s="1" t="s">
        <v>20</v>
      </c>
      <c r="J1273" s="1" t="s">
        <v>5632</v>
      </c>
      <c r="K1273" s="1" t="s">
        <v>22</v>
      </c>
      <c r="L1273" s="1" t="str">
        <f>HYPERLINK("https://files.afu.se/Downloads/Transcripts/0%20-%20Government/USA%20-%20NASA%20Johnson/2015 09 15 - NASA Johnson - Monthly ISS Research Video Update for August 2015_AzYxGcblPF4 - transcript (automated).pdf","Transcript Link")</f>
        <v>Transcript Link</v>
      </c>
      <c r="M1273" s="2" t="str">
        <f>HYPERLINK("https://files.afu.se/Downloads/Transcripts/0%20-%20Government/USA%20-%20NASA%20Johnson/2015 09 15 - NASA Johnson - Monthly ISS Research Video Update for August 2015_AzYxGcblPF4 - transcript (automated).pdf","Transcript Link")</f>
        <v>Transcript Link</v>
      </c>
    </row>
    <row r="1274" ht="180" spans="1:13">
      <c r="A1274" s="1" t="s">
        <v>5633</v>
      </c>
      <c r="B1274" s="1" t="s">
        <v>13</v>
      </c>
      <c r="C1274" s="4" t="s">
        <v>5634</v>
      </c>
      <c r="D1274" s="1" t="s">
        <v>5635</v>
      </c>
      <c r="E1274" s="1" t="s">
        <v>5636</v>
      </c>
      <c r="F1274" s="4" t="s">
        <v>17</v>
      </c>
      <c r="G1274" s="1" t="s">
        <v>18</v>
      </c>
      <c r="H1274" s="1" t="s">
        <v>19</v>
      </c>
      <c r="I1274" s="1" t="s">
        <v>20</v>
      </c>
      <c r="J1274" s="1" t="s">
        <v>5637</v>
      </c>
      <c r="K1274" s="1" t="s">
        <v>22</v>
      </c>
      <c r="L1274" s="1" t="str">
        <f>HYPERLINK("https://files.afu.se/Downloads/Transcripts/0%20-%20Government/USA%20-%20NASA%20Johnson/2015 09 14 - NASA Johnson - Orion Backstage with Astronaut Vic Glover_FUxDpYTUk5g - transcript (automated).pdf","Transcript Link")</f>
        <v>Transcript Link</v>
      </c>
      <c r="M1274" s="2" t="str">
        <f>HYPERLINK("https://files.afu.se/Downloads/Transcripts/0%20-%20Government/USA%20-%20NASA%20Johnson/2015 09 14 - NASA Johnson - Orion Backstage with Astronaut Vic Glover_FUxDpYTUk5g - transcript (automated).pdf","Transcript Link")</f>
        <v>Transcript Link</v>
      </c>
    </row>
    <row r="1275" ht="409.5" spans="1:13">
      <c r="A1275" s="1" t="s">
        <v>5633</v>
      </c>
      <c r="B1275" s="1" t="s">
        <v>13</v>
      </c>
      <c r="C1275" s="4" t="s">
        <v>5638</v>
      </c>
      <c r="D1275" s="1" t="s">
        <v>5639</v>
      </c>
      <c r="E1275" s="1" t="s">
        <v>5640</v>
      </c>
      <c r="F1275" s="4" t="s">
        <v>17</v>
      </c>
      <c r="G1275" s="1" t="s">
        <v>18</v>
      </c>
      <c r="H1275" s="1" t="s">
        <v>19</v>
      </c>
      <c r="I1275" s="1" t="s">
        <v>20</v>
      </c>
      <c r="J1275" s="1" t="s">
        <v>5641</v>
      </c>
      <c r="K1275" s="1" t="s">
        <v>22</v>
      </c>
      <c r="L1275" s="1" t="str">
        <f>HYPERLINK("https://files.afu.se/Downloads/Transcripts/0%20-%20Government/USA%20-%20NASA%20Johnson/2015 09 14 - NASA Johnson - A Year in Space Featuring Billy Dee Williams_BWbqTdj5hRg - transcript (automated).pdf","Transcript Link")</f>
        <v>Transcript Link</v>
      </c>
      <c r="M1275" s="2" t="str">
        <f>HYPERLINK("https://files.afu.se/Downloads/Transcripts/0%20-%20Government/USA%20-%20NASA%20Johnson/2015 09 14 - NASA Johnson - A Year in Space Featuring Billy Dee Williams_BWbqTdj5hRg - transcript (automated).pdf","Transcript Link")</f>
        <v>Transcript Link</v>
      </c>
    </row>
    <row r="1276" ht="180" spans="1:13">
      <c r="A1276" s="1" t="s">
        <v>5642</v>
      </c>
      <c r="B1276" s="1" t="s">
        <v>13</v>
      </c>
      <c r="C1276" s="4" t="s">
        <v>5643</v>
      </c>
      <c r="D1276" s="1" t="s">
        <v>5644</v>
      </c>
      <c r="E1276" s="1" t="s">
        <v>5645</v>
      </c>
      <c r="F1276" s="4" t="s">
        <v>17</v>
      </c>
      <c r="G1276" s="1" t="s">
        <v>18</v>
      </c>
      <c r="H1276" s="1" t="s">
        <v>19</v>
      </c>
      <c r="I1276" s="1" t="s">
        <v>20</v>
      </c>
      <c r="J1276" s="1" t="s">
        <v>5646</v>
      </c>
      <c r="K1276" s="1" t="s">
        <v>22</v>
      </c>
      <c r="L1276" s="1" t="str">
        <f>HYPERLINK("https://files.afu.se/Downloads/Transcripts/0%20-%20Government/USA%20-%20NASA%20Johnson/2015 09 12 - NASA Johnson - Astronaut at a Glance  Scott Tingle_amsVtQLBLNI - transcript (automated).pdf","Transcript Link")</f>
        <v>Transcript Link</v>
      </c>
      <c r="M1276" s="2" t="str">
        <f>HYPERLINK("https://files.afu.se/Downloads/Transcripts/0%20-%20Government/USA%20-%20NASA%20Johnson/2015 09 12 - NASA Johnson - Astronaut at a Glance  Scott Tingle_amsVtQLBLNI - transcript (automated).pdf","Transcript Link")</f>
        <v>Transcript Link</v>
      </c>
    </row>
    <row r="1277" ht="180" spans="1:13">
      <c r="A1277" s="1" t="s">
        <v>5642</v>
      </c>
      <c r="B1277" s="1" t="s">
        <v>13</v>
      </c>
      <c r="C1277" s="4" t="s">
        <v>5647</v>
      </c>
      <c r="D1277" s="1" t="s">
        <v>5648</v>
      </c>
      <c r="E1277" s="1" t="s">
        <v>5649</v>
      </c>
      <c r="F1277" s="4" t="s">
        <v>17</v>
      </c>
      <c r="G1277" s="1" t="s">
        <v>18</v>
      </c>
      <c r="H1277" s="1" t="s">
        <v>19</v>
      </c>
      <c r="I1277" s="1" t="s">
        <v>20</v>
      </c>
      <c r="J1277" s="1" t="s">
        <v>5650</v>
      </c>
      <c r="K1277" s="1" t="s">
        <v>22</v>
      </c>
      <c r="L1277" s="1" t="str">
        <f>HYPERLINK("https://files.afu.se/Downloads/Transcripts/0%20-%20Government/USA%20-%20NASA%20Johnson/2015 09 12 - NASA Johnson - Astronaut at a Glance  Jeanette Epps_tLt6UwK66O4 - transcript (automated).pdf","Transcript Link")</f>
        <v>Transcript Link</v>
      </c>
      <c r="M1277" s="2" t="str">
        <f>HYPERLINK("https://files.afu.se/Downloads/Transcripts/0%20-%20Government/USA%20-%20NASA%20Johnson/2015 09 12 - NASA Johnson - Astronaut at a Glance  Jeanette Epps_tLt6UwK66O4 - transcript (automated).pdf","Transcript Link")</f>
        <v>Transcript Link</v>
      </c>
    </row>
    <row r="1278" ht="180" spans="1:13">
      <c r="A1278" s="1" t="s">
        <v>5642</v>
      </c>
      <c r="B1278" s="1" t="s">
        <v>13</v>
      </c>
      <c r="C1278" s="4" t="s">
        <v>5651</v>
      </c>
      <c r="D1278" s="1" t="s">
        <v>5652</v>
      </c>
      <c r="E1278" s="1" t="s">
        <v>5653</v>
      </c>
      <c r="F1278" s="4" t="s">
        <v>17</v>
      </c>
      <c r="G1278" s="1" t="s">
        <v>18</v>
      </c>
      <c r="H1278" s="1" t="s">
        <v>19</v>
      </c>
      <c r="I1278" s="1" t="s">
        <v>20</v>
      </c>
      <c r="J1278" s="1" t="s">
        <v>5654</v>
      </c>
      <c r="K1278" s="1" t="s">
        <v>22</v>
      </c>
      <c r="L1278" s="1" t="str">
        <f>HYPERLINK("https://files.afu.se/Downloads/Transcripts/0%20-%20Government/USA%20-%20NASA%20Johnson/2015 09 12 - NASA Johnson - Astronaut at a Glance  Serena Aunon_xNTQs4znLWM - transcript (automated).pdf","Transcript Link")</f>
        <v>Transcript Link</v>
      </c>
      <c r="M1278" s="2" t="str">
        <f>HYPERLINK("https://files.afu.se/Downloads/Transcripts/0%20-%20Government/USA%20-%20NASA%20Johnson/2015 09 12 - NASA Johnson - Astronaut at a Glance  Serena Aunon_xNTQs4znLWM - transcript (automated).pdf","Transcript Link")</f>
        <v>Transcript Link</v>
      </c>
    </row>
    <row r="1279" ht="180" spans="1:13">
      <c r="A1279" s="1" t="s">
        <v>5655</v>
      </c>
      <c r="B1279" s="1" t="s">
        <v>13</v>
      </c>
      <c r="C1279" s="4" t="s">
        <v>5656</v>
      </c>
      <c r="D1279" s="1" t="s">
        <v>5657</v>
      </c>
      <c r="E1279" s="1" t="s">
        <v>4931</v>
      </c>
      <c r="F1279" s="4" t="s">
        <v>17</v>
      </c>
      <c r="G1279" s="1" t="s">
        <v>18</v>
      </c>
      <c r="H1279" s="1" t="s">
        <v>19</v>
      </c>
      <c r="I1279" s="1" t="s">
        <v>20</v>
      </c>
      <c r="J1279" s="1" t="s">
        <v>5658</v>
      </c>
      <c r="K1279" s="1" t="s">
        <v>22</v>
      </c>
      <c r="L1279" s="1" t="str">
        <f>HYPERLINK("https://files.afu.se/Downloads/Transcripts/0%20-%20Government/USA%20-%20NASA%20Johnson/2015 09 11 - NASA Johnson - Space to Ground  Full House   9 11 2015_-JuBDX8JRBQ - transcript (automated).pdf","Transcript Link")</f>
        <v>Transcript Link</v>
      </c>
      <c r="M1279" s="2" t="str">
        <f>HYPERLINK("https://files.afu.se/Downloads/Transcripts/0%20-%20Government/USA%20-%20NASA%20Johnson/2015 09 11 - NASA Johnson - Space to Ground  Full House   9 11 2015_-JuBDX8JRBQ - transcript (automated).pdf","Transcript Link")</f>
        <v>Transcript Link</v>
      </c>
    </row>
    <row r="1280" ht="180" spans="1:13">
      <c r="A1280" s="1" t="s">
        <v>5659</v>
      </c>
      <c r="B1280" s="1" t="s">
        <v>13</v>
      </c>
      <c r="C1280" s="4" t="s">
        <v>5660</v>
      </c>
      <c r="D1280" s="1" t="s">
        <v>5661</v>
      </c>
      <c r="E1280" s="1" t="s">
        <v>5662</v>
      </c>
      <c r="F1280" s="4" t="s">
        <v>17</v>
      </c>
      <c r="G1280" s="1" t="s">
        <v>18</v>
      </c>
      <c r="H1280" s="1" t="s">
        <v>19</v>
      </c>
      <c r="I1280" s="1" t="s">
        <v>20</v>
      </c>
      <c r="J1280" s="1" t="s">
        <v>5663</v>
      </c>
      <c r="K1280" s="1" t="s">
        <v>22</v>
      </c>
      <c r="L1280" s="1" t="str">
        <f>HYPERLINK("https://files.afu.se/Downloads/Transcripts/0%20-%20Government/USA%20-%20NASA%20Johnson/2015 09 10 - NASA Johnson - Space Station Live  On the Shoulders of Giants_Gj_SzDHWBz8 - transcript (automated).pdf","Transcript Link")</f>
        <v>Transcript Link</v>
      </c>
      <c r="M1280" s="2" t="str">
        <f>HYPERLINK("https://files.afu.se/Downloads/Transcripts/0%20-%20Government/USA%20-%20NASA%20Johnson/2015 09 10 - NASA Johnson - Space Station Live  On the Shoulders of Giants_Gj_SzDHWBz8 - transcript (automated).pdf","Transcript Link")</f>
        <v>Transcript Link</v>
      </c>
    </row>
    <row r="1281" ht="180" spans="1:13">
      <c r="A1281" s="1" t="s">
        <v>5664</v>
      </c>
      <c r="B1281" s="1" t="s">
        <v>13</v>
      </c>
      <c r="C1281" s="4" t="s">
        <v>5665</v>
      </c>
      <c r="D1281" s="1" t="s">
        <v>5666</v>
      </c>
      <c r="E1281" s="1" t="s">
        <v>5667</v>
      </c>
      <c r="F1281" s="4" t="s">
        <v>17</v>
      </c>
      <c r="G1281" s="1" t="s">
        <v>18</v>
      </c>
      <c r="H1281" s="1" t="s">
        <v>19</v>
      </c>
      <c r="I1281" s="1" t="s">
        <v>20</v>
      </c>
      <c r="J1281" s="1" t="s">
        <v>5668</v>
      </c>
      <c r="K1281" s="1" t="s">
        <v>22</v>
      </c>
      <c r="L1281" s="1" t="str">
        <f>HYPERLINK("https://files.afu.se/Downloads/Transcripts/0%20-%20Government/USA%20-%20NASA%20Johnson/2015 09 09 - NASA Johnson - Space Station Live  Gauging How Well They Work_5Gp1zBcIy88 - transcript (automated).pdf","Transcript Link")</f>
        <v>Transcript Link</v>
      </c>
      <c r="M1281" s="2" t="str">
        <f>HYPERLINK("https://files.afu.se/Downloads/Transcripts/0%20-%20Government/USA%20-%20NASA%20Johnson/2015 09 09 - NASA Johnson - Space Station Live  Gauging How Well They Work_5Gp1zBcIy88 - transcript (automated).pdf","Transcript Link")</f>
        <v>Transcript Link</v>
      </c>
    </row>
    <row r="1282" ht="180" spans="1:13">
      <c r="A1282" s="1" t="s">
        <v>5669</v>
      </c>
      <c r="B1282" s="1" t="s">
        <v>13</v>
      </c>
      <c r="C1282" s="4" t="s">
        <v>5670</v>
      </c>
      <c r="D1282" s="1" t="s">
        <v>5671</v>
      </c>
      <c r="E1282" s="1" t="s">
        <v>5636</v>
      </c>
      <c r="F1282" s="4" t="s">
        <v>17</v>
      </c>
      <c r="G1282" s="1" t="s">
        <v>18</v>
      </c>
      <c r="H1282" s="1" t="s">
        <v>19</v>
      </c>
      <c r="I1282" s="1" t="s">
        <v>20</v>
      </c>
      <c r="J1282" s="1" t="s">
        <v>5672</v>
      </c>
      <c r="K1282" s="1" t="s">
        <v>22</v>
      </c>
      <c r="L1282" s="1" t="str">
        <f>HYPERLINK("https://files.afu.se/Downloads/Transcripts/0%20-%20Government/USA%20-%20NASA%20Johnson/2015 09 04 - NASA Johnson - Orion Backstage with Ray Zibilich_0zA2z4yI02I - transcript (automated).pdf","Transcript Link")</f>
        <v>Transcript Link</v>
      </c>
      <c r="M1282" s="2" t="str">
        <f>HYPERLINK("https://files.afu.se/Downloads/Transcripts/0%20-%20Government/USA%20-%20NASA%20Johnson/2015 09 04 - NASA Johnson - Orion Backstage with Ray Zibilich_0zA2z4yI02I - transcript (automated).pdf","Transcript Link")</f>
        <v>Transcript Link</v>
      </c>
    </row>
    <row r="1283" ht="375" spans="1:13">
      <c r="A1283" s="1" t="s">
        <v>5669</v>
      </c>
      <c r="B1283" s="1" t="s">
        <v>13</v>
      </c>
      <c r="C1283" s="4" t="s">
        <v>5673</v>
      </c>
      <c r="D1283" s="1" t="s">
        <v>5674</v>
      </c>
      <c r="E1283" s="1" t="s">
        <v>5675</v>
      </c>
      <c r="F1283" s="4" t="s">
        <v>17</v>
      </c>
      <c r="G1283" s="1" t="s">
        <v>18</v>
      </c>
      <c r="H1283" s="1" t="s">
        <v>19</v>
      </c>
      <c r="I1283" s="1" t="s">
        <v>20</v>
      </c>
      <c r="J1283" s="1" t="s">
        <v>5676</v>
      </c>
      <c r="K1283" s="1" t="s">
        <v>22</v>
      </c>
      <c r="L1283" s="1" t="str">
        <f>HYPERLINK("https://files.afu.se/Downloads/Transcripts/0%20-%20Government/USA%20-%20NASA%20Johnson/2015 09 04 - NASA Johnson - Expedition 45 Visiting Crew Docks to the Space Station_0TDZX8r9DRw - transcript (automated).pdf","Transcript Link")</f>
        <v>Transcript Link</v>
      </c>
      <c r="M1283" s="2" t="str">
        <f>HYPERLINK("https://files.afu.se/Downloads/Transcripts/0%20-%20Government/USA%20-%20NASA%20Johnson/2015 09 04 - NASA Johnson - Expedition 45 Visiting Crew Docks to the Space Station_0TDZX8r9DRw - transcript (automated).pdf","Transcript Link")</f>
        <v>Transcript Link</v>
      </c>
    </row>
    <row r="1284" ht="180" spans="1:13">
      <c r="A1284" s="1" t="s">
        <v>5669</v>
      </c>
      <c r="B1284" s="1" t="s">
        <v>13</v>
      </c>
      <c r="C1284" s="4" t="s">
        <v>5677</v>
      </c>
      <c r="D1284" s="1" t="s">
        <v>5678</v>
      </c>
      <c r="E1284" s="1" t="s">
        <v>4931</v>
      </c>
      <c r="F1284" s="4" t="s">
        <v>17</v>
      </c>
      <c r="G1284" s="1" t="s">
        <v>18</v>
      </c>
      <c r="H1284" s="1" t="s">
        <v>19</v>
      </c>
      <c r="I1284" s="1" t="s">
        <v>20</v>
      </c>
      <c r="J1284" s="1" t="s">
        <v>5679</v>
      </c>
      <c r="K1284" s="1" t="s">
        <v>22</v>
      </c>
      <c r="L1284" s="1" t="str">
        <f>HYPERLINK("https://files.afu.se/Downloads/Transcripts/0%20-%20Government/USA%20-%20NASA%20Johnson/2015 09 04 - NASA Johnson - Space to Ground  Then There Were Nine   9 4 2015_VexO24Q0omM - transcript (automated).pdf","Transcript Link")</f>
        <v>Transcript Link</v>
      </c>
      <c r="M1284" s="2" t="str">
        <f>HYPERLINK("https://files.afu.se/Downloads/Transcripts/0%20-%20Government/USA%20-%20NASA%20Johnson/2015 09 04 - NASA Johnson - Space to Ground  Then There Were Nine   9 4 2015_VexO24Q0omM - transcript (automated).pdf","Transcript Link")</f>
        <v>Transcript Link</v>
      </c>
    </row>
    <row r="1285" ht="345" spans="1:13">
      <c r="A1285" s="1" t="s">
        <v>5680</v>
      </c>
      <c r="B1285" s="1" t="s">
        <v>13</v>
      </c>
      <c r="C1285" s="4" t="s">
        <v>5681</v>
      </c>
      <c r="D1285" s="1" t="s">
        <v>5682</v>
      </c>
      <c r="E1285" s="1" t="s">
        <v>5683</v>
      </c>
      <c r="F1285" s="4" t="s">
        <v>17</v>
      </c>
      <c r="G1285" s="1" t="s">
        <v>18</v>
      </c>
      <c r="H1285" s="1" t="s">
        <v>19</v>
      </c>
      <c r="I1285" s="1" t="s">
        <v>20</v>
      </c>
      <c r="J1285" s="1" t="s">
        <v>5684</v>
      </c>
      <c r="K1285" s="1" t="s">
        <v>22</v>
      </c>
      <c r="L1285" s="1" t="str">
        <f>HYPERLINK("https://files.afu.se/Downloads/Transcripts/0%20-%20Government/USA%20-%20NASA%20Johnson/2015 09 03 - NASA Johnson - Space Station Live  Orbiting Astronaut to Drive Earth Robot_MJ98dgf9Mwg - transcript (automated).pdf","Transcript Link")</f>
        <v>Transcript Link</v>
      </c>
      <c r="M1285" s="2" t="str">
        <f>HYPERLINK("https://files.afu.se/Downloads/Transcripts/0%20-%20Government/USA%20-%20NASA%20Johnson/2015 09 03 - NASA Johnson - Space Station Live  Orbiting Astronaut to Drive Earth Robot_MJ98dgf9Mwg - transcript (automated).pdf","Transcript Link")</f>
        <v>Transcript Link</v>
      </c>
    </row>
    <row r="1286" ht="360" spans="1:13">
      <c r="A1286" s="1" t="s">
        <v>5680</v>
      </c>
      <c r="B1286" s="1" t="s">
        <v>13</v>
      </c>
      <c r="C1286" s="4" t="s">
        <v>5685</v>
      </c>
      <c r="D1286" s="1" t="s">
        <v>5686</v>
      </c>
      <c r="E1286" s="1" t="s">
        <v>5687</v>
      </c>
      <c r="F1286" s="4" t="s">
        <v>17</v>
      </c>
      <c r="G1286" s="1" t="s">
        <v>18</v>
      </c>
      <c r="H1286" s="1" t="s">
        <v>19</v>
      </c>
      <c r="I1286" s="1" t="s">
        <v>20</v>
      </c>
      <c r="J1286" s="1" t="s">
        <v>5688</v>
      </c>
      <c r="K1286" s="1" t="s">
        <v>22</v>
      </c>
      <c r="L1286" s="1" t="str">
        <f>HYPERLINK("https://files.afu.se/Downloads/Transcripts/0%20-%20Government/USA%20-%20NASA%20Johnson/2015 09 03 - NASA Johnson - It Takes a NASA Village to Make a Space Mission Successful_ALKhJ3T9H14 - transcript (automated).pdf","Transcript Link")</f>
        <v>Transcript Link</v>
      </c>
      <c r="M1286" s="2" t="str">
        <f>HYPERLINK("https://files.afu.se/Downloads/Transcripts/0%20-%20Government/USA%20-%20NASA%20Johnson/2015 09 03 - NASA Johnson - It Takes a NASA Village to Make a Space Mission Successful_ALKhJ3T9H14 - transcript (automated).pdf","Transcript Link")</f>
        <v>Transcript Link</v>
      </c>
    </row>
    <row r="1287" ht="409.5" spans="1:13">
      <c r="A1287" s="1" t="s">
        <v>5680</v>
      </c>
      <c r="B1287" s="1" t="s">
        <v>13</v>
      </c>
      <c r="C1287" s="4" t="s">
        <v>5689</v>
      </c>
      <c r="D1287" s="1" t="s">
        <v>5690</v>
      </c>
      <c r="E1287" s="1" t="s">
        <v>5691</v>
      </c>
      <c r="F1287" s="4" t="s">
        <v>17</v>
      </c>
      <c r="G1287" s="1" t="s">
        <v>18</v>
      </c>
      <c r="H1287" s="1" t="s">
        <v>19</v>
      </c>
      <c r="I1287" s="1" t="s">
        <v>20</v>
      </c>
      <c r="J1287" s="1" t="s">
        <v>5692</v>
      </c>
      <c r="K1287" s="1" t="s">
        <v>22</v>
      </c>
      <c r="L1287" s="1" t="str">
        <f>HYPERLINK("https://files.afu.se/Downloads/Transcripts/0%20-%20Government/USA%20-%20NASA%20Johnson/2015 09 03 - NASA Johnson - ISS Benefits for Humanity  From NASA to Napa_-3fYlBadTJU - transcript (automated).pdf","Transcript Link")</f>
        <v>Transcript Link</v>
      </c>
      <c r="M1287" s="2" t="str">
        <f>HYPERLINK("https://files.afu.se/Downloads/Transcripts/0%20-%20Government/USA%20-%20NASA%20Johnson/2015 09 03 - NASA Johnson - ISS Benefits for Humanity  From NASA to Napa_-3fYlBadTJU - transcript (automated).pdf","Transcript Link")</f>
        <v>Transcript Link</v>
      </c>
    </row>
    <row r="1288" ht="180" spans="1:13">
      <c r="A1288" s="1" t="s">
        <v>5693</v>
      </c>
      <c r="B1288" s="1" t="s">
        <v>13</v>
      </c>
      <c r="C1288" s="4" t="s">
        <v>5694</v>
      </c>
      <c r="D1288" s="1" t="s">
        <v>5695</v>
      </c>
      <c r="E1288" s="1" t="s">
        <v>5696</v>
      </c>
      <c r="F1288" s="4" t="s">
        <v>17</v>
      </c>
      <c r="G1288" s="1" t="s">
        <v>18</v>
      </c>
      <c r="H1288" s="1" t="s">
        <v>19</v>
      </c>
      <c r="I1288" s="1" t="s">
        <v>20</v>
      </c>
      <c r="J1288" s="1" t="s">
        <v>5697</v>
      </c>
      <c r="K1288" s="1" t="s">
        <v>22</v>
      </c>
      <c r="L1288" s="1" t="str">
        <f>HYPERLINK("https://files.afu.se/Downloads/Transcripts/0%20-%20Government/USA%20-%20NASA%20Johnson/2015 09 02 - NASA Johnson - Space Station Live  A Call to Arms for T-cells_O3NrMbaEPi4 - transcript (automated).pdf","Transcript Link")</f>
        <v>Transcript Link</v>
      </c>
      <c r="M1288" s="2" t="str">
        <f>HYPERLINK("https://files.afu.se/Downloads/Transcripts/0%20-%20Government/USA%20-%20NASA%20Johnson/2015 09 02 - NASA Johnson - Space Station Live  A Call to Arms for T-cells_O3NrMbaEPi4 - transcript (automated).pdf","Transcript Link")</f>
        <v>Transcript Link</v>
      </c>
    </row>
    <row r="1289" ht="409.5" spans="1:13">
      <c r="A1289" s="1" t="s">
        <v>5698</v>
      </c>
      <c r="B1289" s="1" t="s">
        <v>13</v>
      </c>
      <c r="C1289" s="4" t="s">
        <v>5699</v>
      </c>
      <c r="D1289" s="1" t="s">
        <v>5700</v>
      </c>
      <c r="E1289" s="1" t="s">
        <v>5701</v>
      </c>
      <c r="F1289" s="4" t="s">
        <v>17</v>
      </c>
      <c r="G1289" s="1" t="s">
        <v>18</v>
      </c>
      <c r="H1289" s="1" t="s">
        <v>19</v>
      </c>
      <c r="I1289" s="1" t="s">
        <v>20</v>
      </c>
      <c r="J1289" s="1" t="s">
        <v>5702</v>
      </c>
      <c r="K1289" s="1" t="s">
        <v>22</v>
      </c>
      <c r="L1289" s="1" t="str">
        <f>HYPERLINK("https://files.afu.se/Downloads/Transcripts/0%20-%20Government/USA%20-%20NASA%20Johnson/2015 09 01 - NASA Johnson - StationLIFE  Biology – September_WiQK27MjqGo - transcript (automated).pdf","Transcript Link")</f>
        <v>Transcript Link</v>
      </c>
      <c r="M1289" s="2" t="str">
        <f>HYPERLINK("https://files.afu.se/Downloads/Transcripts/0%20-%20Government/USA%20-%20NASA%20Johnson/2015 09 01 - NASA Johnson - StationLIFE  Biology – September_WiQK27MjqGo - transcript (automated).pdf","Transcript Link")</f>
        <v>Transcript Link</v>
      </c>
    </row>
    <row r="1290" ht="180" spans="1:13">
      <c r="A1290" s="1" t="s">
        <v>5703</v>
      </c>
      <c r="B1290" s="1" t="s">
        <v>13</v>
      </c>
      <c r="C1290" s="4" t="s">
        <v>5704</v>
      </c>
      <c r="D1290" s="1" t="s">
        <v>5705</v>
      </c>
      <c r="E1290" s="1" t="s">
        <v>5706</v>
      </c>
      <c r="F1290" s="4" t="s">
        <v>17</v>
      </c>
      <c r="G1290" s="1" t="s">
        <v>18</v>
      </c>
      <c r="H1290" s="1" t="s">
        <v>19</v>
      </c>
      <c r="I1290" s="1" t="s">
        <v>20</v>
      </c>
      <c r="J1290" s="1" t="s">
        <v>5707</v>
      </c>
      <c r="K1290" s="1" t="s">
        <v>22</v>
      </c>
      <c r="L1290" s="1" t="str">
        <f>HYPERLINK("https://files.afu.se/Downloads/Transcripts/0%20-%20Government/USA%20-%20NASA%20Johnson/2015 08 31 - NASA Johnson - Stronger Together_OoL0ZALSuPI - transcript (automated).pdf","Transcript Link")</f>
        <v>Transcript Link</v>
      </c>
      <c r="M1290" s="2" t="str">
        <f>HYPERLINK("https://files.afu.se/Downloads/Transcripts/0%20-%20Government/USA%20-%20NASA%20Johnson/2015 08 31 - NASA Johnson - Stronger Together_OoL0ZALSuPI - transcript (automated).pdf","Transcript Link")</f>
        <v>Transcript Link</v>
      </c>
    </row>
    <row r="1291" ht="270" spans="1:13">
      <c r="A1291" s="1" t="s">
        <v>5708</v>
      </c>
      <c r="B1291" s="1" t="s">
        <v>13</v>
      </c>
      <c r="C1291" s="4" t="s">
        <v>5709</v>
      </c>
      <c r="D1291" s="1" t="s">
        <v>5710</v>
      </c>
      <c r="E1291" s="1" t="s">
        <v>5711</v>
      </c>
      <c r="F1291" s="4" t="s">
        <v>17</v>
      </c>
      <c r="G1291" s="1" t="s">
        <v>18</v>
      </c>
      <c r="H1291" s="1" t="s">
        <v>19</v>
      </c>
      <c r="I1291" s="1" t="s">
        <v>20</v>
      </c>
      <c r="J1291" s="1" t="s">
        <v>5712</v>
      </c>
      <c r="K1291" s="1" t="s">
        <v>22</v>
      </c>
      <c r="L1291" s="1" t="str">
        <f>HYPERLINK("https://files.afu.se/Downloads/Transcripts/0%20-%20Government/USA%20-%20NASA%20Johnson/2015 08 28 - NASA Johnson - Launch Preparations for Expedition 45 Continues_vQiY3DuGv5g - transcript (automated).pdf","Transcript Link")</f>
        <v>Transcript Link</v>
      </c>
      <c r="M1291" s="2" t="str">
        <f>HYPERLINK("https://files.afu.se/Downloads/Transcripts/0%20-%20Government/USA%20-%20NASA%20Johnson/2015 08 28 - NASA Johnson - Launch Preparations for Expedition 45 Continues_vQiY3DuGv5g - transcript (automated).pdf","Transcript Link")</f>
        <v>Transcript Link</v>
      </c>
    </row>
    <row r="1292" ht="180" spans="1:13">
      <c r="A1292" s="1" t="s">
        <v>5708</v>
      </c>
      <c r="B1292" s="1" t="s">
        <v>13</v>
      </c>
      <c r="C1292" s="4" t="s">
        <v>5713</v>
      </c>
      <c r="D1292" s="1" t="s">
        <v>5714</v>
      </c>
      <c r="E1292" s="1" t="s">
        <v>4931</v>
      </c>
      <c r="F1292" s="4" t="s">
        <v>17</v>
      </c>
      <c r="G1292" s="1" t="s">
        <v>18</v>
      </c>
      <c r="H1292" s="1" t="s">
        <v>19</v>
      </c>
      <c r="I1292" s="1" t="s">
        <v>20</v>
      </c>
      <c r="J1292" s="1" t="s">
        <v>5715</v>
      </c>
      <c r="K1292" s="1" t="s">
        <v>22</v>
      </c>
      <c r="L1292" s="1" t="str">
        <f>HYPERLINK("https://files.afu.se/Downloads/Transcripts/0%20-%20Government/USA%20-%20NASA%20Johnson/2015 08 28 - NASA Johnson - Space to Ground  The Stork Arrives  8 28 2015_pmnvj24pfz8 - transcript (automated).pdf","Transcript Link")</f>
        <v>Transcript Link</v>
      </c>
      <c r="M1292" s="2" t="str">
        <f>HYPERLINK("https://files.afu.se/Downloads/Transcripts/0%20-%20Government/USA%20-%20NASA%20Johnson/2015 08 28 - NASA Johnson - Space to Ground  The Stork Arrives  8 28 2015_pmnvj24pfz8 - transcript (automated).pdf","Transcript Link")</f>
        <v>Transcript Link</v>
      </c>
    </row>
    <row r="1293" ht="285" spans="1:13">
      <c r="A1293" s="1" t="s">
        <v>5716</v>
      </c>
      <c r="B1293" s="1" t="s">
        <v>13</v>
      </c>
      <c r="C1293" s="4" t="s">
        <v>5717</v>
      </c>
      <c r="D1293" s="1" t="s">
        <v>5718</v>
      </c>
      <c r="E1293" s="1" t="s">
        <v>5719</v>
      </c>
      <c r="F1293" s="4" t="s">
        <v>17</v>
      </c>
      <c r="G1293" s="1" t="s">
        <v>18</v>
      </c>
      <c r="H1293" s="1" t="s">
        <v>19</v>
      </c>
      <c r="I1293" s="1" t="s">
        <v>20</v>
      </c>
      <c r="J1293" s="1" t="s">
        <v>5720</v>
      </c>
      <c r="K1293" s="1" t="s">
        <v>22</v>
      </c>
      <c r="L1293" s="1" t="str">
        <f>HYPERLINK("https://files.afu.se/Downloads/Transcripts/0%20-%20Government/USA%20-%20NASA%20Johnson/2015 08 27 - NASA Johnson - Space Station Live  What Happens When You Move a Soyuz_Oy6bCbMMktg - transcript (automated).pdf","Transcript Link")</f>
        <v>Transcript Link</v>
      </c>
      <c r="M1293" s="2" t="str">
        <f>HYPERLINK("https://files.afu.se/Downloads/Transcripts/0%20-%20Government/USA%20-%20NASA%20Johnson/2015 08 27 - NASA Johnson - Space Station Live  What Happens When You Move a Soyuz_Oy6bCbMMktg - transcript (automated).pdf","Transcript Link")</f>
        <v>Transcript Link</v>
      </c>
    </row>
    <row r="1294" ht="240" spans="1:13">
      <c r="A1294" s="1" t="s">
        <v>5721</v>
      </c>
      <c r="B1294" s="1" t="s">
        <v>13</v>
      </c>
      <c r="C1294" s="4" t="s">
        <v>5722</v>
      </c>
      <c r="D1294" s="1" t="s">
        <v>5723</v>
      </c>
      <c r="E1294" s="1" t="s">
        <v>5724</v>
      </c>
      <c r="F1294" s="4" t="s">
        <v>17</v>
      </c>
      <c r="G1294" s="1" t="s">
        <v>18</v>
      </c>
      <c r="H1294" s="1" t="s">
        <v>19</v>
      </c>
      <c r="I1294" s="1" t="s">
        <v>20</v>
      </c>
      <c r="J1294" s="1" t="s">
        <v>5725</v>
      </c>
      <c r="K1294" s="1" t="s">
        <v>22</v>
      </c>
      <c r="L1294" s="1" t="str">
        <f>HYPERLINK("https://files.afu.se/Downloads/Transcripts/0%20-%20Government/USA%20-%20NASA%20Johnson/2015 08 26 - NASA Johnson - Next Station Crew Arrives in Baikonur_6trQ6TROjg8 - transcript (automated).pdf","Transcript Link")</f>
        <v>Transcript Link</v>
      </c>
      <c r="M1294" s="2" t="str">
        <f>HYPERLINK("https://files.afu.se/Downloads/Transcripts/0%20-%20Government/USA%20-%20NASA%20Johnson/2015 08 26 - NASA Johnson - Next Station Crew Arrives in Baikonur_6trQ6TROjg8 - transcript (automated).pdf","Transcript Link")</f>
        <v>Transcript Link</v>
      </c>
    </row>
    <row r="1295" ht="270" spans="1:13">
      <c r="A1295" s="1" t="s">
        <v>5721</v>
      </c>
      <c r="B1295" s="1" t="s">
        <v>13</v>
      </c>
      <c r="C1295" s="4" t="s">
        <v>5726</v>
      </c>
      <c r="D1295" s="1" t="s">
        <v>5727</v>
      </c>
      <c r="E1295" s="1" t="s">
        <v>5728</v>
      </c>
      <c r="F1295" s="4" t="s">
        <v>17</v>
      </c>
      <c r="G1295" s="1" t="s">
        <v>18</v>
      </c>
      <c r="H1295" s="1" t="s">
        <v>19</v>
      </c>
      <c r="I1295" s="1" t="s">
        <v>20</v>
      </c>
      <c r="J1295" s="1" t="s">
        <v>5729</v>
      </c>
      <c r="K1295" s="1" t="s">
        <v>22</v>
      </c>
      <c r="L1295" s="1" t="str">
        <f>HYPERLINK("https://files.afu.se/Downloads/Transcripts/0%20-%20Government/USA%20-%20NASA%20Johnson/2015 08 26 - NASA Johnson - Space Station Live  OPALS is a Real Gem__gBBUWgn2iU - transcript (automated).pdf","Transcript Link")</f>
        <v>Transcript Link</v>
      </c>
      <c r="M1295" s="2" t="str">
        <f>HYPERLINK("https://files.afu.se/Downloads/Transcripts/0%20-%20Government/USA%20-%20NASA%20Johnson/2015 08 26 - NASA Johnson - Space Station Live  OPALS is a Real Gem__gBBUWgn2iU - transcript (automated).pdf","Transcript Link")</f>
        <v>Transcript Link</v>
      </c>
    </row>
    <row r="1296" ht="270" spans="1:13">
      <c r="A1296" s="1" t="s">
        <v>5721</v>
      </c>
      <c r="B1296" s="1" t="s">
        <v>13</v>
      </c>
      <c r="C1296" s="4" t="s">
        <v>5730</v>
      </c>
      <c r="D1296" s="1" t="s">
        <v>5731</v>
      </c>
      <c r="E1296" s="1" t="s">
        <v>5732</v>
      </c>
      <c r="F1296" s="4" t="s">
        <v>17</v>
      </c>
      <c r="G1296" s="1" t="s">
        <v>18</v>
      </c>
      <c r="H1296" s="1" t="s">
        <v>19</v>
      </c>
      <c r="I1296" s="1" t="s">
        <v>20</v>
      </c>
      <c r="J1296" s="1" t="s">
        <v>5733</v>
      </c>
      <c r="K1296" s="1" t="s">
        <v>22</v>
      </c>
      <c r="L1296" s="1" t="str">
        <f>HYPERLINK("https://files.afu.se/Downloads/Transcripts/0%20-%20Government/USA%20-%20NASA%20Johnson/2015 08 26 - NASA Johnson - Engineers Complete Dramatic Test of Orion's Parachute System_ad9UW_oVq9Y - transcript (automated).pdf","Transcript Link")</f>
        <v>Transcript Link</v>
      </c>
      <c r="M1296" s="2" t="str">
        <f>HYPERLINK("https://files.afu.se/Downloads/Transcripts/0%20-%20Government/USA%20-%20NASA%20Johnson/2015 08 26 - NASA Johnson - Engineers Complete Dramatic Test of Orion's Parachute System_ad9UW_oVq9Y - transcript (automated).pdf","Transcript Link")</f>
        <v>Transcript Link</v>
      </c>
    </row>
    <row r="1297" ht="180" spans="1:13">
      <c r="A1297" s="1" t="s">
        <v>5721</v>
      </c>
      <c r="B1297" s="1" t="s">
        <v>13</v>
      </c>
      <c r="C1297" s="4" t="s">
        <v>5734</v>
      </c>
      <c r="D1297" s="1" t="s">
        <v>5735</v>
      </c>
      <c r="E1297" s="1" t="s">
        <v>5736</v>
      </c>
      <c r="F1297" s="4" t="s">
        <v>17</v>
      </c>
      <c r="G1297" s="1" t="s">
        <v>18</v>
      </c>
      <c r="H1297" s="1" t="s">
        <v>19</v>
      </c>
      <c r="I1297" s="1" t="s">
        <v>20</v>
      </c>
      <c r="J1297" s="1" t="s">
        <v>5737</v>
      </c>
      <c r="K1297" s="1" t="s">
        <v>22</v>
      </c>
      <c r="L1297" s="1" t="str">
        <f>HYPERLINK("https://files.afu.se/Downloads/Transcripts/0%20-%20Government/USA%20-%20NASA%20Johnson/2015 08 26 - NASA Johnson - Micro-g NExT Opportunity_lU4yfD84R3o - transcript (automated).pdf","Transcript Link")</f>
        <v>Transcript Link</v>
      </c>
      <c r="M1297" s="2" t="str">
        <f>HYPERLINK("https://files.afu.se/Downloads/Transcripts/0%20-%20Government/USA%20-%20NASA%20Johnson/2015 08 26 - NASA Johnson - Micro-g NExT Opportunity_lU4yfD84R3o - transcript (automated).pdf","Transcript Link")</f>
        <v>Transcript Link</v>
      </c>
    </row>
    <row r="1298" ht="300" spans="1:13">
      <c r="A1298" s="1" t="s">
        <v>5738</v>
      </c>
      <c r="B1298" s="1" t="s">
        <v>13</v>
      </c>
      <c r="C1298" s="4" t="s">
        <v>5739</v>
      </c>
      <c r="D1298" s="1" t="s">
        <v>5740</v>
      </c>
      <c r="E1298" s="1" t="s">
        <v>5741</v>
      </c>
      <c r="F1298" s="4" t="s">
        <v>17</v>
      </c>
      <c r="G1298" s="1" t="s">
        <v>18</v>
      </c>
      <c r="H1298" s="1" t="s">
        <v>19</v>
      </c>
      <c r="I1298" s="1" t="s">
        <v>20</v>
      </c>
      <c r="J1298" s="1" t="s">
        <v>5742</v>
      </c>
      <c r="K1298" s="1" t="s">
        <v>22</v>
      </c>
      <c r="L1298" s="1" t="str">
        <f>HYPERLINK("https://files.afu.se/Downloads/Transcripts/0%20-%20Government/USA%20-%20NASA%20Johnson/2015 08 25 - NASA Johnson - Space Station Live  Space-Proven Air Scrubber_7mGv9lfrg_c - transcript (automated).pdf","Transcript Link")</f>
        <v>Transcript Link</v>
      </c>
      <c r="M1298" s="2" t="str">
        <f>HYPERLINK("https://files.afu.se/Downloads/Transcripts/0%20-%20Government/USA%20-%20NASA%20Johnson/2015 08 25 - NASA Johnson - Space Station Live  Space-Proven Air Scrubber_7mGv9lfrg_c - transcript (automated).pdf","Transcript Link")</f>
        <v>Transcript Link</v>
      </c>
    </row>
    <row r="1299" ht="180" spans="1:13">
      <c r="A1299" s="1" t="s">
        <v>5743</v>
      </c>
      <c r="B1299" s="1" t="s">
        <v>13</v>
      </c>
      <c r="C1299" s="4" t="s">
        <v>5744</v>
      </c>
      <c r="D1299" s="1" t="s">
        <v>5745</v>
      </c>
      <c r="E1299" s="1" t="s">
        <v>5746</v>
      </c>
      <c r="F1299" s="4" t="s">
        <v>17</v>
      </c>
      <c r="G1299" s="1" t="s">
        <v>18</v>
      </c>
      <c r="H1299" s="1" t="s">
        <v>19</v>
      </c>
      <c r="I1299" s="1" t="s">
        <v>20</v>
      </c>
      <c r="J1299" s="1" t="s">
        <v>5747</v>
      </c>
      <c r="K1299" s="1" t="s">
        <v>22</v>
      </c>
      <c r="L1299" s="1" t="str">
        <f>HYPERLINK("https://files.afu.se/Downloads/Transcripts/0%20-%20Government/USA%20-%20NASA%20Johnson/2015 08 24 - NASA Johnson - Monthly ISS Research Video Update for July 2015_V6i7-XTe4XU - transcript (automated).pdf","Transcript Link")</f>
        <v>Transcript Link</v>
      </c>
      <c r="M1299" s="2" t="str">
        <f>HYPERLINK("https://files.afu.se/Downloads/Transcripts/0%20-%20Government/USA%20-%20NASA%20Johnson/2015 08 24 - NASA Johnson - Monthly ISS Research Video Update for July 2015_V6i7-XTe4XU - transcript (automated).pdf","Transcript Link")</f>
        <v>Transcript Link</v>
      </c>
    </row>
    <row r="1300" ht="180" spans="1:13">
      <c r="A1300" s="1" t="s">
        <v>5743</v>
      </c>
      <c r="B1300" s="1" t="s">
        <v>13</v>
      </c>
      <c r="C1300" s="4" t="s">
        <v>5748</v>
      </c>
      <c r="D1300" s="1" t="s">
        <v>5749</v>
      </c>
      <c r="E1300" s="1" t="s">
        <v>5750</v>
      </c>
      <c r="F1300" s="4" t="s">
        <v>17</v>
      </c>
      <c r="G1300" s="1" t="s">
        <v>18</v>
      </c>
      <c r="H1300" s="1" t="s">
        <v>19</v>
      </c>
      <c r="I1300" s="1" t="s">
        <v>20</v>
      </c>
      <c r="J1300" s="1" t="s">
        <v>5751</v>
      </c>
      <c r="K1300" s="1" t="s">
        <v>22</v>
      </c>
      <c r="L1300" s="1" t="str">
        <f>HYPERLINK("https://files.afu.se/Downloads/Transcripts/0%20-%20Government/USA%20-%20NASA%20Johnson/2015 08 24 - NASA Johnson - A Moment with Sergey Volkov_nJupdzLR9Fk - transcript (automated).pdf","Transcript Link")</f>
        <v>Transcript Link</v>
      </c>
      <c r="M1300" s="2" t="str">
        <f>HYPERLINK("https://files.afu.se/Downloads/Transcripts/0%20-%20Government/USA%20-%20NASA%20Johnson/2015 08 24 - NASA Johnson - A Moment with Sergey Volkov_nJupdzLR9Fk - transcript (automated).pdf","Transcript Link")</f>
        <v>Transcript Link</v>
      </c>
    </row>
    <row r="1301" ht="180" spans="1:13">
      <c r="A1301" s="1" t="s">
        <v>5752</v>
      </c>
      <c r="B1301" s="1" t="s">
        <v>13</v>
      </c>
      <c r="C1301" s="4" t="s">
        <v>5753</v>
      </c>
      <c r="D1301" s="1" t="s">
        <v>5754</v>
      </c>
      <c r="E1301" s="1" t="s">
        <v>5470</v>
      </c>
      <c r="F1301" s="4" t="s">
        <v>17</v>
      </c>
      <c r="G1301" s="1" t="s">
        <v>18</v>
      </c>
      <c r="H1301" s="1" t="s">
        <v>19</v>
      </c>
      <c r="I1301" s="1" t="s">
        <v>20</v>
      </c>
      <c r="J1301" s="1" t="s">
        <v>5755</v>
      </c>
      <c r="K1301" s="1" t="s">
        <v>22</v>
      </c>
      <c r="L1301" s="1" t="str">
        <f>HYPERLINK("https://files.afu.se/Downloads/Transcripts/0%20-%20Government/USA%20-%20NASA%20Johnson/2015 08 21 - NASA Johnson - Space to Ground  HTV-5 Launch  8 21 2015_PRMvRkqPbIE - transcript (automated).pdf","Transcript Link")</f>
        <v>Transcript Link</v>
      </c>
      <c r="M1301" s="2" t="str">
        <f>HYPERLINK("https://files.afu.se/Downloads/Transcripts/0%20-%20Government/USA%20-%20NASA%20Johnson/2015 08 21 - NASA Johnson - Space to Ground  HTV-5 Launch  8 21 2015_PRMvRkqPbIE - transcript (automated).pdf","Transcript Link")</f>
        <v>Transcript Link</v>
      </c>
    </row>
    <row r="1302" ht="285" spans="1:13">
      <c r="A1302" s="1" t="s">
        <v>5756</v>
      </c>
      <c r="B1302" s="1" t="s">
        <v>13</v>
      </c>
      <c r="C1302" s="4" t="s">
        <v>5757</v>
      </c>
      <c r="D1302" s="1" t="s">
        <v>5758</v>
      </c>
      <c r="E1302" s="1" t="s">
        <v>5759</v>
      </c>
      <c r="F1302" s="4" t="s">
        <v>17</v>
      </c>
      <c r="G1302" s="1" t="s">
        <v>18</v>
      </c>
      <c r="H1302" s="1" t="s">
        <v>19</v>
      </c>
      <c r="I1302" s="1" t="s">
        <v>20</v>
      </c>
      <c r="J1302" s="1" t="s">
        <v>5760</v>
      </c>
      <c r="K1302" s="1" t="s">
        <v>22</v>
      </c>
      <c r="L1302" s="1" t="str">
        <f>HYPERLINK("https://files.afu.se/Downloads/Transcripts/0%20-%20Government/USA%20-%20NASA%20Johnson/2015 08 20 - NASA Johnson - Space Station Live  Orion Parachutes Ready for the Test_YLWK4dNEuBc - transcript (automated).pdf","Transcript Link")</f>
        <v>Transcript Link</v>
      </c>
      <c r="M1302" s="2" t="str">
        <f>HYPERLINK("https://files.afu.se/Downloads/Transcripts/0%20-%20Government/USA%20-%20NASA%20Johnson/2015 08 20 - NASA Johnson - Space Station Live  Orion Parachutes Ready for the Test_YLWK4dNEuBc - transcript (automated).pdf","Transcript Link")</f>
        <v>Transcript Link</v>
      </c>
    </row>
    <row r="1303" ht="270" spans="1:13">
      <c r="A1303" s="1" t="s">
        <v>5761</v>
      </c>
      <c r="B1303" s="1" t="s">
        <v>13</v>
      </c>
      <c r="C1303" s="4" t="s">
        <v>5762</v>
      </c>
      <c r="D1303" s="1" t="s">
        <v>5763</v>
      </c>
      <c r="E1303" s="1" t="s">
        <v>5764</v>
      </c>
      <c r="F1303" s="4" t="s">
        <v>17</v>
      </c>
      <c r="G1303" s="1" t="s">
        <v>18</v>
      </c>
      <c r="H1303" s="1" t="s">
        <v>19</v>
      </c>
      <c r="I1303" s="1" t="s">
        <v>20</v>
      </c>
      <c r="J1303" s="1" t="s">
        <v>5765</v>
      </c>
      <c r="K1303" s="1" t="s">
        <v>22</v>
      </c>
      <c r="L1303" s="1" t="str">
        <f>HYPERLINK("https://files.afu.se/Downloads/Transcripts/0%20-%20Government/USA%20-%20NASA%20Johnson/2015 08 19 - NASA Johnson - Space Station Live  Update on 3-D Printing in Space_HouJPqYG5E4 - transcript (automated).pdf","Transcript Link")</f>
        <v>Transcript Link</v>
      </c>
      <c r="M1303" s="2" t="str">
        <f>HYPERLINK("https://files.afu.se/Downloads/Transcripts/0%20-%20Government/USA%20-%20NASA%20Johnson/2015 08 19 - NASA Johnson - Space Station Live  Update on 3-D Printing in Space_HouJPqYG5E4 - transcript (automated).pdf","Transcript Link")</f>
        <v>Transcript Link</v>
      </c>
    </row>
    <row r="1304" ht="315" spans="1:13">
      <c r="A1304" s="1" t="s">
        <v>5761</v>
      </c>
      <c r="B1304" s="1" t="s">
        <v>13</v>
      </c>
      <c r="C1304" s="4" t="s">
        <v>5766</v>
      </c>
      <c r="D1304" s="1" t="s">
        <v>5767</v>
      </c>
      <c r="E1304" s="1" t="s">
        <v>5768</v>
      </c>
      <c r="F1304" s="4" t="s">
        <v>17</v>
      </c>
      <c r="G1304" s="1" t="s">
        <v>18</v>
      </c>
      <c r="H1304" s="1" t="s">
        <v>19</v>
      </c>
      <c r="I1304" s="1" t="s">
        <v>20</v>
      </c>
      <c r="J1304" s="1" t="s">
        <v>5769</v>
      </c>
      <c r="K1304" s="1" t="s">
        <v>22</v>
      </c>
      <c r="L1304" s="1" t="str">
        <f>HYPERLINK("https://files.afu.se/Downloads/Transcripts/0%20-%20Government/USA%20-%20NASA%20Johnson/2015 08 19 - NASA Johnson - Space Station Live  Cosmic Ray Detector for ISS_MCiRuTkIkhw - transcript (automated).pdf","Transcript Link")</f>
        <v>Transcript Link</v>
      </c>
      <c r="M1304" s="2" t="str">
        <f>HYPERLINK("https://files.afu.se/Downloads/Transcripts/0%20-%20Government/USA%20-%20NASA%20Johnson/2015 08 19 - NASA Johnson - Space Station Live  Cosmic Ray Detector for ISS_MCiRuTkIkhw - transcript (automated).pdf","Transcript Link")</f>
        <v>Transcript Link</v>
      </c>
    </row>
    <row r="1305" ht="270" spans="1:13">
      <c r="A1305" s="1" t="s">
        <v>5770</v>
      </c>
      <c r="B1305" s="1" t="s">
        <v>13</v>
      </c>
      <c r="C1305" s="4" t="s">
        <v>5771</v>
      </c>
      <c r="D1305" s="1" t="s">
        <v>5772</v>
      </c>
      <c r="E1305" s="1" t="s">
        <v>5773</v>
      </c>
      <c r="F1305" s="4" t="s">
        <v>17</v>
      </c>
      <c r="G1305" s="1" t="s">
        <v>18</v>
      </c>
      <c r="H1305" s="1" t="s">
        <v>19</v>
      </c>
      <c r="I1305" s="1" t="s">
        <v>20</v>
      </c>
      <c r="J1305" s="1" t="s">
        <v>5774</v>
      </c>
      <c r="K1305" s="1" t="s">
        <v>22</v>
      </c>
      <c r="L1305" s="1" t="str">
        <f>HYPERLINK("https://files.afu.se/Downloads/Transcripts/0%20-%20Government/USA%20-%20NASA%20Johnson/2015 08 18 - NASA Johnson - Visiting Soyuz Crew Departs For Kazakhstan_c95LS6Y2LTo - transcript (automated).pdf","Transcript Link")</f>
        <v>Transcript Link</v>
      </c>
      <c r="M1305" s="2" t="str">
        <f>HYPERLINK("https://files.afu.se/Downloads/Transcripts/0%20-%20Government/USA%20-%20NASA%20Johnson/2015 08 18 - NASA Johnson - Visiting Soyuz Crew Departs For Kazakhstan_c95LS6Y2LTo - transcript (automated).pdf","Transcript Link")</f>
        <v>Transcript Link</v>
      </c>
    </row>
    <row r="1306" ht="210" spans="1:13">
      <c r="A1306" s="1" t="s">
        <v>5775</v>
      </c>
      <c r="B1306" s="1" t="s">
        <v>13</v>
      </c>
      <c r="C1306" s="4" t="s">
        <v>5776</v>
      </c>
      <c r="D1306" s="1" t="s">
        <v>5777</v>
      </c>
      <c r="E1306" s="1" t="s">
        <v>5778</v>
      </c>
      <c r="F1306" s="4" t="s">
        <v>17</v>
      </c>
      <c r="G1306" s="1" t="s">
        <v>18</v>
      </c>
      <c r="H1306" s="1" t="s">
        <v>19</v>
      </c>
      <c r="I1306" s="1" t="s">
        <v>20</v>
      </c>
      <c r="J1306" s="1" t="s">
        <v>5779</v>
      </c>
      <c r="K1306" s="1" t="s">
        <v>22</v>
      </c>
      <c r="L1306" s="1" t="str">
        <f>HYPERLINK("https://files.afu.se/Downloads/Transcripts/0%20-%20Government/USA%20-%20NASA%20Johnson/2015 08 14 - NASA Johnson - Space Station Live  Kid Engineers Program Space Satellites_AJqzuyOr8ec - transcript (automated).pdf","Transcript Link")</f>
        <v>Transcript Link</v>
      </c>
      <c r="M1306" s="2" t="str">
        <f>HYPERLINK("https://files.afu.se/Downloads/Transcripts/0%20-%20Government/USA%20-%20NASA%20Johnson/2015 08 14 - NASA Johnson - Space Station Live  Kid Engineers Program Space Satellites_AJqzuyOr8ec - transcript (automated).pdf","Transcript Link")</f>
        <v>Transcript Link</v>
      </c>
    </row>
    <row r="1307" ht="300" spans="1:13">
      <c r="A1307" s="1" t="s">
        <v>5775</v>
      </c>
      <c r="B1307" s="1" t="s">
        <v>13</v>
      </c>
      <c r="C1307" s="4" t="s">
        <v>5780</v>
      </c>
      <c r="D1307" s="1" t="s">
        <v>5781</v>
      </c>
      <c r="E1307" s="1" t="s">
        <v>5782</v>
      </c>
      <c r="F1307" s="4" t="s">
        <v>17</v>
      </c>
      <c r="G1307" s="1" t="s">
        <v>18</v>
      </c>
      <c r="H1307" s="1" t="s">
        <v>19</v>
      </c>
      <c r="I1307" s="1" t="s">
        <v>20</v>
      </c>
      <c r="J1307" s="1" t="s">
        <v>5783</v>
      </c>
      <c r="K1307" s="1" t="s">
        <v>22</v>
      </c>
      <c r="L1307" s="1" t="str">
        <f>HYPERLINK("https://files.afu.se/Downloads/Transcripts/0%20-%20Government/USA%20-%20NASA%20Johnson/2015 08 14 - NASA Johnson - Space Station Live  White Stork Ready to Fly_6IP-Tx6yZIs - transcript (automated).pdf","Transcript Link")</f>
        <v>Transcript Link</v>
      </c>
      <c r="M1307" s="2" t="str">
        <f>HYPERLINK("https://files.afu.se/Downloads/Transcripts/0%20-%20Government/USA%20-%20NASA%20Johnson/2015 08 14 - NASA Johnson - Space Station Live  White Stork Ready to Fly_6IP-Tx6yZIs - transcript (automated).pdf","Transcript Link")</f>
        <v>Transcript Link</v>
      </c>
    </row>
    <row r="1308" ht="180" spans="1:13">
      <c r="A1308" s="1" t="s">
        <v>5775</v>
      </c>
      <c r="B1308" s="1" t="s">
        <v>13</v>
      </c>
      <c r="C1308" s="4" t="s">
        <v>5784</v>
      </c>
      <c r="D1308" s="1" t="s">
        <v>5785</v>
      </c>
      <c r="E1308" s="1" t="s">
        <v>4931</v>
      </c>
      <c r="F1308" s="4" t="s">
        <v>17</v>
      </c>
      <c r="G1308" s="1" t="s">
        <v>18</v>
      </c>
      <c r="H1308" s="1" t="s">
        <v>19</v>
      </c>
      <c r="I1308" s="1" t="s">
        <v>20</v>
      </c>
      <c r="J1308" s="1" t="s">
        <v>5786</v>
      </c>
      <c r="K1308" s="1" t="s">
        <v>22</v>
      </c>
      <c r="L1308" s="1" t="str">
        <f>HYPERLINK("https://files.afu.se/Downloads/Transcripts/0%20-%20Government/USA%20-%20NASA%20Johnson/2015 08 14 - NASA Johnson - Space to Ground  Space Veggie  8 14 2015_usXM4qnzhT8 - transcript (automated).pdf","Transcript Link")</f>
        <v>Transcript Link</v>
      </c>
      <c r="M1308" s="2" t="str">
        <f>HYPERLINK("https://files.afu.se/Downloads/Transcripts/0%20-%20Government/USA%20-%20NASA%20Johnson/2015 08 14 - NASA Johnson - Space to Ground  Space Veggie  8 14 2015_usXM4qnzhT8 - transcript (automated).pdf","Transcript Link")</f>
        <v>Transcript Link</v>
      </c>
    </row>
    <row r="1309" ht="270" spans="1:13">
      <c r="A1309" s="1" t="s">
        <v>5775</v>
      </c>
      <c r="B1309" s="1" t="s">
        <v>13</v>
      </c>
      <c r="C1309" s="4" t="s">
        <v>5787</v>
      </c>
      <c r="D1309" s="1" t="s">
        <v>5788</v>
      </c>
      <c r="E1309" s="1" t="s">
        <v>5789</v>
      </c>
      <c r="F1309" s="4" t="s">
        <v>17</v>
      </c>
      <c r="G1309" s="1" t="s">
        <v>18</v>
      </c>
      <c r="H1309" s="1" t="s">
        <v>19</v>
      </c>
      <c r="I1309" s="1" t="s">
        <v>20</v>
      </c>
      <c r="J1309" s="1" t="s">
        <v>5790</v>
      </c>
      <c r="K1309" s="1" t="s">
        <v>22</v>
      </c>
      <c r="L1309" s="1" t="str">
        <f>HYPERLINK("https://files.afu.se/Downloads/Transcripts/0%20-%20Government/USA%20-%20NASA%20Johnson/2015 08 14 - NASA Johnson - Space Station Live  Killing Bugs in Space_GeBqMANGtmI - transcript (automated).pdf","Transcript Link")</f>
        <v>Transcript Link</v>
      </c>
      <c r="M1309" s="2" t="str">
        <f>HYPERLINK("https://files.afu.se/Downloads/Transcripts/0%20-%20Government/USA%20-%20NASA%20Johnson/2015 08 14 - NASA Johnson - Space Station Live  Killing Bugs in Space_GeBqMANGtmI - transcript (automated).pdf","Transcript Link")</f>
        <v>Transcript Link</v>
      </c>
    </row>
    <row r="1310" ht="180" spans="1:13">
      <c r="A1310" s="1" t="s">
        <v>5791</v>
      </c>
      <c r="B1310" s="1" t="s">
        <v>13</v>
      </c>
      <c r="C1310" s="4" t="s">
        <v>5792</v>
      </c>
      <c r="D1310" s="1" t="s">
        <v>5793</v>
      </c>
      <c r="E1310" s="1" t="s">
        <v>5794</v>
      </c>
      <c r="F1310" s="4" t="s">
        <v>17</v>
      </c>
      <c r="G1310" s="1" t="s">
        <v>18</v>
      </c>
      <c r="H1310" s="1" t="s">
        <v>19</v>
      </c>
      <c r="I1310" s="1" t="s">
        <v>20</v>
      </c>
      <c r="J1310" s="1" t="s">
        <v>5795</v>
      </c>
      <c r="K1310" s="1" t="s">
        <v>22</v>
      </c>
      <c r="L1310" s="1" t="str">
        <f>HYPERLINK("https://files.afu.se/Downloads/Transcripts/0%20-%20Government/USA%20-%20NASA%20Johnson/2015 08 13 - NASA Johnson - Preparing America for Deep Space Exploration Episode 10  Constructing the Future_HDEwt24mxf0 - transcript (automated).pdf","Transcript Link")</f>
        <v>Transcript Link</v>
      </c>
      <c r="M1310" s="2" t="str">
        <f>HYPERLINK("https://files.afu.se/Downloads/Transcripts/0%20-%20Government/USA%20-%20NASA%20Johnson/2015 08 13 - NASA Johnson - Preparing America for Deep Space Exploration Episode 10  Constructing the Future_HDEwt24mxf0 - transcript (automated).pdf","Transcript Link")</f>
        <v>Transcript Link</v>
      </c>
    </row>
    <row r="1311" ht="409.5" spans="1:13">
      <c r="A1311" s="1" t="s">
        <v>5791</v>
      </c>
      <c r="B1311" s="1" t="s">
        <v>13</v>
      </c>
      <c r="C1311" s="4" t="s">
        <v>5796</v>
      </c>
      <c r="D1311" s="1" t="s">
        <v>5797</v>
      </c>
      <c r="E1311" s="1" t="s">
        <v>5798</v>
      </c>
      <c r="F1311" s="4" t="s">
        <v>17</v>
      </c>
      <c r="G1311" s="1" t="s">
        <v>18</v>
      </c>
      <c r="H1311" s="1" t="s">
        <v>19</v>
      </c>
      <c r="I1311" s="1" t="s">
        <v>20</v>
      </c>
      <c r="J1311" s="1" t="s">
        <v>5799</v>
      </c>
      <c r="K1311" s="1" t="s">
        <v>22</v>
      </c>
      <c r="L1311" s="1" t="str">
        <f>HYPERLINK("https://files.afu.se/Downloads/Transcripts/0%20-%20Government/USA%20-%20NASA%20Johnson/2015 08 13 - NASA Johnson - Space in 4K - First Lettuce Grown and Eaten in Space_RqtAK-FBtXU - transcript (automated).pdf","Transcript Link")</f>
        <v>Transcript Link</v>
      </c>
      <c r="M1311" s="2" t="str">
        <f>HYPERLINK("https://files.afu.se/Downloads/Transcripts/0%20-%20Government/USA%20-%20NASA%20Johnson/2015 08 13 - NASA Johnson - Space in 4K - First Lettuce Grown and Eaten in Space_RqtAK-FBtXU - transcript (automated).pdf","Transcript Link")</f>
        <v>Transcript Link</v>
      </c>
    </row>
    <row r="1312" ht="285" spans="1:13">
      <c r="A1312" s="1" t="s">
        <v>5800</v>
      </c>
      <c r="B1312" s="1" t="s">
        <v>13</v>
      </c>
      <c r="C1312" s="4" t="s">
        <v>5801</v>
      </c>
      <c r="D1312" s="1" t="s">
        <v>5802</v>
      </c>
      <c r="E1312" s="1" t="s">
        <v>5803</v>
      </c>
      <c r="F1312" s="4" t="s">
        <v>17</v>
      </c>
      <c r="G1312" s="1" t="s">
        <v>18</v>
      </c>
      <c r="H1312" s="1" t="s">
        <v>19</v>
      </c>
      <c r="I1312" s="1" t="s">
        <v>20</v>
      </c>
      <c r="J1312" s="1" t="s">
        <v>5804</v>
      </c>
      <c r="K1312" s="1" t="s">
        <v>22</v>
      </c>
      <c r="L1312" s="1" t="str">
        <f>HYPERLINK("https://files.afu.se/Downloads/Transcripts/0%20-%20Government/USA%20-%20NASA%20Johnson/2015 08 12 - NASA Johnson - Space Station Live  A First for Space Lettuce_BHyNkm3g5ls - transcript (automated).pdf","Transcript Link")</f>
        <v>Transcript Link</v>
      </c>
      <c r="M1312" s="2" t="str">
        <f>HYPERLINK("https://files.afu.se/Downloads/Transcripts/0%20-%20Government/USA%20-%20NASA%20Johnson/2015 08 12 - NASA Johnson - Space Station Live  A First for Space Lettuce_BHyNkm3g5ls - transcript (automated).pdf","Transcript Link")</f>
        <v>Transcript Link</v>
      </c>
    </row>
    <row r="1313" ht="285" spans="1:13">
      <c r="A1313" s="1" t="s">
        <v>5805</v>
      </c>
      <c r="B1313" s="1" t="s">
        <v>13</v>
      </c>
      <c r="C1313" s="4" t="s">
        <v>5806</v>
      </c>
      <c r="D1313" s="1" t="s">
        <v>5807</v>
      </c>
      <c r="E1313" s="1" t="s">
        <v>5808</v>
      </c>
      <c r="F1313" s="4" t="s">
        <v>17</v>
      </c>
      <c r="G1313" s="1" t="s">
        <v>18</v>
      </c>
      <c r="H1313" s="1" t="s">
        <v>19</v>
      </c>
      <c r="I1313" s="1" t="s">
        <v>20</v>
      </c>
      <c r="J1313" s="1" t="s">
        <v>5809</v>
      </c>
      <c r="K1313" s="1" t="s">
        <v>22</v>
      </c>
      <c r="L1313" s="1" t="str">
        <f>HYPERLINK("https://files.afu.se/Downloads/Transcripts/0%20-%20Government/USA%20-%20NASA%20Johnson/2015 08 11 - NASA Johnson - Astronauts Take First Bites of Space-Grown Lettuce_Yp6zLISoT0k - transcript (automated).pdf","Transcript Link")</f>
        <v>Transcript Link</v>
      </c>
      <c r="M1313" s="2" t="str">
        <f>HYPERLINK("https://files.afu.se/Downloads/Transcripts/0%20-%20Government/USA%20-%20NASA%20Johnson/2015 08 11 - NASA Johnson - Astronauts Take First Bites of Space-Grown Lettuce_Yp6zLISoT0k - transcript (automated).pdf","Transcript Link")</f>
        <v>Transcript Link</v>
      </c>
    </row>
    <row r="1314" ht="270" spans="1:13">
      <c r="A1314" s="1" t="s">
        <v>5810</v>
      </c>
      <c r="B1314" s="1" t="s">
        <v>13</v>
      </c>
      <c r="C1314" s="4" t="s">
        <v>5811</v>
      </c>
      <c r="D1314" s="1" t="s">
        <v>5812</v>
      </c>
      <c r="E1314" s="1" t="s">
        <v>5813</v>
      </c>
      <c r="F1314" s="4" t="s">
        <v>17</v>
      </c>
      <c r="G1314" s="1" t="s">
        <v>18</v>
      </c>
      <c r="H1314" s="1" t="s">
        <v>19</v>
      </c>
      <c r="I1314" s="1" t="s">
        <v>20</v>
      </c>
      <c r="J1314" s="1" t="s">
        <v>5814</v>
      </c>
      <c r="K1314" s="1" t="s">
        <v>22</v>
      </c>
      <c r="L1314" s="1" t="str">
        <f>HYPERLINK("https://files.afu.se/Downloads/Transcripts/0%20-%20Government/USA%20-%20NASA%20Johnson/2015 08 07 - NASA Johnson - Space Station Live  Expedition 44 Midterm Report_K_YepwuXBls - transcript (automated).pdf","Transcript Link")</f>
        <v>Transcript Link</v>
      </c>
      <c r="M1314" s="2" t="str">
        <f>HYPERLINK("https://files.afu.se/Downloads/Transcripts/0%20-%20Government/USA%20-%20NASA%20Johnson/2015 08 07 - NASA Johnson - Space Station Live  Expedition 44 Midterm Report_K_YepwuXBls - transcript (automated).pdf","Transcript Link")</f>
        <v>Transcript Link</v>
      </c>
    </row>
    <row r="1315" ht="180" spans="1:13">
      <c r="A1315" s="1" t="s">
        <v>5810</v>
      </c>
      <c r="B1315" s="1" t="s">
        <v>13</v>
      </c>
      <c r="C1315" s="4" t="s">
        <v>5815</v>
      </c>
      <c r="D1315" s="1" t="s">
        <v>5816</v>
      </c>
      <c r="E1315" s="1" t="s">
        <v>4931</v>
      </c>
      <c r="F1315" s="4" t="s">
        <v>17</v>
      </c>
      <c r="G1315" s="1" t="s">
        <v>18</v>
      </c>
      <c r="H1315" s="1" t="s">
        <v>19</v>
      </c>
      <c r="I1315" s="1" t="s">
        <v>20</v>
      </c>
      <c r="J1315" s="1" t="s">
        <v>5817</v>
      </c>
      <c r="K1315" s="1" t="s">
        <v>22</v>
      </c>
      <c r="L1315" s="1" t="str">
        <f>HYPERLINK("https://files.afu.se/Downloads/Transcripts/0%20-%20Government/USA%20-%20NASA%20Johnson/2015 08 07 - NASA Johnson - Space to Ground  The Eye of Soudelor  8 07 2015_KobWN_xPs64 - transcript (automated).pdf","Transcript Link")</f>
        <v>Transcript Link</v>
      </c>
      <c r="M1315" s="2" t="str">
        <f>HYPERLINK("https://files.afu.se/Downloads/Transcripts/0%20-%20Government/USA%20-%20NASA%20Johnson/2015 08 07 - NASA Johnson - Space to Ground  The Eye of Soudelor  8 07 2015_KobWN_xPs64 - transcript (automated).pdf","Transcript Link")</f>
        <v>Transcript Link</v>
      </c>
    </row>
    <row r="1316" ht="270" spans="1:13">
      <c r="A1316" s="1" t="s">
        <v>5818</v>
      </c>
      <c r="B1316" s="1" t="s">
        <v>13</v>
      </c>
      <c r="C1316" s="4" t="s">
        <v>5819</v>
      </c>
      <c r="D1316" s="1" t="s">
        <v>5820</v>
      </c>
      <c r="E1316" s="1" t="s">
        <v>5821</v>
      </c>
      <c r="F1316" s="4" t="s">
        <v>17</v>
      </c>
      <c r="G1316" s="1" t="s">
        <v>18</v>
      </c>
      <c r="H1316" s="1" t="s">
        <v>19</v>
      </c>
      <c r="I1316" s="1" t="s">
        <v>20</v>
      </c>
      <c r="J1316" s="1" t="s">
        <v>5822</v>
      </c>
      <c r="K1316" s="1" t="s">
        <v>22</v>
      </c>
      <c r="L1316" s="1" t="str">
        <f>HYPERLINK("https://files.afu.se/Downloads/Transcripts/0%20-%20Government/USA%20-%20NASA%20Johnson/2015 08 06 - NASA Johnson - Space Station Live  Lettuce Look at Veggie_c1Gxn_nfgWA - transcript (automated).pdf","Transcript Link")</f>
        <v>Transcript Link</v>
      </c>
      <c r="M1316" s="2" t="str">
        <f>HYPERLINK("https://files.afu.se/Downloads/Transcripts/0%20-%20Government/USA%20-%20NASA%20Johnson/2015 08 06 - NASA Johnson - Space Station Live  Lettuce Look at Veggie_c1Gxn_nfgWA - transcript (automated).pdf","Transcript Link")</f>
        <v>Transcript Link</v>
      </c>
    </row>
    <row r="1317" ht="270" spans="1:13">
      <c r="A1317" s="1" t="s">
        <v>5818</v>
      </c>
      <c r="B1317" s="1" t="s">
        <v>13</v>
      </c>
      <c r="C1317" s="4" t="s">
        <v>5823</v>
      </c>
      <c r="D1317" s="1" t="s">
        <v>5824</v>
      </c>
      <c r="E1317" s="1" t="s">
        <v>5825</v>
      </c>
      <c r="F1317" s="4" t="s">
        <v>17</v>
      </c>
      <c r="G1317" s="1" t="s">
        <v>18</v>
      </c>
      <c r="H1317" s="1" t="s">
        <v>19</v>
      </c>
      <c r="I1317" s="1" t="s">
        <v>20</v>
      </c>
      <c r="J1317" s="1" t="s">
        <v>5826</v>
      </c>
      <c r="K1317" s="1" t="s">
        <v>22</v>
      </c>
      <c r="L1317" s="1" t="str">
        <f>HYPERLINK("https://files.afu.se/Downloads/Transcripts/0%20-%20Government/USA%20-%20NASA%20Johnson/2015 08 06 - NASA Johnson - Space Station Live  Spacewalk Preview_KdgVdbQC-5Y - transcript (automated).pdf","Transcript Link")</f>
        <v>Transcript Link</v>
      </c>
      <c r="M1317" s="2" t="str">
        <f>HYPERLINK("https://files.afu.se/Downloads/Transcripts/0%20-%20Government/USA%20-%20NASA%20Johnson/2015 08 06 - NASA Johnson - Space Station Live  Spacewalk Preview_KdgVdbQC-5Y - transcript (automated).pdf","Transcript Link")</f>
        <v>Transcript Link</v>
      </c>
    </row>
    <row r="1318" ht="270" spans="1:13">
      <c r="A1318" s="1" t="s">
        <v>5827</v>
      </c>
      <c r="B1318" s="1" t="s">
        <v>13</v>
      </c>
      <c r="C1318" s="4" t="s">
        <v>5828</v>
      </c>
      <c r="D1318" s="1" t="s">
        <v>5829</v>
      </c>
      <c r="E1318" s="1" t="s">
        <v>5830</v>
      </c>
      <c r="F1318" s="4" t="s">
        <v>17</v>
      </c>
      <c r="G1318" s="1" t="s">
        <v>18</v>
      </c>
      <c r="H1318" s="1" t="s">
        <v>19</v>
      </c>
      <c r="I1318" s="1" t="s">
        <v>20</v>
      </c>
      <c r="J1318" s="1" t="s">
        <v>5831</v>
      </c>
      <c r="K1318" s="1" t="s">
        <v>22</v>
      </c>
      <c r="L1318" s="1" t="str">
        <f>HYPERLINK("https://files.afu.se/Downloads/Transcripts/0%20-%20Government/USA%20-%20NASA%20Johnson/2015 08 04 - NASA Johnson - Space Station Live  Prepping a Personal Spacecraft_YwUBPe5yeHE - transcript (automated).pdf","Transcript Link")</f>
        <v>Transcript Link</v>
      </c>
      <c r="M1318" s="2" t="str">
        <f>HYPERLINK("https://files.afu.se/Downloads/Transcripts/0%20-%20Government/USA%20-%20NASA%20Johnson/2015 08 04 - NASA Johnson - Space Station Live  Prepping a Personal Spacecraft_YwUBPe5yeHE - transcript (automated).pdf","Transcript Link")</f>
        <v>Transcript Link</v>
      </c>
    </row>
    <row r="1319" ht="300" spans="1:13">
      <c r="A1319" s="1" t="s">
        <v>5827</v>
      </c>
      <c r="B1319" s="1" t="s">
        <v>13</v>
      </c>
      <c r="C1319" s="4" t="s">
        <v>5832</v>
      </c>
      <c r="D1319" s="1" t="s">
        <v>5833</v>
      </c>
      <c r="E1319" s="1" t="s">
        <v>5834</v>
      </c>
      <c r="F1319" s="4" t="s">
        <v>17</v>
      </c>
      <c r="G1319" s="1" t="s">
        <v>18</v>
      </c>
      <c r="H1319" s="1" t="s">
        <v>19</v>
      </c>
      <c r="I1319" s="1" t="s">
        <v>20</v>
      </c>
      <c r="J1319" s="1" t="s">
        <v>5835</v>
      </c>
      <c r="K1319" s="1" t="s">
        <v>22</v>
      </c>
      <c r="L1319" s="1" t="str">
        <f>HYPERLINK("https://files.afu.se/Downloads/Transcripts/0%20-%20Government/USA%20-%20NASA%20Johnson/2015 08 04 - NASA Johnson - Space Station Live  Putting Tools to the Test_5kRzPaCqK1g - transcript (automated).pdf","Transcript Link")</f>
        <v>Transcript Link</v>
      </c>
      <c r="M1319" s="2" t="str">
        <f>HYPERLINK("https://files.afu.se/Downloads/Transcripts/0%20-%20Government/USA%20-%20NASA%20Johnson/2015 08 04 - NASA Johnson - Space Station Live  Putting Tools to the Test_5kRzPaCqK1g - transcript (automated).pdf","Transcript Link")</f>
        <v>Transcript Link</v>
      </c>
    </row>
    <row r="1320" ht="409.5" spans="1:13">
      <c r="A1320" s="1" t="s">
        <v>5836</v>
      </c>
      <c r="B1320" s="1" t="s">
        <v>13</v>
      </c>
      <c r="C1320" s="4" t="s">
        <v>5837</v>
      </c>
      <c r="D1320" s="1" t="s">
        <v>5838</v>
      </c>
      <c r="E1320" s="1" t="s">
        <v>5839</v>
      </c>
      <c r="F1320" s="4" t="s">
        <v>17</v>
      </c>
      <c r="G1320" s="1" t="s">
        <v>18</v>
      </c>
      <c r="H1320" s="1" t="s">
        <v>19</v>
      </c>
      <c r="I1320" s="1" t="s">
        <v>20</v>
      </c>
      <c r="J1320" s="1" t="s">
        <v>5840</v>
      </c>
      <c r="K1320" s="1" t="s">
        <v>22</v>
      </c>
      <c r="L1320" s="1" t="str">
        <f>HYPERLINK("https://files.afu.se/Downloads/Transcripts/0%20-%20Government/USA%20-%20NASA%20Johnson/2015 08 03 - NASA Johnson - StationLIFE  Exploration Technologies – August_RXz6ib97QAI - transcript (automated).pdf","Transcript Link")</f>
        <v>Transcript Link</v>
      </c>
      <c r="M1320" s="2" t="str">
        <f>HYPERLINK("https://files.afu.se/Downloads/Transcripts/0%20-%20Government/USA%20-%20NASA%20Johnson/2015 08 03 - NASA Johnson - StationLIFE  Exploration Technologies – August_RXz6ib97QAI - transcript (automated).pdf","Transcript Link")</f>
        <v>Transcript Link</v>
      </c>
    </row>
    <row r="1321" ht="180" spans="1:13">
      <c r="A1321" s="1" t="s">
        <v>5841</v>
      </c>
      <c r="B1321" s="1" t="s">
        <v>13</v>
      </c>
      <c r="C1321" s="4" t="s">
        <v>5842</v>
      </c>
      <c r="D1321" s="1" t="s">
        <v>5843</v>
      </c>
      <c r="E1321" s="1" t="s">
        <v>4931</v>
      </c>
      <c r="F1321" s="4" t="s">
        <v>17</v>
      </c>
      <c r="G1321" s="1" t="s">
        <v>18</v>
      </c>
      <c r="H1321" s="1" t="s">
        <v>19</v>
      </c>
      <c r="I1321" s="1" t="s">
        <v>20</v>
      </c>
      <c r="J1321" s="1" t="s">
        <v>5844</v>
      </c>
      <c r="K1321" s="1" t="s">
        <v>22</v>
      </c>
      <c r="L1321" s="1" t="str">
        <f>HYPERLINK("https://files.afu.se/Downloads/Transcripts/0%20-%20Government/USA%20-%20NASA%20Johnson/2015 07 31 - NASA Johnson - Space to Ground  Space Gardening  7 31 2015_UcTb7Z9zu1o - transcript (automated).pdf","Transcript Link")</f>
        <v>Transcript Link</v>
      </c>
      <c r="M1321" s="2" t="str">
        <f>HYPERLINK("https://files.afu.se/Downloads/Transcripts/0%20-%20Government/USA%20-%20NASA%20Johnson/2015 07 31 - NASA Johnson - Space to Ground  Space Gardening  7 31 2015_UcTb7Z9zu1o - transcript (automated).pdf","Transcript Link")</f>
        <v>Transcript Link</v>
      </c>
    </row>
    <row r="1322" ht="195" spans="1:13">
      <c r="A1322" s="1" t="s">
        <v>5845</v>
      </c>
      <c r="B1322" s="1" t="s">
        <v>13</v>
      </c>
      <c r="C1322" s="4" t="s">
        <v>5846</v>
      </c>
      <c r="D1322" s="1" t="s">
        <v>5847</v>
      </c>
      <c r="E1322" s="1" t="s">
        <v>5848</v>
      </c>
      <c r="F1322" s="4" t="s">
        <v>17</v>
      </c>
      <c r="G1322" s="1" t="s">
        <v>18</v>
      </c>
      <c r="H1322" s="1" t="s">
        <v>19</v>
      </c>
      <c r="I1322" s="1" t="s">
        <v>20</v>
      </c>
      <c r="J1322" s="1" t="s">
        <v>5849</v>
      </c>
      <c r="K1322" s="1" t="s">
        <v>22</v>
      </c>
      <c r="L1322" s="1" t="str">
        <f>HYPERLINK("https://files.afu.se/Downloads/Transcripts/0%20-%20Government/USA%20-%20NASA%20Johnson/2015 07 30 - NASA Johnson - Space Station Live  From Underwater, The NEEMO Commander_vlQXr64dsmU - transcript (automated).pdf","Transcript Link")</f>
        <v>Transcript Link</v>
      </c>
      <c r="M1322" s="2" t="str">
        <f>HYPERLINK("https://files.afu.se/Downloads/Transcripts/0%20-%20Government/USA%20-%20NASA%20Johnson/2015 07 30 - NASA Johnson - Space Station Live  From Underwater, The NEEMO Commander_vlQXr64dsmU - transcript (automated).pdf","Transcript Link")</f>
        <v>Transcript Link</v>
      </c>
    </row>
    <row r="1323" ht="180" spans="1:13">
      <c r="A1323" s="1" t="s">
        <v>5850</v>
      </c>
      <c r="B1323" s="1" t="s">
        <v>13</v>
      </c>
      <c r="C1323" s="4" t="s">
        <v>5851</v>
      </c>
      <c r="D1323" s="1" t="s">
        <v>5852</v>
      </c>
      <c r="E1323" s="1" t="s">
        <v>5853</v>
      </c>
      <c r="F1323" s="4" t="s">
        <v>17</v>
      </c>
      <c r="G1323" s="1" t="s">
        <v>18</v>
      </c>
      <c r="H1323" s="1" t="s">
        <v>19</v>
      </c>
      <c r="I1323" s="1" t="s">
        <v>20</v>
      </c>
      <c r="J1323" s="1" t="s">
        <v>5854</v>
      </c>
      <c r="K1323" s="1" t="s">
        <v>22</v>
      </c>
      <c r="L1323" s="1" t="str">
        <f>HYPERLINK("https://files.afu.se/Downloads/Transcripts/0%20-%20Government/USA%20-%20NASA%20Johnson/2015 07 29 - NASA Johnson - Space Station Live  Astronaut T.J. Creamer Leaves the POD_9k-yeH1Nj6c - transcript (automated).pdf","Transcript Link")</f>
        <v>Transcript Link</v>
      </c>
      <c r="M1323" s="2" t="str">
        <f>HYPERLINK("https://files.afu.se/Downloads/Transcripts/0%20-%20Government/USA%20-%20NASA%20Johnson/2015 07 29 - NASA Johnson - Space Station Live  Astronaut T.J. Creamer Leaves the POD_9k-yeH1Nj6c - transcript (automated).pdf","Transcript Link")</f>
        <v>Transcript Link</v>
      </c>
    </row>
    <row r="1324" ht="409.5" spans="1:13">
      <c r="A1324" s="1" t="s">
        <v>5855</v>
      </c>
      <c r="B1324" s="1" t="s">
        <v>13</v>
      </c>
      <c r="C1324" s="4" t="s">
        <v>5856</v>
      </c>
      <c r="D1324" s="1" t="s">
        <v>5857</v>
      </c>
      <c r="E1324" s="1" t="s">
        <v>5858</v>
      </c>
      <c r="F1324" s="4" t="s">
        <v>17</v>
      </c>
      <c r="G1324" s="1" t="s">
        <v>18</v>
      </c>
      <c r="H1324" s="1" t="s">
        <v>19</v>
      </c>
      <c r="I1324" s="1" t="s">
        <v>20</v>
      </c>
      <c r="J1324" s="1" t="s">
        <v>5859</v>
      </c>
      <c r="K1324" s="1" t="s">
        <v>22</v>
      </c>
      <c r="L1324" s="1" t="str">
        <f>HYPERLINK("https://files.afu.se/Downloads/Transcripts/0%20-%20Government/USA%20-%20NASA%20Johnson/2015 07 27 - NASA Johnson - 4K Camera Captures Riveting Footage of Unique Fluid Behavior in Space Laboratory_Vx0kvxqgC1c - transcript (automated).pdf","Transcript Link")</f>
        <v>Transcript Link</v>
      </c>
      <c r="M1324" s="2" t="str">
        <f>HYPERLINK("https://files.afu.se/Downloads/Transcripts/0%20-%20Government/USA%20-%20NASA%20Johnson/2015 07 27 - NASA Johnson - 4K Camera Captures Riveting Footage of Unique Fluid Behavior in Space Laboratory_Vx0kvxqgC1c - transcript (automated).pdf","Transcript Link")</f>
        <v>Transcript Link</v>
      </c>
    </row>
    <row r="1325" ht="180" spans="1:13">
      <c r="A1325" s="1" t="s">
        <v>5860</v>
      </c>
      <c r="B1325" s="1" t="s">
        <v>13</v>
      </c>
      <c r="C1325" s="4" t="s">
        <v>5861</v>
      </c>
      <c r="D1325" s="1" t="s">
        <v>5862</v>
      </c>
      <c r="E1325" s="1" t="s">
        <v>4931</v>
      </c>
      <c r="F1325" s="4" t="s">
        <v>17</v>
      </c>
      <c r="G1325" s="1" t="s">
        <v>18</v>
      </c>
      <c r="H1325" s="1" t="s">
        <v>19</v>
      </c>
      <c r="I1325" s="1" t="s">
        <v>20</v>
      </c>
      <c r="J1325" s="1" t="s">
        <v>5863</v>
      </c>
      <c r="K1325" s="1" t="s">
        <v>22</v>
      </c>
      <c r="L1325" s="1" t="str">
        <f>HYPERLINK("https://files.afu.se/Downloads/Transcripts/0%20-%20Government/USA%20-%20NASA%20Johnson/2015 07 24 - NASA Johnson - Space to Ground  New Crew Arrives  7 24 2015_3n6ywp858FY - transcript (automated).pdf","Transcript Link")</f>
        <v>Transcript Link</v>
      </c>
      <c r="M1325" s="2" t="str">
        <f>HYPERLINK("https://files.afu.se/Downloads/Transcripts/0%20-%20Government/USA%20-%20NASA%20Johnson/2015 07 24 - NASA Johnson - Space to Ground  New Crew Arrives  7 24 2015_3n6ywp858FY - transcript (automated).pdf","Transcript Link")</f>
        <v>Transcript Link</v>
      </c>
    </row>
    <row r="1326" ht="240" spans="1:13">
      <c r="A1326" s="1" t="s">
        <v>5864</v>
      </c>
      <c r="B1326" s="1" t="s">
        <v>13</v>
      </c>
      <c r="C1326" s="4" t="s">
        <v>5865</v>
      </c>
      <c r="D1326" s="1" t="s">
        <v>5866</v>
      </c>
      <c r="E1326" s="1" t="s">
        <v>5867</v>
      </c>
      <c r="F1326" s="4" t="s">
        <v>17</v>
      </c>
      <c r="G1326" s="1" t="s">
        <v>18</v>
      </c>
      <c r="H1326" s="1" t="s">
        <v>19</v>
      </c>
      <c r="I1326" s="1" t="s">
        <v>20</v>
      </c>
      <c r="J1326" s="1" t="s">
        <v>5868</v>
      </c>
      <c r="K1326" s="1" t="s">
        <v>22</v>
      </c>
      <c r="L1326" s="1" t="str">
        <f>HYPERLINK("https://files.afu.se/Downloads/Transcripts/0%20-%20Government/USA%20-%20NASA%20Johnson/2015 07 23 - NASA Johnson - New Crew Joins Expedition 44_nnLf-g2GP1I - transcript (automated).pdf","Transcript Link")</f>
        <v>Transcript Link</v>
      </c>
      <c r="M1326" s="2" t="str">
        <f>HYPERLINK("https://files.afu.se/Downloads/Transcripts/0%20-%20Government/USA%20-%20NASA%20Johnson/2015 07 23 - NASA Johnson - New Crew Joins Expedition 44_nnLf-g2GP1I - transcript (automated).pdf","Transcript Link")</f>
        <v>Transcript Link</v>
      </c>
    </row>
    <row r="1327" ht="210" spans="1:13">
      <c r="A1327" s="1" t="s">
        <v>5864</v>
      </c>
      <c r="B1327" s="1" t="s">
        <v>13</v>
      </c>
      <c r="C1327" s="4" t="s">
        <v>5869</v>
      </c>
      <c r="D1327" s="1" t="s">
        <v>5870</v>
      </c>
      <c r="E1327" s="1" t="s">
        <v>5871</v>
      </c>
      <c r="F1327" s="4" t="s">
        <v>17</v>
      </c>
      <c r="G1327" s="1" t="s">
        <v>18</v>
      </c>
      <c r="H1327" s="1" t="s">
        <v>19</v>
      </c>
      <c r="I1327" s="1" t="s">
        <v>20</v>
      </c>
      <c r="J1327" s="1" t="s">
        <v>5872</v>
      </c>
      <c r="K1327" s="1" t="s">
        <v>22</v>
      </c>
      <c r="L1327" s="1" t="str">
        <f>HYPERLINK("https://files.afu.se/Downloads/Transcripts/0%20-%20Government/USA%20-%20NASA%20Johnson/2015 07 23 - NASA Johnson - Expedition 44 Docks to the Space Station_Hrwuaj2kiZc - transcript (automated).pdf","Transcript Link")</f>
        <v>Transcript Link</v>
      </c>
      <c r="M1327" s="2" t="str">
        <f>HYPERLINK("https://files.afu.se/Downloads/Transcripts/0%20-%20Government/USA%20-%20NASA%20Johnson/2015 07 23 - NASA Johnson - Expedition 44 Docks to the Space Station_Hrwuaj2kiZc - transcript (automated).pdf","Transcript Link")</f>
        <v>Transcript Link</v>
      </c>
    </row>
    <row r="1328" ht="240" spans="1:13">
      <c r="A1328" s="1" t="s">
        <v>5864</v>
      </c>
      <c r="B1328" s="1" t="s">
        <v>13</v>
      </c>
      <c r="C1328" s="4" t="s">
        <v>5873</v>
      </c>
      <c r="D1328" s="1" t="s">
        <v>5874</v>
      </c>
      <c r="E1328" s="1" t="s">
        <v>5875</v>
      </c>
      <c r="F1328" s="4" t="s">
        <v>17</v>
      </c>
      <c r="G1328" s="1" t="s">
        <v>18</v>
      </c>
      <c r="H1328" s="1" t="s">
        <v>19</v>
      </c>
      <c r="I1328" s="1" t="s">
        <v>20</v>
      </c>
      <c r="J1328" s="1" t="s">
        <v>5876</v>
      </c>
      <c r="K1328" s="1" t="s">
        <v>22</v>
      </c>
      <c r="L1328" s="1" t="str">
        <f>HYPERLINK("https://files.afu.se/Downloads/Transcripts/0%20-%20Government/USA%20-%20NASA%20Johnson/2015 07 23 - NASA Johnson - Space Station Live  Next Man Up_6R5rx7ZS-tA - transcript (automated).pdf","Transcript Link")</f>
        <v>Transcript Link</v>
      </c>
      <c r="M1328" s="2" t="str">
        <f>HYPERLINK("https://files.afu.se/Downloads/Transcripts/0%20-%20Government/USA%20-%20NASA%20Johnson/2015 07 23 - NASA Johnson - Space Station Live  Next Man Up_6R5rx7ZS-tA - transcript (automated).pdf","Transcript Link")</f>
        <v>Transcript Link</v>
      </c>
    </row>
    <row r="1329" ht="285" spans="1:13">
      <c r="A1329" s="1" t="s">
        <v>5864</v>
      </c>
      <c r="B1329" s="1" t="s">
        <v>13</v>
      </c>
      <c r="C1329" s="4" t="s">
        <v>5877</v>
      </c>
      <c r="D1329" s="1" t="s">
        <v>5878</v>
      </c>
      <c r="E1329" s="1" t="s">
        <v>5879</v>
      </c>
      <c r="F1329" s="4" t="s">
        <v>17</v>
      </c>
      <c r="G1329" s="1" t="s">
        <v>18</v>
      </c>
      <c r="H1329" s="1" t="s">
        <v>19</v>
      </c>
      <c r="I1329" s="1" t="s">
        <v>20</v>
      </c>
      <c r="J1329" s="1" t="s">
        <v>5880</v>
      </c>
      <c r="K1329" s="1" t="s">
        <v>22</v>
      </c>
      <c r="L1329" s="1" t="str">
        <f>HYPERLINK("https://files.afu.se/Downloads/Transcripts/0%20-%20Government/USA%20-%20NASA%20Johnson/2015 07 23 - NASA Johnson - Space Station Live  Not Immune to Microbes_M_4YrfOFNmc - transcript (automated).pdf","Transcript Link")</f>
        <v>Transcript Link</v>
      </c>
      <c r="M1329" s="2" t="str">
        <f>HYPERLINK("https://files.afu.se/Downloads/Transcripts/0%20-%20Government/USA%20-%20NASA%20Johnson/2015 07 23 - NASA Johnson - Space Station Live  Not Immune to Microbes_M_4YrfOFNmc - transcript (automated).pdf","Transcript Link")</f>
        <v>Transcript Link</v>
      </c>
    </row>
    <row r="1330" ht="210" spans="1:13">
      <c r="A1330" s="1" t="s">
        <v>5881</v>
      </c>
      <c r="B1330" s="1" t="s">
        <v>13</v>
      </c>
      <c r="C1330" s="4" t="s">
        <v>5882</v>
      </c>
      <c r="D1330" s="1" t="s">
        <v>5883</v>
      </c>
      <c r="E1330" s="1" t="s">
        <v>5884</v>
      </c>
      <c r="F1330" s="4" t="s">
        <v>17</v>
      </c>
      <c r="G1330" s="1" t="s">
        <v>18</v>
      </c>
      <c r="H1330" s="1" t="s">
        <v>19</v>
      </c>
      <c r="I1330" s="1" t="s">
        <v>20</v>
      </c>
      <c r="J1330" s="1" t="s">
        <v>5885</v>
      </c>
      <c r="K1330" s="1" t="s">
        <v>22</v>
      </c>
      <c r="L1330" s="1" t="str">
        <f>HYPERLINK("https://files.afu.se/Downloads/Transcripts/0%20-%20Government/USA%20-%20NASA%20Johnson/2015 07 22 - NASA Johnson - Expedition 44 Launches to the Space Station_WbQbt2PfOvA - transcript (automated).pdf","Transcript Link")</f>
        <v>Transcript Link</v>
      </c>
      <c r="M1330" s="2" t="str">
        <f>HYPERLINK("https://files.afu.se/Downloads/Transcripts/0%20-%20Government/USA%20-%20NASA%20Johnson/2015 07 22 - NASA Johnson - Expedition 44 Launches to the Space Station_WbQbt2PfOvA - transcript (automated).pdf","Transcript Link")</f>
        <v>Transcript Link</v>
      </c>
    </row>
    <row r="1331" ht="180" spans="1:13">
      <c r="A1331" s="1" t="s">
        <v>5886</v>
      </c>
      <c r="B1331" s="1" t="s">
        <v>13</v>
      </c>
      <c r="C1331" s="4" t="s">
        <v>5887</v>
      </c>
      <c r="D1331" s="1" t="s">
        <v>5888</v>
      </c>
      <c r="E1331" s="1" t="s">
        <v>5889</v>
      </c>
      <c r="F1331" s="4" t="s">
        <v>17</v>
      </c>
      <c r="G1331" s="1" t="s">
        <v>18</v>
      </c>
      <c r="H1331" s="1" t="s">
        <v>19</v>
      </c>
      <c r="I1331" s="1" t="s">
        <v>20</v>
      </c>
      <c r="J1331" s="1" t="s">
        <v>5890</v>
      </c>
      <c r="K1331" s="1" t="s">
        <v>22</v>
      </c>
      <c r="L1331" s="1" t="str">
        <f>HYPERLINK("https://files.afu.se/Downloads/Transcripts/0%20-%20Government/USA%20-%20NASA%20Johnson/2015 07 20 - NASA Johnson - A Moment with Oleg Kononenko_DrQQgc9z6Bs - transcript (automated).pdf","Transcript Link")</f>
        <v>Transcript Link</v>
      </c>
      <c r="M1331" s="2" t="str">
        <f>HYPERLINK("https://files.afu.se/Downloads/Transcripts/0%20-%20Government/USA%20-%20NASA%20Johnson/2015 07 20 - NASA Johnson - A Moment with Oleg Kononenko_DrQQgc9z6Bs - transcript (automated).pdf","Transcript Link")</f>
        <v>Transcript Link</v>
      </c>
    </row>
    <row r="1332" ht="180" spans="1:13">
      <c r="A1332" s="1" t="s">
        <v>5886</v>
      </c>
      <c r="B1332" s="1" t="s">
        <v>13</v>
      </c>
      <c r="C1332" s="4" t="s">
        <v>5891</v>
      </c>
      <c r="D1332" s="1" t="s">
        <v>5892</v>
      </c>
      <c r="E1332" s="1" t="s">
        <v>5893</v>
      </c>
      <c r="F1332" s="4" t="s">
        <v>17</v>
      </c>
      <c r="G1332" s="1" t="s">
        <v>18</v>
      </c>
      <c r="H1332" s="1" t="s">
        <v>19</v>
      </c>
      <c r="I1332" s="1" t="s">
        <v>20</v>
      </c>
      <c r="J1332" s="1" t="s">
        <v>5894</v>
      </c>
      <c r="K1332" s="1" t="s">
        <v>22</v>
      </c>
      <c r="L1332" s="1" t="str">
        <f>HYPERLINK("https://files.afu.se/Downloads/Transcripts/0%20-%20Government/USA%20-%20NASA%20Johnson/2015 07 20 - NASA Johnson - Final Preparations Underway for Expedition 44 Launch_KzXnLcNmhjI - transcript (automated).pdf","Transcript Link")</f>
        <v>Transcript Link</v>
      </c>
      <c r="M1332" s="2" t="str">
        <f>HYPERLINK("https://files.afu.se/Downloads/Transcripts/0%20-%20Government/USA%20-%20NASA%20Johnson/2015 07 20 - NASA Johnson - Final Preparations Underway for Expedition 44 Launch_KzXnLcNmhjI - transcript (automated).pdf","Transcript Link")</f>
        <v>Transcript Link</v>
      </c>
    </row>
    <row r="1333" ht="180" spans="1:13">
      <c r="A1333" s="1" t="s">
        <v>5895</v>
      </c>
      <c r="B1333" s="1" t="s">
        <v>13</v>
      </c>
      <c r="C1333" s="4" t="s">
        <v>5896</v>
      </c>
      <c r="D1333" s="1" t="s">
        <v>5897</v>
      </c>
      <c r="E1333" s="1" t="s">
        <v>4931</v>
      </c>
      <c r="F1333" s="4" t="s">
        <v>17</v>
      </c>
      <c r="G1333" s="1" t="s">
        <v>18</v>
      </c>
      <c r="H1333" s="1" t="s">
        <v>19</v>
      </c>
      <c r="I1333" s="1" t="s">
        <v>20</v>
      </c>
      <c r="J1333" s="1" t="s">
        <v>5898</v>
      </c>
      <c r="K1333" s="1" t="s">
        <v>22</v>
      </c>
      <c r="L1333" s="1" t="str">
        <f>HYPERLINK("https://files.afu.se/Downloads/Transcripts/0%20-%20Government/USA%20-%20NASA%20Johnson/2015 07 17 - NASA Johnson - Space to Ground  New Horizons  7 17 2015_I4mm4ENBGuA - transcript (automated).pdf","Transcript Link")</f>
        <v>Transcript Link</v>
      </c>
      <c r="M1333" s="2" t="str">
        <f>HYPERLINK("https://files.afu.se/Downloads/Transcripts/0%20-%20Government/USA%20-%20NASA%20Johnson/2015 07 17 - NASA Johnson - Space to Ground  New Horizons  7 17 2015_I4mm4ENBGuA - transcript (automated).pdf","Transcript Link")</f>
        <v>Transcript Link</v>
      </c>
    </row>
    <row r="1334" ht="180" spans="1:13">
      <c r="A1334" s="1" t="s">
        <v>5899</v>
      </c>
      <c r="B1334" s="1" t="s">
        <v>13</v>
      </c>
      <c r="C1334" s="4" t="s">
        <v>5900</v>
      </c>
      <c r="D1334" s="1" t="s">
        <v>5901</v>
      </c>
      <c r="E1334" s="1" t="s">
        <v>5902</v>
      </c>
      <c r="F1334" s="4" t="s">
        <v>17</v>
      </c>
      <c r="G1334" s="1" t="s">
        <v>18</v>
      </c>
      <c r="H1334" s="1" t="s">
        <v>19</v>
      </c>
      <c r="I1334" s="1" t="s">
        <v>20</v>
      </c>
      <c r="J1334" s="1" t="s">
        <v>5903</v>
      </c>
      <c r="K1334" s="1" t="s">
        <v>22</v>
      </c>
      <c r="L1334" s="1" t="str">
        <f>HYPERLINK("https://files.afu.se/Downloads/Transcripts/0%20-%20Government/USA%20-%20NASA%20Johnson/2015 07 15 - NASA Johnson - Expedition 44 Crew Prepares for Launch in Kazakhstan_9SeE8It9r18 - transcript (automated).pdf","Transcript Link")</f>
        <v>Transcript Link</v>
      </c>
      <c r="M1334" s="2" t="str">
        <f>HYPERLINK("https://files.afu.se/Downloads/Transcripts/0%20-%20Government/USA%20-%20NASA%20Johnson/2015 07 15 - NASA Johnson - Expedition 44 Crew Prepares for Launch in Kazakhstan_9SeE8It9r18 - transcript (automated).pdf","Transcript Link")</f>
        <v>Transcript Link</v>
      </c>
    </row>
    <row r="1335" ht="180" spans="1:13">
      <c r="A1335" s="1" t="s">
        <v>5899</v>
      </c>
      <c r="B1335" s="1" t="s">
        <v>13</v>
      </c>
      <c r="C1335" s="4" t="s">
        <v>5904</v>
      </c>
      <c r="D1335" s="1" t="s">
        <v>5905</v>
      </c>
      <c r="E1335" s="1" t="s">
        <v>5906</v>
      </c>
      <c r="F1335" s="4" t="s">
        <v>17</v>
      </c>
      <c r="G1335" s="1" t="s">
        <v>18</v>
      </c>
      <c r="H1335" s="1" t="s">
        <v>19</v>
      </c>
      <c r="I1335" s="1" t="s">
        <v>20</v>
      </c>
      <c r="J1335" s="1" t="s">
        <v>5907</v>
      </c>
      <c r="K1335" s="1" t="s">
        <v>22</v>
      </c>
      <c r="L1335" s="1" t="str">
        <f>HYPERLINK("https://files.afu.se/Downloads/Transcripts/0%20-%20Government/USA%20-%20NASA%20Johnson/2015 07 15 - NASA Johnson - Space Station Live  Keeping Their Cool_bx_c13k3TsY - transcript (automated).pdf","Transcript Link")</f>
        <v>Transcript Link</v>
      </c>
      <c r="M1335" s="2" t="str">
        <f>HYPERLINK("https://files.afu.se/Downloads/Transcripts/0%20-%20Government/USA%20-%20NASA%20Johnson/2015 07 15 - NASA Johnson - Space Station Live  Keeping Their Cool_bx_c13k3TsY - transcript (automated).pdf","Transcript Link")</f>
        <v>Transcript Link</v>
      </c>
    </row>
    <row r="1336" ht="180" spans="1:13">
      <c r="A1336" s="1" t="s">
        <v>5899</v>
      </c>
      <c r="B1336" s="1" t="s">
        <v>13</v>
      </c>
      <c r="C1336" s="4" t="s">
        <v>5908</v>
      </c>
      <c r="D1336" s="1" t="s">
        <v>5909</v>
      </c>
      <c r="E1336" s="1" t="s">
        <v>4967</v>
      </c>
      <c r="F1336" s="4" t="s">
        <v>17</v>
      </c>
      <c r="G1336" s="1" t="s">
        <v>18</v>
      </c>
      <c r="H1336" s="1" t="s">
        <v>19</v>
      </c>
      <c r="I1336" s="1" t="s">
        <v>20</v>
      </c>
      <c r="J1336" s="1" t="s">
        <v>5910</v>
      </c>
      <c r="K1336" s="1" t="s">
        <v>22</v>
      </c>
      <c r="L1336" s="1" t="str">
        <f>HYPERLINK("https://files.afu.se/Downloads/Transcripts/0%20-%20Government/USA%20-%20NASA%20Johnson/2015 07 15 - NASA Johnson - Monthly ISS Research Video Update for June 2015_Knx4e-DXwyw - transcript (automated).pdf","Transcript Link")</f>
        <v>Transcript Link</v>
      </c>
      <c r="M1336" s="2" t="str">
        <f>HYPERLINK("https://files.afu.se/Downloads/Transcripts/0%20-%20Government/USA%20-%20NASA%20Johnson/2015 07 15 - NASA Johnson - Monthly ISS Research Video Update for June 2015_Knx4e-DXwyw - transcript (automated).pdf","Transcript Link")</f>
        <v>Transcript Link</v>
      </c>
    </row>
    <row r="1337" ht="375" spans="1:13">
      <c r="A1337" s="1" t="s">
        <v>5899</v>
      </c>
      <c r="B1337" s="1" t="s">
        <v>13</v>
      </c>
      <c r="C1337" s="4" t="s">
        <v>5911</v>
      </c>
      <c r="D1337" s="1" t="s">
        <v>5912</v>
      </c>
      <c r="E1337" s="1" t="s">
        <v>5913</v>
      </c>
      <c r="F1337" s="4" t="s">
        <v>17</v>
      </c>
      <c r="G1337" s="1" t="s">
        <v>18</v>
      </c>
      <c r="H1337" s="1" t="s">
        <v>19</v>
      </c>
      <c r="I1337" s="1" t="s">
        <v>20</v>
      </c>
      <c r="J1337" s="1" t="s">
        <v>5914</v>
      </c>
      <c r="K1337" s="1" t="s">
        <v>22</v>
      </c>
      <c r="L1337" s="1" t="str">
        <f>HYPERLINK("https://files.afu.se/Downloads/Transcripts/0%20-%20Government/USA%20-%20NASA%20Johnson/2015 07 15 - NASA Johnson - Space Station Stories  Stronger Together_PaOgnwGUTQE - transcript (automated).pdf","Transcript Link")</f>
        <v>Transcript Link</v>
      </c>
      <c r="M1337" s="2" t="str">
        <f>HYPERLINK("https://files.afu.se/Downloads/Transcripts/0%20-%20Government/USA%20-%20NASA%20Johnson/2015 07 15 - NASA Johnson - Space Station Stories  Stronger Together_PaOgnwGUTQE - transcript (automated).pdf","Transcript Link")</f>
        <v>Transcript Link</v>
      </c>
    </row>
    <row r="1338" ht="270" spans="1:13">
      <c r="A1338" s="1" t="s">
        <v>5915</v>
      </c>
      <c r="B1338" s="1" t="s">
        <v>13</v>
      </c>
      <c r="C1338" s="4" t="s">
        <v>5916</v>
      </c>
      <c r="D1338" s="1" t="s">
        <v>5917</v>
      </c>
      <c r="E1338" s="1" t="s">
        <v>5918</v>
      </c>
      <c r="F1338" s="4" t="s">
        <v>17</v>
      </c>
      <c r="G1338" s="1" t="s">
        <v>18</v>
      </c>
      <c r="H1338" s="1" t="s">
        <v>19</v>
      </c>
      <c r="I1338" s="1" t="s">
        <v>20</v>
      </c>
      <c r="J1338" s="1" t="s">
        <v>5919</v>
      </c>
      <c r="K1338" s="1" t="s">
        <v>22</v>
      </c>
      <c r="L1338" s="1" t="str">
        <f>HYPERLINK("https://files.afu.se/Downloads/Transcripts/0%20-%20Government/USA%20-%20NASA%20Johnson/2015 07 14 - NASA Johnson - Scott Kelly Recognizes Pluto Flyby from the Space Station_sUhSuZpo7g8 - transcript (automated).pdf","Transcript Link")</f>
        <v>Transcript Link</v>
      </c>
      <c r="M1338" s="2" t="str">
        <f>HYPERLINK("https://files.afu.se/Downloads/Transcripts/0%20-%20Government/USA%20-%20NASA%20Johnson/2015 07 14 - NASA Johnson - Scott Kelly Recognizes Pluto Flyby from the Space Station_sUhSuZpo7g8 - transcript (automated).pdf","Transcript Link")</f>
        <v>Transcript Link</v>
      </c>
    </row>
    <row r="1339" ht="195" spans="1:13">
      <c r="A1339" s="1" t="s">
        <v>5920</v>
      </c>
      <c r="B1339" s="1" t="s">
        <v>13</v>
      </c>
      <c r="C1339" s="4" t="s">
        <v>5921</v>
      </c>
      <c r="D1339" s="1" t="s">
        <v>5922</v>
      </c>
      <c r="E1339" s="1" t="s">
        <v>5923</v>
      </c>
      <c r="F1339" s="4" t="s">
        <v>17</v>
      </c>
      <c r="G1339" s="1" t="s">
        <v>18</v>
      </c>
      <c r="H1339" s="1" t="s">
        <v>19</v>
      </c>
      <c r="I1339" s="1" t="s">
        <v>20</v>
      </c>
      <c r="J1339" s="1" t="s">
        <v>5924</v>
      </c>
      <c r="K1339" s="1" t="s">
        <v>22</v>
      </c>
      <c r="L1339" s="1" t="str">
        <f>HYPERLINK("https://files.afu.se/Downloads/Transcripts/0%20-%20Government/USA%20-%20NASA%20Johnson/2015 07 10 - NASA Johnson - Expedition 44 Crew Departs for Kazakh Launch Site_orTULuvmjY0 - transcript (automated).pdf","Transcript Link")</f>
        <v>Transcript Link</v>
      </c>
      <c r="M1339" s="2" t="str">
        <f>HYPERLINK("https://files.afu.se/Downloads/Transcripts/0%20-%20Government/USA%20-%20NASA%20Johnson/2015 07 10 - NASA Johnson - Expedition 44 Crew Departs for Kazakh Launch Site_orTULuvmjY0 - transcript (automated).pdf","Transcript Link")</f>
        <v>Transcript Link</v>
      </c>
    </row>
    <row r="1340" ht="195" spans="1:13">
      <c r="A1340" s="1" t="s">
        <v>5920</v>
      </c>
      <c r="B1340" s="1" t="s">
        <v>13</v>
      </c>
      <c r="C1340" s="4" t="s">
        <v>5925</v>
      </c>
      <c r="D1340" s="1" t="s">
        <v>5926</v>
      </c>
      <c r="E1340" s="1" t="s">
        <v>5927</v>
      </c>
      <c r="F1340" s="4" t="s">
        <v>17</v>
      </c>
      <c r="G1340" s="1" t="s">
        <v>18</v>
      </c>
      <c r="H1340" s="1" t="s">
        <v>19</v>
      </c>
      <c r="I1340" s="1" t="s">
        <v>20</v>
      </c>
      <c r="J1340" s="1" t="s">
        <v>5928</v>
      </c>
      <c r="K1340" s="1" t="s">
        <v>22</v>
      </c>
      <c r="L1340" s="1" t="str">
        <f>HYPERLINK("https://files.afu.se/Downloads/Transcripts/0%20-%20Government/USA%20-%20NASA%20Johnson/2015 07 10 - NASA Johnson - Space to Ground  Progress Docks  7 10 2015_F35yzjNRBxs - transcript (automated).pdf","Transcript Link")</f>
        <v>Transcript Link</v>
      </c>
      <c r="M1340" s="2" t="str">
        <f>HYPERLINK("https://files.afu.se/Downloads/Transcripts/0%20-%20Government/USA%20-%20NASA%20Johnson/2015 07 10 - NASA Johnson - Space to Ground  Progress Docks  7 10 2015_F35yzjNRBxs - transcript (automated).pdf","Transcript Link")</f>
        <v>Transcript Link</v>
      </c>
    </row>
    <row r="1341" ht="180" spans="1:13">
      <c r="A1341" s="1" t="s">
        <v>5929</v>
      </c>
      <c r="B1341" s="1" t="s">
        <v>13</v>
      </c>
      <c r="C1341" s="4" t="s">
        <v>5930</v>
      </c>
      <c r="D1341" s="1" t="s">
        <v>5931</v>
      </c>
      <c r="E1341" s="1" t="s">
        <v>5932</v>
      </c>
      <c r="F1341" s="4" t="s">
        <v>17</v>
      </c>
      <c r="G1341" s="1" t="s">
        <v>18</v>
      </c>
      <c r="H1341" s="1" t="s">
        <v>19</v>
      </c>
      <c r="I1341" s="1" t="s">
        <v>20</v>
      </c>
      <c r="J1341" s="1" t="s">
        <v>5933</v>
      </c>
      <c r="K1341" s="1" t="s">
        <v>22</v>
      </c>
      <c r="L1341" s="1" t="str">
        <f>HYPERLINK("https://files.afu.se/Downloads/Transcripts/0%20-%20Government/USA%20-%20NASA%20Johnson/2015 07 09 - NASA Johnson - Launching for America_kPSk23XOGuk - transcript (automated).pdf","Transcript Link")</f>
        <v>Transcript Link</v>
      </c>
      <c r="M1341" s="2" t="str">
        <f>HYPERLINK("https://files.afu.se/Downloads/Transcripts/0%20-%20Government/USA%20-%20NASA%20Johnson/2015 07 09 - NASA Johnson - Launching for America_kPSk23XOGuk - transcript (automated).pdf","Transcript Link")</f>
        <v>Transcript Link</v>
      </c>
    </row>
    <row r="1342" ht="180" spans="1:13">
      <c r="A1342" s="1" t="s">
        <v>5929</v>
      </c>
      <c r="B1342" s="1" t="s">
        <v>13</v>
      </c>
      <c r="C1342" s="4" t="s">
        <v>5934</v>
      </c>
      <c r="D1342" s="1" t="s">
        <v>5935</v>
      </c>
      <c r="E1342" s="1" t="s">
        <v>5936</v>
      </c>
      <c r="F1342" s="4" t="s">
        <v>17</v>
      </c>
      <c r="G1342" s="1" t="s">
        <v>18</v>
      </c>
      <c r="H1342" s="1" t="s">
        <v>19</v>
      </c>
      <c r="I1342" s="1" t="s">
        <v>20</v>
      </c>
      <c r="J1342" s="1" t="s">
        <v>5937</v>
      </c>
      <c r="K1342" s="1" t="s">
        <v>22</v>
      </c>
      <c r="L1342" s="1" t="str">
        <f>HYPERLINK("https://files.afu.se/Downloads/Transcripts/0%20-%20Government/USA%20-%20NASA%20Johnson/2015 07 09 - NASA Johnson - A Moment with Kimiya Yui_pm0TAuip5vA - transcript (automated).pdf","Transcript Link")</f>
        <v>Transcript Link</v>
      </c>
      <c r="M1342" s="2" t="str">
        <f>HYPERLINK("https://files.afu.se/Downloads/Transcripts/0%20-%20Government/USA%20-%20NASA%20Johnson/2015 07 09 - NASA Johnson - A Moment with Kimiya Yui_pm0TAuip5vA - transcript (automated).pdf","Transcript Link")</f>
        <v>Transcript Link</v>
      </c>
    </row>
    <row r="1343" ht="195" spans="1:13">
      <c r="A1343" s="1" t="s">
        <v>5938</v>
      </c>
      <c r="B1343" s="1" t="s">
        <v>13</v>
      </c>
      <c r="C1343" s="4" t="s">
        <v>5939</v>
      </c>
      <c r="D1343" s="1" t="s">
        <v>5940</v>
      </c>
      <c r="E1343" s="1" t="s">
        <v>5941</v>
      </c>
      <c r="F1343" s="4" t="s">
        <v>17</v>
      </c>
      <c r="G1343" s="1" t="s">
        <v>18</v>
      </c>
      <c r="H1343" s="1" t="s">
        <v>19</v>
      </c>
      <c r="I1343" s="1" t="s">
        <v>20</v>
      </c>
      <c r="J1343" s="1" t="s">
        <v>5942</v>
      </c>
      <c r="K1343" s="1" t="s">
        <v>22</v>
      </c>
      <c r="L1343" s="1" t="str">
        <f>HYPERLINK("https://files.afu.se/Downloads/Transcripts/0%20-%20Government/USA%20-%20NASA%20Johnson/2015 07 08 - NASA Johnson - Expedition 44 Crew Conducts Traditional Ceremonies in Star City, Russia_jo6xEi5Wr3Y - transcript (automated).pdf","Transcript Link")</f>
        <v>Transcript Link</v>
      </c>
      <c r="M1343" s="2" t="str">
        <f>HYPERLINK("https://files.afu.se/Downloads/Transcripts/0%20-%20Government/USA%20-%20NASA%20Johnson/2015 07 08 - NASA Johnson - Expedition 44 Crew Conducts Traditional Ceremonies in Star City, Russia_jo6xEi5Wr3Y - transcript (automated).pdf","Transcript Link")</f>
        <v>Transcript Link</v>
      </c>
    </row>
    <row r="1344" ht="255" spans="1:13">
      <c r="A1344" s="1" t="s">
        <v>5938</v>
      </c>
      <c r="B1344" s="1" t="s">
        <v>13</v>
      </c>
      <c r="C1344" s="4" t="s">
        <v>5943</v>
      </c>
      <c r="D1344" s="1" t="s">
        <v>4291</v>
      </c>
      <c r="E1344" s="1" t="s">
        <v>5944</v>
      </c>
      <c r="F1344" s="4" t="s">
        <v>17</v>
      </c>
      <c r="G1344" s="1" t="s">
        <v>18</v>
      </c>
      <c r="H1344" s="1" t="s">
        <v>19</v>
      </c>
      <c r="I1344" s="1" t="s">
        <v>20</v>
      </c>
      <c r="J1344" s="1" t="s">
        <v>5945</v>
      </c>
      <c r="K1344" s="1" t="s">
        <v>22</v>
      </c>
      <c r="L1344" s="1" t="str">
        <f>HYPERLINK("https://files.afu.se/Downloads/Transcripts/0%20-%20Government/USA%20-%20NASA%20Johnson/2015 07 08 - NASA Johnson - Space Station Live  The Heart of the Matter_GQsD4qmwhzk - transcript (automated).pdf","Transcript Link")</f>
        <v>Transcript Link</v>
      </c>
      <c r="M1344" s="2" t="str">
        <f>HYPERLINK("https://files.afu.se/Downloads/Transcripts/0%20-%20Government/USA%20-%20NASA%20Johnson/2015 07 08 - NASA Johnson - Space Station Live  The Heart of the Matter_GQsD4qmwhzk - transcript (automated).pdf","Transcript Link")</f>
        <v>Transcript Link</v>
      </c>
    </row>
    <row r="1345" ht="180" spans="1:13">
      <c r="A1345" s="1" t="s">
        <v>5938</v>
      </c>
      <c r="B1345" s="1" t="s">
        <v>13</v>
      </c>
      <c r="C1345" s="4" t="s">
        <v>5946</v>
      </c>
      <c r="D1345" s="1" t="s">
        <v>5947</v>
      </c>
      <c r="E1345" s="1" t="s">
        <v>5948</v>
      </c>
      <c r="F1345" s="4" t="s">
        <v>17</v>
      </c>
      <c r="G1345" s="1" t="s">
        <v>18</v>
      </c>
      <c r="H1345" s="1" t="s">
        <v>19</v>
      </c>
      <c r="I1345" s="1" t="s">
        <v>20</v>
      </c>
      <c r="J1345" s="1" t="s">
        <v>5949</v>
      </c>
      <c r="K1345" s="1" t="s">
        <v>22</v>
      </c>
      <c r="L1345" s="1" t="str">
        <f>HYPERLINK("https://files.afu.se/Downloads/Transcripts/0%20-%20Government/USA%20-%20NASA%20Johnson/2015 07 08 - NASA Johnson - A Moment with Astronaut Kjell Lindgren_56rN2LrIERA - transcript (automated).pdf","Transcript Link")</f>
        <v>Transcript Link</v>
      </c>
      <c r="M1345" s="2" t="str">
        <f>HYPERLINK("https://files.afu.se/Downloads/Transcripts/0%20-%20Government/USA%20-%20NASA%20Johnson/2015 07 08 - NASA Johnson - A Moment with Astronaut Kjell Lindgren_56rN2LrIERA - transcript (automated).pdf","Transcript Link")</f>
        <v>Transcript Link</v>
      </c>
    </row>
    <row r="1346" ht="360" spans="1:13">
      <c r="A1346" s="1" t="s">
        <v>5950</v>
      </c>
      <c r="B1346" s="1" t="s">
        <v>13</v>
      </c>
      <c r="C1346" s="4" t="s">
        <v>5951</v>
      </c>
      <c r="D1346" s="1" t="s">
        <v>5952</v>
      </c>
      <c r="E1346" s="1" t="s">
        <v>5953</v>
      </c>
      <c r="F1346" s="4" t="s">
        <v>17</v>
      </c>
      <c r="G1346" s="1" t="s">
        <v>18</v>
      </c>
      <c r="H1346" s="1" t="s">
        <v>19</v>
      </c>
      <c r="I1346" s="1" t="s">
        <v>20</v>
      </c>
      <c r="J1346" s="1" t="s">
        <v>5954</v>
      </c>
      <c r="K1346" s="1" t="s">
        <v>22</v>
      </c>
      <c r="L1346" s="1" t="str">
        <f>HYPERLINK("https://files.afu.se/Downloads/Transcripts/0%20-%20Government/USA%20-%20NASA%20Johnson/2015 07 06 - NASA Johnson - StationLIFE  Space Laboratory – July_4L2EQxJYg7I - transcript (automated).pdf","Transcript Link")</f>
        <v>Transcript Link</v>
      </c>
      <c r="M1346" s="2" t="str">
        <f>HYPERLINK("https://files.afu.se/Downloads/Transcripts/0%20-%20Government/USA%20-%20NASA%20Johnson/2015 07 06 - NASA Johnson - StationLIFE  Space Laboratory – July_4L2EQxJYg7I - transcript (automated).pdf","Transcript Link")</f>
        <v>Transcript Link</v>
      </c>
    </row>
    <row r="1347" ht="180" spans="1:13">
      <c r="A1347" s="1" t="s">
        <v>5955</v>
      </c>
      <c r="B1347" s="1" t="s">
        <v>13</v>
      </c>
      <c r="C1347" s="4" t="s">
        <v>5956</v>
      </c>
      <c r="D1347" s="1" t="s">
        <v>5957</v>
      </c>
      <c r="E1347" s="1" t="s">
        <v>4931</v>
      </c>
      <c r="F1347" s="4" t="s">
        <v>17</v>
      </c>
      <c r="G1347" s="1" t="s">
        <v>18</v>
      </c>
      <c r="H1347" s="1" t="s">
        <v>19</v>
      </c>
      <c r="I1347" s="1" t="s">
        <v>20</v>
      </c>
      <c r="J1347" s="1" t="s">
        <v>5958</v>
      </c>
      <c r="K1347" s="1" t="s">
        <v>22</v>
      </c>
      <c r="L1347" s="1" t="str">
        <f>HYPERLINK("https://files.afu.se/Downloads/Transcripts/0%20-%20Government/USA%20-%20NASA%20Johnson/2015 07 03 - NASA Johnson - Space to Ground  Record Breaking  7 3 2015_kia8_cZzxU4 - transcript (automated).pdf","Transcript Link")</f>
        <v>Transcript Link</v>
      </c>
      <c r="M1347" s="2" t="str">
        <f>HYPERLINK("https://files.afu.se/Downloads/Transcripts/0%20-%20Government/USA%20-%20NASA%20Johnson/2015 07 03 - NASA Johnson - Space to Ground  Record Breaking  7 3 2015_kia8_cZzxU4 - transcript (automated).pdf","Transcript Link")</f>
        <v>Transcript Link</v>
      </c>
    </row>
    <row r="1348" ht="180" spans="1:13">
      <c r="A1348" s="1" t="s">
        <v>5959</v>
      </c>
      <c r="B1348" s="1" t="s">
        <v>13</v>
      </c>
      <c r="C1348" s="4" t="s">
        <v>5960</v>
      </c>
      <c r="D1348" s="1" t="s">
        <v>5961</v>
      </c>
      <c r="E1348" s="1" t="s">
        <v>5962</v>
      </c>
      <c r="F1348" s="4" t="s">
        <v>17</v>
      </c>
      <c r="G1348" s="1" t="s">
        <v>18</v>
      </c>
      <c r="H1348" s="1" t="s">
        <v>19</v>
      </c>
      <c r="I1348" s="1" t="s">
        <v>20</v>
      </c>
      <c r="J1348" s="1" t="s">
        <v>5963</v>
      </c>
      <c r="K1348" s="1" t="s">
        <v>22</v>
      </c>
      <c r="L1348" s="1" t="str">
        <f>HYPERLINK("https://files.afu.se/Downloads/Transcripts/0%20-%20Government/USA%20-%20NASA%20Johnson/2015 07 02 - NASA Johnson - Space Station Live  First 100 Days of the One Year Mission_5JYfnpGDgwk - transcript (automated).pdf","Transcript Link")</f>
        <v>Transcript Link</v>
      </c>
      <c r="M1348" s="2" t="str">
        <f>HYPERLINK("https://files.afu.se/Downloads/Transcripts/0%20-%20Government/USA%20-%20NASA%20Johnson/2015 07 02 - NASA Johnson - Space Station Live  First 100 Days of the One Year Mission_5JYfnpGDgwk - transcript (automated).pdf","Transcript Link")</f>
        <v>Transcript Link</v>
      </c>
    </row>
    <row r="1349" ht="270" spans="1:13">
      <c r="A1349" s="1" t="s">
        <v>5964</v>
      </c>
      <c r="B1349" s="1" t="s">
        <v>13</v>
      </c>
      <c r="C1349" s="4" t="s">
        <v>5965</v>
      </c>
      <c r="D1349" s="1" t="s">
        <v>5966</v>
      </c>
      <c r="E1349" s="1" t="s">
        <v>5967</v>
      </c>
      <c r="F1349" s="4" t="s">
        <v>17</v>
      </c>
      <c r="G1349" s="1" t="s">
        <v>18</v>
      </c>
      <c r="H1349" s="1" t="s">
        <v>19</v>
      </c>
      <c r="I1349" s="1" t="s">
        <v>20</v>
      </c>
      <c r="J1349" s="1" t="s">
        <v>5968</v>
      </c>
      <c r="K1349" s="1" t="s">
        <v>22</v>
      </c>
      <c r="L1349" s="1" t="str">
        <f>HYPERLINK("https://files.afu.se/Downloads/Transcripts/0%20-%20Government/USA%20-%20NASA%20Johnson/2015 07 01 - NASA Johnson - Space Station Live  Open Access to Space Station Science Data_4Vx6CNTs-aE - transcript (automated).pdf","Transcript Link")</f>
        <v>Transcript Link</v>
      </c>
      <c r="M1349" s="2" t="str">
        <f>HYPERLINK("https://files.afu.se/Downloads/Transcripts/0%20-%20Government/USA%20-%20NASA%20Johnson/2015 07 01 - NASA Johnson - Space Station Live  Open Access to Space Station Science Data_4Vx6CNTs-aE - transcript (automated).pdf","Transcript Link")</f>
        <v>Transcript Link</v>
      </c>
    </row>
    <row r="1350" ht="409.5" spans="1:13">
      <c r="A1350" s="1" t="s">
        <v>5964</v>
      </c>
      <c r="B1350" s="1" t="s">
        <v>13</v>
      </c>
      <c r="C1350" s="4" t="s">
        <v>5969</v>
      </c>
      <c r="D1350" s="1" t="s">
        <v>5970</v>
      </c>
      <c r="E1350" s="1" t="s">
        <v>5971</v>
      </c>
      <c r="F1350" s="4" t="s">
        <v>17</v>
      </c>
      <c r="G1350" s="1" t="s">
        <v>18</v>
      </c>
      <c r="H1350" s="1" t="s">
        <v>19</v>
      </c>
      <c r="I1350" s="1" t="s">
        <v>20</v>
      </c>
      <c r="J1350" s="1" t="s">
        <v>5972</v>
      </c>
      <c r="K1350" s="1" t="s">
        <v>22</v>
      </c>
      <c r="L1350" s="1" t="str">
        <f>HYPERLINK("https://files.afu.se/Downloads/Transcripts/0%20-%20Government/USA%20-%20NASA%20Johnson/2015 07 01 - NASA Johnson - Benefits for Humanity  Hope Crystallizes_1jEx4Q_nBW8 - transcript (automated).pdf","Transcript Link")</f>
        <v>Transcript Link</v>
      </c>
      <c r="M1350" s="2" t="str">
        <f>HYPERLINK("https://files.afu.se/Downloads/Transcripts/0%20-%20Government/USA%20-%20NASA%20Johnson/2015 07 01 - NASA Johnson - Benefits for Humanity  Hope Crystallizes_1jEx4Q_nBW8 - transcript (automated).pdf","Transcript Link")</f>
        <v>Transcript Link</v>
      </c>
    </row>
    <row r="1351" ht="255" spans="1:13">
      <c r="A1351" s="1" t="s">
        <v>5973</v>
      </c>
      <c r="B1351" s="1" t="s">
        <v>13</v>
      </c>
      <c r="C1351" s="4" t="s">
        <v>5974</v>
      </c>
      <c r="D1351" s="1" t="s">
        <v>5975</v>
      </c>
      <c r="E1351" s="1" t="s">
        <v>5976</v>
      </c>
      <c r="F1351" s="4" t="s">
        <v>17</v>
      </c>
      <c r="G1351" s="1" t="s">
        <v>18</v>
      </c>
      <c r="H1351" s="1" t="s">
        <v>19</v>
      </c>
      <c r="I1351" s="1" t="s">
        <v>20</v>
      </c>
      <c r="J1351" s="1" t="s">
        <v>5977</v>
      </c>
      <c r="K1351" s="1" t="s">
        <v>22</v>
      </c>
      <c r="L1351" s="1" t="str">
        <f>HYPERLINK("https://files.afu.se/Downloads/Transcripts/0%20-%20Government/USA%20-%20NASA%20Johnson/2015 06 29 - NASA Johnson - Space Station Live  Padalka New Space Ironman_UKfZ8n8EcwU - transcript (automated).pdf","Transcript Link")</f>
        <v>Transcript Link</v>
      </c>
      <c r="M1351" s="2" t="str">
        <f>HYPERLINK("https://files.afu.se/Downloads/Transcripts/0%20-%20Government/USA%20-%20NASA%20Johnson/2015 06 29 - NASA Johnson - Space Station Live  Padalka New Space Ironman_UKfZ8n8EcwU - transcript (automated).pdf","Transcript Link")</f>
        <v>Transcript Link</v>
      </c>
    </row>
    <row r="1352" ht="180" spans="1:13">
      <c r="A1352" s="1" t="s">
        <v>5978</v>
      </c>
      <c r="B1352" s="1" t="s">
        <v>13</v>
      </c>
      <c r="C1352" s="4" t="s">
        <v>5979</v>
      </c>
      <c r="D1352" s="1" t="s">
        <v>5980</v>
      </c>
      <c r="E1352" s="1" t="s">
        <v>4931</v>
      </c>
      <c r="F1352" s="4" t="s">
        <v>17</v>
      </c>
      <c r="G1352" s="1" t="s">
        <v>18</v>
      </c>
      <c r="H1352" s="1" t="s">
        <v>19</v>
      </c>
      <c r="I1352" s="1" t="s">
        <v>20</v>
      </c>
      <c r="J1352" s="1" t="s">
        <v>5981</v>
      </c>
      <c r="K1352" s="1" t="s">
        <v>22</v>
      </c>
      <c r="L1352" s="1" t="str">
        <f>HYPERLINK("https://files.afu.se/Downloads/Transcripts/0%20-%20Government/USA%20-%20NASA%20Johnson/2015 06 26 - NASA Johnson - Space to Ground  Preparing for Dragon   6 26 2015_XRYUKTa6BLA - transcript (automated).pdf","Transcript Link")</f>
        <v>Transcript Link</v>
      </c>
      <c r="M1352" s="2" t="str">
        <f>HYPERLINK("https://files.afu.se/Downloads/Transcripts/0%20-%20Government/USA%20-%20NASA%20Johnson/2015 06 26 - NASA Johnson - Space to Ground  Preparing for Dragon   6 26 2015_XRYUKTa6BLA - transcript (automated).pdf","Transcript Link")</f>
        <v>Transcript Link</v>
      </c>
    </row>
    <row r="1353" ht="300" spans="1:13">
      <c r="A1353" s="1" t="s">
        <v>5982</v>
      </c>
      <c r="B1353" s="1" t="s">
        <v>13</v>
      </c>
      <c r="C1353" s="4" t="s">
        <v>5983</v>
      </c>
      <c r="D1353" s="1" t="s">
        <v>5984</v>
      </c>
      <c r="E1353" s="1" t="s">
        <v>5985</v>
      </c>
      <c r="F1353" s="4" t="s">
        <v>17</v>
      </c>
      <c r="G1353" s="1" t="s">
        <v>18</v>
      </c>
      <c r="H1353" s="1" t="s">
        <v>19</v>
      </c>
      <c r="I1353" s="1" t="s">
        <v>20</v>
      </c>
      <c r="J1353" s="1" t="s">
        <v>5986</v>
      </c>
      <c r="K1353" s="1" t="s">
        <v>22</v>
      </c>
      <c r="L1353" s="1" t="str">
        <f>HYPERLINK("https://files.afu.se/Downloads/Transcripts/0%20-%20Government/USA%20-%20NASA%20Johnson/2015 06 25 - NASA Johnson - NASA Testing Project Sidekick_S1IS8Kbzxos - transcript (automated).pdf","Transcript Link")</f>
        <v>Transcript Link</v>
      </c>
      <c r="M1353" s="2" t="str">
        <f>HYPERLINK("https://files.afu.se/Downloads/Transcripts/0%20-%20Government/USA%20-%20NASA%20Johnson/2015 06 25 - NASA Johnson - NASA Testing Project Sidekick_S1IS8Kbzxos - transcript (automated).pdf","Transcript Link")</f>
        <v>Transcript Link</v>
      </c>
    </row>
    <row r="1354" ht="180" spans="1:13">
      <c r="A1354" s="1" t="s">
        <v>5987</v>
      </c>
      <c r="B1354" s="1" t="s">
        <v>13</v>
      </c>
      <c r="C1354" s="4" t="s">
        <v>5988</v>
      </c>
      <c r="D1354" s="1" t="s">
        <v>5989</v>
      </c>
      <c r="E1354" s="1" t="s">
        <v>5990</v>
      </c>
      <c r="F1354" s="4" t="s">
        <v>17</v>
      </c>
      <c r="G1354" s="1" t="s">
        <v>18</v>
      </c>
      <c r="H1354" s="1" t="s">
        <v>19</v>
      </c>
      <c r="I1354" s="1" t="s">
        <v>20</v>
      </c>
      <c r="J1354" s="1" t="s">
        <v>5991</v>
      </c>
      <c r="K1354" s="1" t="s">
        <v>22</v>
      </c>
      <c r="L1354" s="1" t="str">
        <f>HYPERLINK("https://files.afu.se/Downloads/Transcripts/0%20-%20Government/USA%20-%20NASA%20Johnson/2015 06 24 - NASA Johnson - Space Station Live  What the Well-Dressed Astronaut is Wearing_NdL44q6mAuE - transcript (automated).pdf","Transcript Link")</f>
        <v>Transcript Link</v>
      </c>
      <c r="M1354" s="2" t="str">
        <f>HYPERLINK("https://files.afu.se/Downloads/Transcripts/0%20-%20Government/USA%20-%20NASA%20Johnson/2015 06 24 - NASA Johnson - Space Station Live  What the Well-Dressed Astronaut is Wearing_NdL44q6mAuE - transcript (automated).pdf","Transcript Link")</f>
        <v>Transcript Link</v>
      </c>
    </row>
    <row r="1355" ht="315" spans="1:13">
      <c r="A1355" s="1" t="s">
        <v>5992</v>
      </c>
      <c r="B1355" s="1" t="s">
        <v>13</v>
      </c>
      <c r="C1355" s="4" t="s">
        <v>5993</v>
      </c>
      <c r="D1355" s="1" t="s">
        <v>5994</v>
      </c>
      <c r="E1355" s="1" t="s">
        <v>5995</v>
      </c>
      <c r="F1355" s="4" t="s">
        <v>17</v>
      </c>
      <c r="G1355" s="1" t="s">
        <v>18</v>
      </c>
      <c r="H1355" s="1" t="s">
        <v>19</v>
      </c>
      <c r="I1355" s="1" t="s">
        <v>20</v>
      </c>
      <c r="J1355" s="1" t="s">
        <v>5996</v>
      </c>
      <c r="K1355" s="1" t="s">
        <v>22</v>
      </c>
      <c r="L1355" s="1" t="str">
        <f>HYPERLINK("https://files.afu.se/Downloads/Transcripts/0%20-%20Government/USA%20-%20NASA%20Johnson/2015 06 19 - NASA Johnson - Space Station Live  The News on Commercial Crew_1sMPwJJuBMU - transcript (automated).pdf","Transcript Link")</f>
        <v>Transcript Link</v>
      </c>
      <c r="M1355" s="2" t="str">
        <f>HYPERLINK("https://files.afu.se/Downloads/Transcripts/0%20-%20Government/USA%20-%20NASA%20Johnson/2015 06 19 - NASA Johnson - Space Station Live  The News on Commercial Crew_1sMPwJJuBMU - transcript (automated).pdf","Transcript Link")</f>
        <v>Transcript Link</v>
      </c>
    </row>
    <row r="1356" ht="180" spans="1:13">
      <c r="A1356" s="1" t="s">
        <v>5992</v>
      </c>
      <c r="B1356" s="1" t="s">
        <v>13</v>
      </c>
      <c r="C1356" s="4" t="s">
        <v>5997</v>
      </c>
      <c r="D1356" s="1" t="s">
        <v>5998</v>
      </c>
      <c r="E1356" s="1" t="s">
        <v>4931</v>
      </c>
      <c r="F1356" s="4" t="s">
        <v>17</v>
      </c>
      <c r="G1356" s="1" t="s">
        <v>18</v>
      </c>
      <c r="H1356" s="1" t="s">
        <v>19</v>
      </c>
      <c r="I1356" s="1" t="s">
        <v>20</v>
      </c>
      <c r="J1356" s="1" t="s">
        <v>5999</v>
      </c>
      <c r="K1356" s="1" t="s">
        <v>22</v>
      </c>
      <c r="L1356" s="1" t="str">
        <f>HYPERLINK("https://files.afu.se/Downloads/Transcripts/0%20-%20Government/USA%20-%20NASA%20Johnson/2015 06 19 - NASA Johnson - Space to Ground  Eye On The Tropics  6 19 2015_YUyYTD5L8Gw - transcript (automated).pdf","Transcript Link")</f>
        <v>Transcript Link</v>
      </c>
      <c r="M1356" s="2" t="str">
        <f>HYPERLINK("https://files.afu.se/Downloads/Transcripts/0%20-%20Government/USA%20-%20NASA%20Johnson/2015 06 19 - NASA Johnson - Space to Ground  Eye On The Tropics  6 19 2015_YUyYTD5L8Gw - transcript (automated).pdf","Transcript Link")</f>
        <v>Transcript Link</v>
      </c>
    </row>
    <row r="1357" ht="180" spans="1:13">
      <c r="A1357" s="1" t="s">
        <v>6000</v>
      </c>
      <c r="B1357" s="1" t="s">
        <v>13</v>
      </c>
      <c r="C1357" s="4" t="s">
        <v>6001</v>
      </c>
      <c r="D1357" s="1" t="s">
        <v>6002</v>
      </c>
      <c r="E1357" s="1" t="s">
        <v>6003</v>
      </c>
      <c r="F1357" s="4" t="s">
        <v>17</v>
      </c>
      <c r="G1357" s="1" t="s">
        <v>18</v>
      </c>
      <c r="H1357" s="1" t="s">
        <v>19</v>
      </c>
      <c r="I1357" s="1" t="s">
        <v>20</v>
      </c>
      <c r="J1357" s="1" t="s">
        <v>6004</v>
      </c>
      <c r="K1357" s="1" t="s">
        <v>22</v>
      </c>
      <c r="L1357" s="1" t="str">
        <f>HYPERLINK("https://files.afu.se/Downloads/Transcripts/0%20-%20Government/USA%20-%20NASA%20Johnson/2015 06 17 - NASA Johnson - Space Station Live  Russians Do Plasma Science in Europe’s Columbus Module_q-yDVQqUg2k - transcript (automated).pdf","Transcript Link")</f>
        <v>Transcript Link</v>
      </c>
      <c r="M1357" s="2" t="str">
        <f>HYPERLINK("https://files.afu.se/Downloads/Transcripts/0%20-%20Government/USA%20-%20NASA%20Johnson/2015 06 17 - NASA Johnson - Space Station Live  Russians Do Plasma Science in Europe’s Columbus Module_q-yDVQqUg2k - transcript (automated).pdf","Transcript Link")</f>
        <v>Transcript Link</v>
      </c>
    </row>
    <row r="1358" ht="315" spans="1:13">
      <c r="A1358" s="1" t="s">
        <v>6005</v>
      </c>
      <c r="B1358" s="1" t="s">
        <v>13</v>
      </c>
      <c r="C1358" s="4" t="s">
        <v>6006</v>
      </c>
      <c r="D1358" s="1" t="s">
        <v>6007</v>
      </c>
      <c r="E1358" s="1" t="s">
        <v>6008</v>
      </c>
      <c r="F1358" s="4" t="s">
        <v>17</v>
      </c>
      <c r="G1358" s="1" t="s">
        <v>18</v>
      </c>
      <c r="H1358" s="1" t="s">
        <v>19</v>
      </c>
      <c r="I1358" s="1" t="s">
        <v>20</v>
      </c>
      <c r="J1358" s="1" t="s">
        <v>6009</v>
      </c>
      <c r="K1358" s="1" t="s">
        <v>22</v>
      </c>
      <c r="L1358" s="1" t="str">
        <f>HYPERLINK("https://files.afu.se/Downloads/Transcripts/0%20-%20Government/USA%20-%20NASA%20Johnson/2015 06 16 - NASA Johnson - NASA  Past, Present and Future_Gy7Qu1gSnI8 - transcript (automated).pdf","Transcript Link")</f>
        <v>Transcript Link</v>
      </c>
      <c r="M1358" s="2" t="str">
        <f>HYPERLINK("https://files.afu.se/Downloads/Transcripts/0%20-%20Government/USA%20-%20NASA%20Johnson/2015 06 16 - NASA Johnson - NASA  Past, Present and Future_Gy7Qu1gSnI8 - transcript (automated).pdf","Transcript Link")</f>
        <v>Transcript Link</v>
      </c>
    </row>
    <row r="1359" ht="240" spans="1:13">
      <c r="A1359" s="1" t="s">
        <v>6010</v>
      </c>
      <c r="B1359" s="1" t="s">
        <v>13</v>
      </c>
      <c r="C1359" s="4" t="s">
        <v>6011</v>
      </c>
      <c r="D1359" s="1" t="s">
        <v>6012</v>
      </c>
      <c r="E1359" s="1" t="s">
        <v>6013</v>
      </c>
      <c r="F1359" s="4" t="s">
        <v>17</v>
      </c>
      <c r="G1359" s="1" t="s">
        <v>18</v>
      </c>
      <c r="H1359" s="1" t="s">
        <v>19</v>
      </c>
      <c r="I1359" s="1" t="s">
        <v>20</v>
      </c>
      <c r="J1359" s="1" t="s">
        <v>6014</v>
      </c>
      <c r="K1359" s="1" t="s">
        <v>22</v>
      </c>
      <c r="L1359" s="1" t="str">
        <f>HYPERLINK("https://files.afu.se/Downloads/Transcripts/0%20-%20Government/USA%20-%20NASA%20Johnson/2015 06 15 - NASA Johnson - Ultra High Definition Video from the International Space Station  (Reel 1)_ouv1Un1F36A - transcript (automated).pdf","Transcript Link")</f>
        <v>Transcript Link</v>
      </c>
      <c r="M1359" s="2" t="str">
        <f>HYPERLINK("https://files.afu.se/Downloads/Transcripts/0%20-%20Government/USA%20-%20NASA%20Johnson/2015 06 15 - NASA Johnson - Ultra High Definition Video from the International Space Station  (Reel 1)_ouv1Un1F36A - transcript (automated).pdf","Transcript Link")</f>
        <v>Transcript Link</v>
      </c>
    </row>
    <row r="1360" ht="180" spans="1:13">
      <c r="A1360" s="1" t="s">
        <v>6015</v>
      </c>
      <c r="B1360" s="1" t="s">
        <v>13</v>
      </c>
      <c r="C1360" s="4" t="s">
        <v>6016</v>
      </c>
      <c r="D1360" s="1" t="s">
        <v>6017</v>
      </c>
      <c r="E1360" s="1" t="s">
        <v>6018</v>
      </c>
      <c r="F1360" s="4" t="s">
        <v>17</v>
      </c>
      <c r="G1360" s="1" t="s">
        <v>18</v>
      </c>
      <c r="H1360" s="1" t="s">
        <v>19</v>
      </c>
      <c r="I1360" s="1" t="s">
        <v>20</v>
      </c>
      <c r="J1360" s="1" t="s">
        <v>6019</v>
      </c>
      <c r="K1360" s="1" t="s">
        <v>22</v>
      </c>
      <c r="L1360" s="1" t="str">
        <f>HYPERLINK("https://files.afu.se/Downloads/Transcripts/0%20-%20Government/USA%20-%20NASA%20Johnson/2015 06 12 - NASA Johnson - Expedition 42 43 Crew Returns To Houston_wKGnJtxPBk8 - transcript (automated).pdf","Transcript Link")</f>
        <v>Transcript Link</v>
      </c>
      <c r="M1360" s="2" t="str">
        <f>HYPERLINK("https://files.afu.se/Downloads/Transcripts/0%20-%20Government/USA%20-%20NASA%20Johnson/2015 06 12 - NASA Johnson - Expedition 42 43 Crew Returns To Houston_wKGnJtxPBk8 - transcript (automated).pdf","Transcript Link")</f>
        <v>Transcript Link</v>
      </c>
    </row>
    <row r="1361" ht="180" spans="1:13">
      <c r="A1361" s="1" t="s">
        <v>6015</v>
      </c>
      <c r="B1361" s="1" t="s">
        <v>13</v>
      </c>
      <c r="C1361" s="4" t="s">
        <v>6020</v>
      </c>
      <c r="D1361" s="1" t="s">
        <v>6021</v>
      </c>
      <c r="E1361" s="1" t="s">
        <v>6022</v>
      </c>
      <c r="F1361" s="4" t="s">
        <v>17</v>
      </c>
      <c r="G1361" s="1" t="s">
        <v>18</v>
      </c>
      <c r="H1361" s="1" t="s">
        <v>19</v>
      </c>
      <c r="I1361" s="1" t="s">
        <v>20</v>
      </c>
      <c r="J1361" s="1" t="s">
        <v>6023</v>
      </c>
      <c r="K1361" s="1" t="s">
        <v>22</v>
      </c>
      <c r="L1361" s="1" t="str">
        <f>HYPERLINK("https://files.afu.se/Downloads/Transcripts/0%20-%20Government/USA%20-%20NASA%20Johnson/2015 06 12 - NASA Johnson - Space Station Live  Introducing ISS Expedition 44_UJf8xsvjPL4 - transcript (automated).pdf","Transcript Link")</f>
        <v>Transcript Link</v>
      </c>
      <c r="M1361" s="2" t="str">
        <f>HYPERLINK("https://files.afu.se/Downloads/Transcripts/0%20-%20Government/USA%20-%20NASA%20Johnson/2015 06 12 - NASA Johnson - Space Station Live  Introducing ISS Expedition 44_UJf8xsvjPL4 - transcript (automated).pdf","Transcript Link")</f>
        <v>Transcript Link</v>
      </c>
    </row>
    <row r="1362" ht="240" spans="1:13">
      <c r="A1362" s="1" t="s">
        <v>6015</v>
      </c>
      <c r="B1362" s="1" t="s">
        <v>13</v>
      </c>
      <c r="C1362" s="4" t="s">
        <v>6024</v>
      </c>
      <c r="D1362" s="1" t="s">
        <v>6025</v>
      </c>
      <c r="E1362" s="1" t="s">
        <v>6026</v>
      </c>
      <c r="F1362" s="4" t="s">
        <v>17</v>
      </c>
      <c r="G1362" s="1" t="s">
        <v>18</v>
      </c>
      <c r="H1362" s="1" t="s">
        <v>19</v>
      </c>
      <c r="I1362" s="1" t="s">
        <v>20</v>
      </c>
      <c r="J1362" s="1" t="s">
        <v>6027</v>
      </c>
      <c r="K1362" s="1" t="s">
        <v>22</v>
      </c>
      <c r="L1362" s="1" t="str">
        <f>HYPERLINK("https://files.afu.se/Downloads/Transcripts/0%20-%20Government/USA%20-%20NASA%20Johnson/2015 06 12 - NASA Johnson - Ultra High Definition Video from the International Space Station_84Jkt5RwRUc - transcript (automated).pdf","Transcript Link")</f>
        <v>Transcript Link</v>
      </c>
      <c r="M1362" s="2" t="str">
        <f>HYPERLINK("https://files.afu.se/Downloads/Transcripts/0%20-%20Government/USA%20-%20NASA%20Johnson/2015 06 12 - NASA Johnson - Ultra High Definition Video from the International Space Station_84Jkt5RwRUc - transcript (automated).pdf","Transcript Link")</f>
        <v>Transcript Link</v>
      </c>
    </row>
    <row r="1363" ht="285" spans="1:13">
      <c r="A1363" s="1" t="s">
        <v>6015</v>
      </c>
      <c r="B1363" s="1" t="s">
        <v>13</v>
      </c>
      <c r="C1363" s="4" t="s">
        <v>6028</v>
      </c>
      <c r="D1363" s="1" t="s">
        <v>6029</v>
      </c>
      <c r="E1363" s="1" t="s">
        <v>6030</v>
      </c>
      <c r="F1363" s="4" t="s">
        <v>17</v>
      </c>
      <c r="G1363" s="1" t="s">
        <v>18</v>
      </c>
      <c r="H1363" s="1" t="s">
        <v>19</v>
      </c>
      <c r="I1363" s="1" t="s">
        <v>20</v>
      </c>
      <c r="J1363" s="1" t="s">
        <v>6031</v>
      </c>
      <c r="K1363" s="1" t="s">
        <v>22</v>
      </c>
      <c r="L1363" s="1" t="str">
        <f>HYPERLINK("https://files.afu.se/Downloads/Transcripts/0%20-%20Government/USA%20-%20NASA%20Johnson/2015 06 12 - NASA Johnson - Expedition 43 Crew Receives a Warm Welcome in Kazakhstan and Russia_CvFyM21x-eE - transcript (automated).pdf","Transcript Link")</f>
        <v>Transcript Link</v>
      </c>
      <c r="M1363" s="2" t="str">
        <f>HYPERLINK("https://files.afu.se/Downloads/Transcripts/0%20-%20Government/USA%20-%20NASA%20Johnson/2015 06 12 - NASA Johnson - Expedition 43 Crew Receives a Warm Welcome in Kazakhstan and Russia_CvFyM21x-eE - transcript (automated).pdf","Transcript Link")</f>
        <v>Transcript Link</v>
      </c>
    </row>
    <row r="1364" ht="180" spans="1:13">
      <c r="A1364" s="1" t="s">
        <v>6015</v>
      </c>
      <c r="B1364" s="1" t="s">
        <v>13</v>
      </c>
      <c r="C1364" s="4" t="s">
        <v>6032</v>
      </c>
      <c r="D1364" s="1" t="s">
        <v>6033</v>
      </c>
      <c r="E1364" s="1" t="s">
        <v>4931</v>
      </c>
      <c r="F1364" s="4" t="s">
        <v>17</v>
      </c>
      <c r="G1364" s="1" t="s">
        <v>18</v>
      </c>
      <c r="H1364" s="1" t="s">
        <v>19</v>
      </c>
      <c r="I1364" s="1" t="s">
        <v>20</v>
      </c>
      <c r="J1364" s="1" t="s">
        <v>6034</v>
      </c>
      <c r="K1364" s="1" t="s">
        <v>22</v>
      </c>
      <c r="L1364" s="1" t="str">
        <f>HYPERLINK("https://files.afu.se/Downloads/Transcripts/0%20-%20Government/USA%20-%20NASA%20Johnson/2015 06 12 - NASA Johnson - Space to Ground  Back Home  6 12 15_WQLGQRshqSo - transcript (automated).pdf","Transcript Link")</f>
        <v>Transcript Link</v>
      </c>
      <c r="M1364" s="2" t="str">
        <f>HYPERLINK("https://files.afu.se/Downloads/Transcripts/0%20-%20Government/USA%20-%20NASA%20Johnson/2015 06 12 - NASA Johnson - Space to Ground  Back Home  6 12 15_WQLGQRshqSo - transcript (automated).pdf","Transcript Link")</f>
        <v>Transcript Link</v>
      </c>
    </row>
    <row r="1365" ht="180" spans="1:13">
      <c r="A1365" s="1" t="s">
        <v>6035</v>
      </c>
      <c r="B1365" s="1" t="s">
        <v>13</v>
      </c>
      <c r="C1365" s="4" t="s">
        <v>6036</v>
      </c>
      <c r="D1365" s="1" t="s">
        <v>6037</v>
      </c>
      <c r="E1365" s="1" t="s">
        <v>4437</v>
      </c>
      <c r="F1365" s="4" t="s">
        <v>17</v>
      </c>
      <c r="G1365" s="1" t="s">
        <v>18</v>
      </c>
      <c r="H1365" s="1" t="s">
        <v>19</v>
      </c>
      <c r="I1365" s="1" t="s">
        <v>20</v>
      </c>
      <c r="J1365" s="1" t="s">
        <v>6038</v>
      </c>
      <c r="K1365" s="1" t="s">
        <v>22</v>
      </c>
      <c r="L1365" s="1" t="str">
        <f>HYPERLINK("https://files.afu.se/Downloads/Transcripts/0%20-%20Government/USA%20-%20NASA%20Johnson/2015 06 11 - NASA Johnson - Monthly ISS Research Video Update for May 2015_b1btgFAR0IE - transcript (automated).pdf","Transcript Link")</f>
        <v>Transcript Link</v>
      </c>
      <c r="M1365" s="2" t="str">
        <f>HYPERLINK("https://files.afu.se/Downloads/Transcripts/0%20-%20Government/USA%20-%20NASA%20Johnson/2015 06 11 - NASA Johnson - Monthly ISS Research Video Update for May 2015_b1btgFAR0IE - transcript (automated).pdf","Transcript Link")</f>
        <v>Transcript Link</v>
      </c>
    </row>
    <row r="1366" ht="180" spans="1:13">
      <c r="A1366" s="1" t="s">
        <v>6039</v>
      </c>
      <c r="B1366" s="1" t="s">
        <v>13</v>
      </c>
      <c r="C1366" s="4" t="s">
        <v>6040</v>
      </c>
      <c r="D1366" s="1" t="s">
        <v>6041</v>
      </c>
      <c r="E1366" s="1" t="s">
        <v>6042</v>
      </c>
      <c r="F1366" s="4" t="s">
        <v>17</v>
      </c>
      <c r="G1366" s="1" t="s">
        <v>18</v>
      </c>
      <c r="H1366" s="1" t="s">
        <v>19</v>
      </c>
      <c r="I1366" s="1" t="s">
        <v>20</v>
      </c>
      <c r="J1366" s="1" t="s">
        <v>6043</v>
      </c>
      <c r="K1366" s="1" t="s">
        <v>22</v>
      </c>
      <c r="L1366" s="1" t="str">
        <f>HYPERLINK("https://files.afu.se/Downloads/Transcripts/0%20-%20Government/USA%20-%20NASA%20Johnson/2015 06 10 - NASA Johnson - Space Station Live  Change of Command_TJoBCwgb8cQ - transcript (automated).pdf","Transcript Link")</f>
        <v>Transcript Link</v>
      </c>
      <c r="M1366" s="2" t="str">
        <f>HYPERLINK("https://files.afu.se/Downloads/Transcripts/0%20-%20Government/USA%20-%20NASA%20Johnson/2015 06 10 - NASA Johnson - Space Station Live  Change of Command_TJoBCwgb8cQ - transcript (automated).pdf","Transcript Link")</f>
        <v>Transcript Link</v>
      </c>
    </row>
    <row r="1367" ht="180" spans="1:13">
      <c r="A1367" s="1" t="s">
        <v>6039</v>
      </c>
      <c r="B1367" s="1" t="s">
        <v>13</v>
      </c>
      <c r="C1367" s="4" t="s">
        <v>6044</v>
      </c>
      <c r="D1367" s="1" t="s">
        <v>6045</v>
      </c>
      <c r="E1367" s="1" t="s">
        <v>6046</v>
      </c>
      <c r="F1367" s="4" t="s">
        <v>17</v>
      </c>
      <c r="G1367" s="1" t="s">
        <v>18</v>
      </c>
      <c r="H1367" s="1" t="s">
        <v>19</v>
      </c>
      <c r="I1367" s="1" t="s">
        <v>20</v>
      </c>
      <c r="J1367" s="1" t="s">
        <v>6047</v>
      </c>
      <c r="K1367" s="1" t="s">
        <v>22</v>
      </c>
      <c r="L1367" s="1" t="str">
        <f>HYPERLINK("https://files.afu.se/Downloads/Transcripts/0%20-%20Government/USA%20-%20NASA%20Johnson/2015 06 10 - NASA Johnson - Space Station Live  Riding Home in a Fireball_9x_oubOXFgM - transcript (automated).pdf","Transcript Link")</f>
        <v>Transcript Link</v>
      </c>
      <c r="M1367" s="2" t="str">
        <f>HYPERLINK("https://files.afu.se/Downloads/Transcripts/0%20-%20Government/USA%20-%20NASA%20Johnson/2015 06 10 - NASA Johnson - Space Station Live  Riding Home in a Fireball_9x_oubOXFgM - transcript (automated).pdf","Transcript Link")</f>
        <v>Transcript Link</v>
      </c>
    </row>
    <row r="1368" ht="180" spans="1:13">
      <c r="A1368" s="1" t="s">
        <v>6048</v>
      </c>
      <c r="B1368" s="1" t="s">
        <v>13</v>
      </c>
      <c r="C1368" s="4" t="s">
        <v>6049</v>
      </c>
      <c r="D1368" s="1" t="s">
        <v>6050</v>
      </c>
      <c r="E1368" s="1" t="s">
        <v>6051</v>
      </c>
      <c r="F1368" s="4" t="s">
        <v>17</v>
      </c>
      <c r="G1368" s="1" t="s">
        <v>18</v>
      </c>
      <c r="H1368" s="1" t="s">
        <v>19</v>
      </c>
      <c r="I1368" s="1" t="s">
        <v>20</v>
      </c>
      <c r="J1368" s="1" t="s">
        <v>6052</v>
      </c>
      <c r="K1368" s="1" t="s">
        <v>22</v>
      </c>
      <c r="L1368" s="1" t="str">
        <f>HYPERLINK("https://files.afu.se/Downloads/Transcripts/0%20-%20Government/USA%20-%20NASA%20Johnson/2015 06 09 - NASA Johnson - Space Station Live  Studying Nutrition Impacts on Astronaut Health_qhJUEI_MPaY - transcript (automated).pdf","Transcript Link")</f>
        <v>Transcript Link</v>
      </c>
      <c r="M1368" s="2" t="str">
        <f>HYPERLINK("https://files.afu.se/Downloads/Transcripts/0%20-%20Government/USA%20-%20NASA%20Johnson/2015 06 09 - NASA Johnson - Space Station Live  Studying Nutrition Impacts on Astronaut Health_qhJUEI_MPaY - transcript (automated).pdf","Transcript Link")</f>
        <v>Transcript Link</v>
      </c>
    </row>
    <row r="1369" ht="285" spans="1:13">
      <c r="A1369" s="1" t="s">
        <v>6048</v>
      </c>
      <c r="B1369" s="1" t="s">
        <v>13</v>
      </c>
      <c r="C1369" s="4" t="s">
        <v>6053</v>
      </c>
      <c r="D1369" s="1" t="s">
        <v>6054</v>
      </c>
      <c r="E1369" s="1" t="s">
        <v>6055</v>
      </c>
      <c r="F1369" s="4" t="s">
        <v>17</v>
      </c>
      <c r="G1369" s="1" t="s">
        <v>18</v>
      </c>
      <c r="H1369" s="1" t="s">
        <v>19</v>
      </c>
      <c r="I1369" s="1" t="s">
        <v>20</v>
      </c>
      <c r="J1369" s="1" t="s">
        <v>6056</v>
      </c>
      <c r="K1369" s="1" t="s">
        <v>22</v>
      </c>
      <c r="L1369" s="1" t="str">
        <f>HYPERLINK("https://files.afu.se/Downloads/Transcripts/0%20-%20Government/USA%20-%20NASA%20Johnson/2015 06 09 - NASA Johnson - Station Module Move in 4K Video Resolution_U4uZvB-avL0 - transcript (automated).pdf","Transcript Link")</f>
        <v>Transcript Link</v>
      </c>
      <c r="M1369" s="2" t="str">
        <f>HYPERLINK("https://files.afu.se/Downloads/Transcripts/0%20-%20Government/USA%20-%20NASA%20Johnson/2015 06 09 - NASA Johnson - Station Module Move in 4K Video Resolution_U4uZvB-avL0 - transcript (automated).pdf","Transcript Link")</f>
        <v>Transcript Link</v>
      </c>
    </row>
    <row r="1370" ht="180" spans="1:13">
      <c r="A1370" s="1" t="s">
        <v>6057</v>
      </c>
      <c r="B1370" s="1" t="s">
        <v>13</v>
      </c>
      <c r="C1370" s="4" t="s">
        <v>6058</v>
      </c>
      <c r="D1370" s="1" t="s">
        <v>6059</v>
      </c>
      <c r="E1370" s="1" t="s">
        <v>5059</v>
      </c>
      <c r="F1370" s="4" t="s">
        <v>17</v>
      </c>
      <c r="G1370" s="1" t="s">
        <v>18</v>
      </c>
      <c r="H1370" s="1" t="s">
        <v>19</v>
      </c>
      <c r="I1370" s="1" t="s">
        <v>20</v>
      </c>
      <c r="J1370" s="1" t="s">
        <v>6060</v>
      </c>
      <c r="K1370" s="1" t="s">
        <v>22</v>
      </c>
      <c r="L1370" s="1" t="str">
        <f>HYPERLINK("https://files.afu.se/Downloads/Transcripts/0%20-%20Government/USA%20-%20NASA%20Johnson/2015 06 05 - NASA Johnson - Space to Ground  Fifty Years  6 5 15_YbXBYZDcJvI - transcript (automated).pdf","Transcript Link")</f>
        <v>Transcript Link</v>
      </c>
      <c r="M1370" s="2" t="str">
        <f>HYPERLINK("https://files.afu.se/Downloads/Transcripts/0%20-%20Government/USA%20-%20NASA%20Johnson/2015 06 05 - NASA Johnson - Space to Ground  Fifty Years  6 5 15_YbXBYZDcJvI - transcript (automated).pdf","Transcript Link")</f>
        <v>Transcript Link</v>
      </c>
    </row>
    <row r="1371" ht="195" spans="1:13">
      <c r="A1371" s="1" t="s">
        <v>6061</v>
      </c>
      <c r="B1371" s="1" t="s">
        <v>13</v>
      </c>
      <c r="C1371" s="4" t="s">
        <v>6062</v>
      </c>
      <c r="D1371" s="1" t="s">
        <v>6063</v>
      </c>
      <c r="E1371" s="1" t="s">
        <v>6064</v>
      </c>
      <c r="F1371" s="4" t="s">
        <v>17</v>
      </c>
      <c r="G1371" s="1" t="s">
        <v>18</v>
      </c>
      <c r="H1371" s="1" t="s">
        <v>19</v>
      </c>
      <c r="I1371" s="1" t="s">
        <v>20</v>
      </c>
      <c r="J1371" s="1" t="s">
        <v>6065</v>
      </c>
      <c r="K1371" s="1" t="s">
        <v>22</v>
      </c>
      <c r="L1371" s="1" t="str">
        <f>HYPERLINK("https://files.afu.se/Downloads/Transcripts/0%20-%20Government/USA%20-%20NASA%20Johnson/2015 06 04 - NASA Johnson - Space Station Live  Measuring the Fluid Shift in Space_UMCYt2bKCbI - transcript (automated).pdf","Transcript Link")</f>
        <v>Transcript Link</v>
      </c>
      <c r="M1371" s="2" t="str">
        <f>HYPERLINK("https://files.afu.se/Downloads/Transcripts/0%20-%20Government/USA%20-%20NASA%20Johnson/2015 06 04 - NASA Johnson - Space Station Live  Measuring the Fluid Shift in Space_UMCYt2bKCbI - transcript (automated).pdf","Transcript Link")</f>
        <v>Transcript Link</v>
      </c>
    </row>
    <row r="1372" ht="180" spans="1:13">
      <c r="A1372" s="1" t="s">
        <v>6066</v>
      </c>
      <c r="B1372" s="1" t="s">
        <v>13</v>
      </c>
      <c r="C1372" s="4" t="s">
        <v>6067</v>
      </c>
      <c r="D1372" s="1" t="s">
        <v>6068</v>
      </c>
      <c r="E1372" s="1" t="s">
        <v>6069</v>
      </c>
      <c r="F1372" s="4" t="s">
        <v>17</v>
      </c>
      <c r="G1372" s="1" t="s">
        <v>18</v>
      </c>
      <c r="H1372" s="1" t="s">
        <v>19</v>
      </c>
      <c r="I1372" s="1" t="s">
        <v>20</v>
      </c>
      <c r="J1372" s="1" t="s">
        <v>6070</v>
      </c>
      <c r="K1372" s="1" t="s">
        <v>22</v>
      </c>
      <c r="L1372" s="1" t="str">
        <f>HYPERLINK("https://files.afu.se/Downloads/Transcripts/0%20-%20Government/USA%20-%20NASA%20Johnson/2015 06 03 - NASA Johnson - Astronaut Terry Virts Commemorates Gemini IV Showing How He “Suits Up”_LYYdOozMtEI - transcript (automated).pdf","Transcript Link")</f>
        <v>Transcript Link</v>
      </c>
      <c r="M1372" s="2" t="str">
        <f>HYPERLINK("https://files.afu.se/Downloads/Transcripts/0%20-%20Government/USA%20-%20NASA%20Johnson/2015 06 03 - NASA Johnson - Astronaut Terry Virts Commemorates Gemini IV Showing How He “Suits Up”_LYYdOozMtEI - transcript (automated).pdf","Transcript Link")</f>
        <v>Transcript Link</v>
      </c>
    </row>
    <row r="1373" ht="390" spans="1:13">
      <c r="A1373" s="1" t="s">
        <v>6066</v>
      </c>
      <c r="B1373" s="1" t="s">
        <v>13</v>
      </c>
      <c r="C1373" s="4" t="s">
        <v>6071</v>
      </c>
      <c r="D1373" s="1" t="s">
        <v>6072</v>
      </c>
      <c r="E1373" s="1" t="s">
        <v>6073</v>
      </c>
      <c r="F1373" s="4" t="s">
        <v>17</v>
      </c>
      <c r="G1373" s="1" t="s">
        <v>18</v>
      </c>
      <c r="H1373" s="1" t="s">
        <v>19</v>
      </c>
      <c r="I1373" s="1" t="s">
        <v>20</v>
      </c>
      <c r="J1373" s="1" t="s">
        <v>6074</v>
      </c>
      <c r="K1373" s="1" t="s">
        <v>22</v>
      </c>
      <c r="L1373" s="1" t="str">
        <f>HYPERLINK("https://files.afu.se/Downloads/Transcripts/0%20-%20Government/USA%20-%20NASA%20Johnson/2015 06 03 - NASA Johnson - NASA’s Mission Control, Houston, Celebrates 50th Anniversary_wJAiKZmunPQ - transcript (automated).pdf","Transcript Link")</f>
        <v>Transcript Link</v>
      </c>
      <c r="M1373" s="2" t="str">
        <f>HYPERLINK("https://files.afu.se/Downloads/Transcripts/0%20-%20Government/USA%20-%20NASA%20Johnson/2015 06 03 - NASA Johnson - NASA’s Mission Control, Houston, Celebrates 50th Anniversary_wJAiKZmunPQ - transcript (automated).pdf","Transcript Link")</f>
        <v>Transcript Link</v>
      </c>
    </row>
    <row r="1374" ht="180" spans="1:13">
      <c r="A1374" s="1" t="s">
        <v>6075</v>
      </c>
      <c r="B1374" s="1" t="s">
        <v>13</v>
      </c>
      <c r="C1374" s="4" t="s">
        <v>6076</v>
      </c>
      <c r="D1374" s="1" t="s">
        <v>6077</v>
      </c>
      <c r="E1374" s="1" t="s">
        <v>6078</v>
      </c>
      <c r="F1374" s="4" t="s">
        <v>17</v>
      </c>
      <c r="G1374" s="1" t="s">
        <v>18</v>
      </c>
      <c r="H1374" s="1" t="s">
        <v>19</v>
      </c>
      <c r="I1374" s="1" t="s">
        <v>20</v>
      </c>
      <c r="J1374" s="1" t="s">
        <v>6079</v>
      </c>
      <c r="K1374" s="1" t="s">
        <v>22</v>
      </c>
      <c r="L1374" s="1" t="str">
        <f>HYPERLINK("https://files.afu.se/Downloads/Transcripts/0%20-%20Government/USA%20-%20NASA%20Johnson/2015 06 02 - NASA Johnson - Space Station Live  50 Years of Mission Control Houston_8jvIV8gEvuU - transcript (automated).pdf","Transcript Link")</f>
        <v>Transcript Link</v>
      </c>
      <c r="M1374" s="2" t="str">
        <f>HYPERLINK("https://files.afu.se/Downloads/Transcripts/0%20-%20Government/USA%20-%20NASA%20Johnson/2015 06 02 - NASA Johnson - Space Station Live  50 Years of Mission Control Houston_8jvIV8gEvuU - transcript (automated).pdf","Transcript Link")</f>
        <v>Transcript Link</v>
      </c>
    </row>
    <row r="1375" ht="225" spans="1:13">
      <c r="A1375" s="1" t="s">
        <v>6075</v>
      </c>
      <c r="B1375" s="1" t="s">
        <v>13</v>
      </c>
      <c r="C1375" s="4" t="s">
        <v>6080</v>
      </c>
      <c r="D1375" s="1" t="s">
        <v>6081</v>
      </c>
      <c r="E1375" s="1" t="s">
        <v>6082</v>
      </c>
      <c r="F1375" s="4" t="s">
        <v>17</v>
      </c>
      <c r="G1375" s="1" t="s">
        <v>18</v>
      </c>
      <c r="H1375" s="1" t="s">
        <v>19</v>
      </c>
      <c r="I1375" s="1" t="s">
        <v>20</v>
      </c>
      <c r="J1375" s="1" t="s">
        <v>6083</v>
      </c>
      <c r="K1375" s="1" t="s">
        <v>22</v>
      </c>
      <c r="L1375" s="1" t="str">
        <f>HYPERLINK("https://files.afu.se/Downloads/Transcripts/0%20-%20Government/USA%20-%20NASA%20Johnson/2015 06 02 - NASA Johnson - Spacewalking  The Last 50 Years, The Next 50 Years_zCDe_7uiWMM - transcript (automated).pdf","Transcript Link")</f>
        <v>Transcript Link</v>
      </c>
      <c r="M1375" s="2" t="str">
        <f>HYPERLINK("https://files.afu.se/Downloads/Transcripts/0%20-%20Government/USA%20-%20NASA%20Johnson/2015 06 02 - NASA Johnson - Spacewalking  The Last 50 Years, The Next 50 Years_zCDe_7uiWMM - transcript (automated).pdf","Transcript Link")</f>
        <v>Transcript Link</v>
      </c>
    </row>
    <row r="1376" ht="409.5" spans="1:13">
      <c r="A1376" s="1" t="s">
        <v>6075</v>
      </c>
      <c r="B1376" s="1" t="s">
        <v>13</v>
      </c>
      <c r="C1376" s="4" t="s">
        <v>6084</v>
      </c>
      <c r="D1376" s="1" t="s">
        <v>6085</v>
      </c>
      <c r="E1376" s="1" t="s">
        <v>6086</v>
      </c>
      <c r="F1376" s="4" t="s">
        <v>17</v>
      </c>
      <c r="G1376" s="1" t="s">
        <v>18</v>
      </c>
      <c r="H1376" s="1" t="s">
        <v>19</v>
      </c>
      <c r="I1376" s="1" t="s">
        <v>20</v>
      </c>
      <c r="J1376" s="1" t="s">
        <v>6087</v>
      </c>
      <c r="K1376" s="1" t="s">
        <v>22</v>
      </c>
      <c r="L1376" s="1" t="str">
        <f>HYPERLINK("https://files.afu.se/Downloads/Transcripts/0%20-%20Government/USA%20-%20NASA%20Johnson/2015 06 02 - NASA Johnson - StationLife  Eye-Opening Science_2hT-CRevst4 - transcript (automated).pdf","Transcript Link")</f>
        <v>Transcript Link</v>
      </c>
      <c r="M1376" s="2" t="str">
        <f>HYPERLINK("https://files.afu.se/Downloads/Transcripts/0%20-%20Government/USA%20-%20NASA%20Johnson/2015 06 02 - NASA Johnson - StationLife  Eye-Opening Science_2hT-CRevst4 - transcript (automated).pdf","Transcript Link")</f>
        <v>Transcript Link</v>
      </c>
    </row>
    <row r="1377" ht="180" spans="1:13">
      <c r="A1377" s="1" t="s">
        <v>6088</v>
      </c>
      <c r="B1377" s="1" t="s">
        <v>13</v>
      </c>
      <c r="C1377" s="4" t="s">
        <v>6089</v>
      </c>
      <c r="D1377" s="1" t="s">
        <v>6090</v>
      </c>
      <c r="E1377" s="1" t="s">
        <v>6091</v>
      </c>
      <c r="F1377" s="4" t="s">
        <v>17</v>
      </c>
      <c r="G1377" s="1" t="s">
        <v>18</v>
      </c>
      <c r="H1377" s="1" t="s">
        <v>19</v>
      </c>
      <c r="I1377" s="1" t="s">
        <v>20</v>
      </c>
      <c r="J1377" s="1" t="s">
        <v>6092</v>
      </c>
      <c r="K1377" s="1" t="s">
        <v>22</v>
      </c>
      <c r="L1377" s="1" t="str">
        <f>HYPERLINK("https://files.afu.se/Downloads/Transcripts/0%20-%20Government/USA%20-%20NASA%20Johnson/2015 06 01 - NASA Johnson - Show NASA How You %23SuitUp_Yiv9W4K92XE - transcript (automated).pdf","Transcript Link")</f>
        <v>Transcript Link</v>
      </c>
      <c r="M1377" s="2" t="str">
        <f>HYPERLINK("https://files.afu.se/Downloads/Transcripts/0%20-%20Government/USA%20-%20NASA%20Johnson/2015 06 01 - NASA Johnson - Show NASA How You %23SuitUp_Yiv9W4K92XE - transcript (automated).pdf","Transcript Link")</f>
        <v>Transcript Link</v>
      </c>
    </row>
    <row r="1378" ht="180" spans="1:13">
      <c r="A1378" s="1" t="s">
        <v>6088</v>
      </c>
      <c r="B1378" s="1" t="s">
        <v>13</v>
      </c>
      <c r="C1378" s="4" t="s">
        <v>6093</v>
      </c>
      <c r="D1378" s="1" t="s">
        <v>6094</v>
      </c>
      <c r="E1378" s="1" t="s">
        <v>6095</v>
      </c>
      <c r="F1378" s="4" t="s">
        <v>17</v>
      </c>
      <c r="G1378" s="1" t="s">
        <v>18</v>
      </c>
      <c r="H1378" s="1" t="s">
        <v>19</v>
      </c>
      <c r="I1378" s="1" t="s">
        <v>20</v>
      </c>
      <c r="J1378" s="1" t="s">
        <v>6096</v>
      </c>
      <c r="K1378" s="1" t="s">
        <v>22</v>
      </c>
      <c r="L1378" s="1" t="str">
        <f>HYPERLINK("https://files.afu.se/Downloads/Transcripts/0%20-%20Government/USA%20-%20NASA%20Johnson/2015 06 01 - NASA Johnson - Space Station Live  The Science Beat Goes On_JAlnM06MnRA - transcript (automated).pdf","Transcript Link")</f>
        <v>Transcript Link</v>
      </c>
      <c r="M1378" s="2" t="str">
        <f>HYPERLINK("https://files.afu.se/Downloads/Transcripts/0%20-%20Government/USA%20-%20NASA%20Johnson/2015 06 01 - NASA Johnson - Space Station Live  The Science Beat Goes On_JAlnM06MnRA - transcript (automated).pdf","Transcript Link")</f>
        <v>Transcript Link</v>
      </c>
    </row>
    <row r="1379" ht="180" spans="1:13">
      <c r="A1379" s="1" t="s">
        <v>6097</v>
      </c>
      <c r="B1379" s="1" t="s">
        <v>13</v>
      </c>
      <c r="C1379" s="4" t="s">
        <v>6098</v>
      </c>
      <c r="D1379" s="1" t="s">
        <v>6099</v>
      </c>
      <c r="E1379" s="1" t="s">
        <v>6100</v>
      </c>
      <c r="F1379" s="4" t="s">
        <v>17</v>
      </c>
      <c r="G1379" s="1" t="s">
        <v>18</v>
      </c>
      <c r="H1379" s="1" t="s">
        <v>19</v>
      </c>
      <c r="I1379" s="1" t="s">
        <v>20</v>
      </c>
      <c r="J1379" s="1" t="s">
        <v>6101</v>
      </c>
      <c r="K1379" s="1" t="s">
        <v>22</v>
      </c>
      <c r="L1379" s="1" t="str">
        <f>HYPERLINK("https://files.afu.se/Downloads/Transcripts/0%20-%20Government/USA%20-%20NASA%20Johnson/2015 05 29 - NASA Johnson - Space to Ground   Module Move_V81_3biNHcA - transcript (automated).pdf","Transcript Link")</f>
        <v>Transcript Link</v>
      </c>
      <c r="M1379" s="2" t="str">
        <f>HYPERLINK("https://files.afu.se/Downloads/Transcripts/0%20-%20Government/USA%20-%20NASA%20Johnson/2015 05 29 - NASA Johnson - Space to Ground   Module Move_V81_3biNHcA - transcript (automated).pdf","Transcript Link")</f>
        <v>Transcript Link</v>
      </c>
    </row>
    <row r="1380" ht="180" spans="1:13">
      <c r="A1380" s="1" t="s">
        <v>6102</v>
      </c>
      <c r="B1380" s="1" t="s">
        <v>13</v>
      </c>
      <c r="C1380" s="4" t="s">
        <v>6103</v>
      </c>
      <c r="D1380" s="1" t="s">
        <v>6104</v>
      </c>
      <c r="E1380" s="1" t="s">
        <v>6105</v>
      </c>
      <c r="F1380" s="4" t="s">
        <v>17</v>
      </c>
      <c r="G1380" s="1" t="s">
        <v>18</v>
      </c>
      <c r="H1380" s="1" t="s">
        <v>19</v>
      </c>
      <c r="I1380" s="1" t="s">
        <v>20</v>
      </c>
      <c r="J1380" s="1" t="s">
        <v>6106</v>
      </c>
      <c r="K1380" s="1" t="s">
        <v>22</v>
      </c>
      <c r="L1380" s="1" t="str">
        <f>HYPERLINK("https://files.afu.se/Downloads/Transcripts/0%20-%20Government/USA%20-%20NASA%20Johnson/2015 05 27 - NASA Johnson - Space Station Live  Astronaut or IndyCar Driver _PtJAumajur8 - transcript (automated).pdf","Transcript Link")</f>
        <v>Transcript Link</v>
      </c>
      <c r="M1380" s="2" t="str">
        <f>HYPERLINK("https://files.afu.se/Downloads/Transcripts/0%20-%20Government/USA%20-%20NASA%20Johnson/2015 05 27 - NASA Johnson - Space Station Live  Astronaut or IndyCar Driver _PtJAumajur8 - transcript (automated).pdf","Transcript Link")</f>
        <v>Transcript Link</v>
      </c>
    </row>
    <row r="1381" ht="409.5" spans="1:13">
      <c r="A1381" s="1" t="s">
        <v>6102</v>
      </c>
      <c r="B1381" s="1" t="s">
        <v>13</v>
      </c>
      <c r="C1381" s="4" t="s">
        <v>6107</v>
      </c>
      <c r="D1381" s="1" t="s">
        <v>6108</v>
      </c>
      <c r="E1381" s="1" t="s">
        <v>6109</v>
      </c>
      <c r="F1381" s="4" t="s">
        <v>17</v>
      </c>
      <c r="G1381" s="1" t="s">
        <v>18</v>
      </c>
      <c r="H1381" s="1" t="s">
        <v>19</v>
      </c>
      <c r="I1381" s="1" t="s">
        <v>20</v>
      </c>
      <c r="J1381" s="1" t="s">
        <v>6110</v>
      </c>
      <c r="K1381" s="1" t="s">
        <v>22</v>
      </c>
      <c r="L1381" s="1" t="str">
        <f>HYPERLINK("https://files.afu.se/Downloads/Transcripts/0%20-%20Government/USA%20-%20NASA%20Johnson/2015 05 27 - NASA Johnson - One-Year Crew Docking to the International Space Station_pRaZgSVnsNs - transcript (automated).pdf","Transcript Link")</f>
        <v>Transcript Link</v>
      </c>
      <c r="M1381" s="2" t="str">
        <f>HYPERLINK("https://files.afu.se/Downloads/Transcripts/0%20-%20Government/USA%20-%20NASA%20Johnson/2015 05 27 - NASA Johnson - One-Year Crew Docking to the International Space Station_pRaZgSVnsNs - transcript (automated).pdf","Transcript Link")</f>
        <v>Transcript Link</v>
      </c>
    </row>
    <row r="1382" ht="180" spans="1:13">
      <c r="A1382" s="1" t="s">
        <v>6111</v>
      </c>
      <c r="B1382" s="1" t="s">
        <v>13</v>
      </c>
      <c r="C1382" s="4" t="s">
        <v>6112</v>
      </c>
      <c r="D1382" s="1" t="s">
        <v>6113</v>
      </c>
      <c r="E1382" s="1" t="s">
        <v>6114</v>
      </c>
      <c r="F1382" s="4" t="s">
        <v>17</v>
      </c>
      <c r="G1382" s="1" t="s">
        <v>18</v>
      </c>
      <c r="H1382" s="1" t="s">
        <v>19</v>
      </c>
      <c r="I1382" s="1" t="s">
        <v>20</v>
      </c>
      <c r="J1382" s="1" t="s">
        <v>6115</v>
      </c>
      <c r="K1382" s="1" t="s">
        <v>22</v>
      </c>
      <c r="L1382" s="1" t="str">
        <f>HYPERLINK("https://files.afu.se/Downloads/Transcripts/0%20-%20Government/USA%20-%20NASA%20Johnson/2015 05 26 - NASA Johnson - Space Station Live  Next Stop for PMM--Tranquility_lu-tdAnBdmM - transcript (automated).pdf","Transcript Link")</f>
        <v>Transcript Link</v>
      </c>
      <c r="M1382" s="2" t="str">
        <f>HYPERLINK("https://files.afu.se/Downloads/Transcripts/0%20-%20Government/USA%20-%20NASA%20Johnson/2015 05 26 - NASA Johnson - Space Station Live  Next Stop for PMM--Tranquility_lu-tdAnBdmM - transcript (automated).pdf","Transcript Link")</f>
        <v>Transcript Link</v>
      </c>
    </row>
    <row r="1383" ht="180" spans="1:13">
      <c r="A1383" s="1" t="s">
        <v>6116</v>
      </c>
      <c r="B1383" s="1" t="s">
        <v>13</v>
      </c>
      <c r="C1383" s="4" t="s">
        <v>6117</v>
      </c>
      <c r="D1383" s="1" t="s">
        <v>6118</v>
      </c>
      <c r="E1383" s="1" t="s">
        <v>6100</v>
      </c>
      <c r="F1383" s="4" t="s">
        <v>17</v>
      </c>
      <c r="G1383" s="1" t="s">
        <v>18</v>
      </c>
      <c r="H1383" s="1" t="s">
        <v>19</v>
      </c>
      <c r="I1383" s="1" t="s">
        <v>20</v>
      </c>
      <c r="J1383" s="1" t="s">
        <v>6119</v>
      </c>
      <c r="K1383" s="1" t="s">
        <v>22</v>
      </c>
      <c r="L1383" s="1" t="str">
        <f>HYPERLINK("https://files.afu.se/Downloads/Transcripts/0%20-%20Government/USA%20-%20NASA%20Johnson/2015 05 22 - NASA Johnson - Space to Ground   Cargo Returns_Gf9wxJf1tCA - transcript (automated).pdf","Transcript Link")</f>
        <v>Transcript Link</v>
      </c>
      <c r="M1383" s="2" t="str">
        <f>HYPERLINK("https://files.afu.se/Downloads/Transcripts/0%20-%20Government/USA%20-%20NASA%20Johnson/2015 05 22 - NASA Johnson - Space to Ground   Cargo Returns_Gf9wxJf1tCA - transcript (automated).pdf","Transcript Link")</f>
        <v>Transcript Link</v>
      </c>
    </row>
    <row r="1384" ht="270" spans="1:13">
      <c r="A1384" s="1" t="s">
        <v>6120</v>
      </c>
      <c r="B1384" s="1" t="s">
        <v>13</v>
      </c>
      <c r="C1384" s="4" t="s">
        <v>6121</v>
      </c>
      <c r="D1384" s="1" t="s">
        <v>6122</v>
      </c>
      <c r="E1384" s="1" t="s">
        <v>6123</v>
      </c>
      <c r="F1384" s="4" t="s">
        <v>17</v>
      </c>
      <c r="G1384" s="1" t="s">
        <v>18</v>
      </c>
      <c r="H1384" s="1" t="s">
        <v>19</v>
      </c>
      <c r="I1384" s="1" t="s">
        <v>20</v>
      </c>
      <c r="J1384" s="1" t="s">
        <v>6124</v>
      </c>
      <c r="K1384" s="1" t="s">
        <v>22</v>
      </c>
      <c r="L1384" s="1" t="str">
        <f>HYPERLINK("https://files.afu.se/Downloads/Transcripts/0%20-%20Government/USA%20-%20NASA%20Johnson/2015 05 21 - NASA Johnson - PMM Relocation Animation_vHqzMpCIoOo - transcript (automated).pdf","Transcript Link")</f>
        <v>Transcript Link</v>
      </c>
      <c r="M1384" s="2" t="str">
        <f>HYPERLINK("https://files.afu.se/Downloads/Transcripts/0%20-%20Government/USA%20-%20NASA%20Johnson/2015 05 21 - NASA Johnson - PMM Relocation Animation_vHqzMpCIoOo - transcript (automated).pdf","Transcript Link")</f>
        <v>Transcript Link</v>
      </c>
    </row>
    <row r="1385" ht="180" spans="1:13">
      <c r="A1385" s="1" t="s">
        <v>6125</v>
      </c>
      <c r="B1385" s="1" t="s">
        <v>13</v>
      </c>
      <c r="C1385" s="4" t="s">
        <v>6126</v>
      </c>
      <c r="D1385" s="1" t="s">
        <v>6127</v>
      </c>
      <c r="E1385" s="1" t="s">
        <v>6128</v>
      </c>
      <c r="F1385" s="4" t="s">
        <v>17</v>
      </c>
      <c r="G1385" s="1" t="s">
        <v>18</v>
      </c>
      <c r="H1385" s="1" t="s">
        <v>19</v>
      </c>
      <c r="I1385" s="1" t="s">
        <v>20</v>
      </c>
      <c r="J1385" s="1" t="s">
        <v>6129</v>
      </c>
      <c r="K1385" s="1" t="s">
        <v>22</v>
      </c>
      <c r="L1385" s="1" t="str">
        <f>HYPERLINK("https://files.afu.se/Downloads/Transcripts/0%20-%20Government/USA%20-%20NASA%20Johnson/2015 05 20 - NASA Johnson - Space Station Live  Water Works for Spaceflight Future_MtUz5WfA2dw - transcript (automated).pdf","Transcript Link")</f>
        <v>Transcript Link</v>
      </c>
      <c r="M1385" s="2" t="str">
        <f>HYPERLINK("https://files.afu.se/Downloads/Transcripts/0%20-%20Government/USA%20-%20NASA%20Johnson/2015 05 20 - NASA Johnson - Space Station Live  Water Works for Spaceflight Future_MtUz5WfA2dw - transcript (automated).pdf","Transcript Link")</f>
        <v>Transcript Link</v>
      </c>
    </row>
    <row r="1386" ht="180" spans="1:13">
      <c r="A1386" s="1" t="s">
        <v>6130</v>
      </c>
      <c r="B1386" s="1" t="s">
        <v>13</v>
      </c>
      <c r="C1386" s="4" t="s">
        <v>6131</v>
      </c>
      <c r="D1386" s="1" t="s">
        <v>6132</v>
      </c>
      <c r="E1386" s="1" t="s">
        <v>5059</v>
      </c>
      <c r="F1386" s="4" t="s">
        <v>17</v>
      </c>
      <c r="G1386" s="1" t="s">
        <v>18</v>
      </c>
      <c r="H1386" s="1" t="s">
        <v>19</v>
      </c>
      <c r="I1386" s="1" t="s">
        <v>20</v>
      </c>
      <c r="J1386" s="1" t="s">
        <v>6133</v>
      </c>
      <c r="K1386" s="1" t="s">
        <v>22</v>
      </c>
      <c r="L1386" s="1" t="str">
        <f>HYPERLINK("https://files.afu.se/Downloads/Transcripts/0%20-%20Government/USA%20-%20NASA%20Johnson/2015 05 15 - NASA Johnson - Space to Ground  Schedule Shift  5 15 15_AmGiRg9q-fU - transcript (automated).pdf","Transcript Link")</f>
        <v>Transcript Link</v>
      </c>
      <c r="M1386" s="2" t="str">
        <f>HYPERLINK("https://files.afu.se/Downloads/Transcripts/0%20-%20Government/USA%20-%20NASA%20Johnson/2015 05 15 - NASA Johnson - Space to Ground  Schedule Shift  5 15 15_AmGiRg9q-fU - transcript (automated).pdf","Transcript Link")</f>
        <v>Transcript Link</v>
      </c>
    </row>
    <row r="1387" ht="315" spans="1:13">
      <c r="A1387" s="1" t="s">
        <v>6134</v>
      </c>
      <c r="B1387" s="1" t="s">
        <v>13</v>
      </c>
      <c r="C1387" s="4" t="s">
        <v>6135</v>
      </c>
      <c r="D1387" s="1" t="s">
        <v>6136</v>
      </c>
      <c r="E1387" s="1" t="s">
        <v>6137</v>
      </c>
      <c r="F1387" s="4" t="s">
        <v>17</v>
      </c>
      <c r="G1387" s="1" t="s">
        <v>18</v>
      </c>
      <c r="H1387" s="1" t="s">
        <v>19</v>
      </c>
      <c r="I1387" s="1" t="s">
        <v>20</v>
      </c>
      <c r="J1387" s="1" t="s">
        <v>6138</v>
      </c>
      <c r="K1387" s="1" t="s">
        <v>22</v>
      </c>
      <c r="L1387" s="1" t="str">
        <f>HYPERLINK("https://files.afu.se/Downloads/Transcripts/0%20-%20Government/USA%20-%20NASA%20Johnson/2015 05 14 - NASA Johnson - Preparing America for Deep Space Exploration Episode 9  Ready to Rumble_uBMRYmP7Ves - transcript (automated).pdf","Transcript Link")</f>
        <v>Transcript Link</v>
      </c>
      <c r="M1387" s="2" t="str">
        <f>HYPERLINK("https://files.afu.se/Downloads/Transcripts/0%20-%20Government/USA%20-%20NASA%20Johnson/2015 05 14 - NASA Johnson - Preparing America for Deep Space Exploration Episode 9  Ready to Rumble_uBMRYmP7Ves - transcript (automated).pdf","Transcript Link")</f>
        <v>Transcript Link</v>
      </c>
    </row>
    <row r="1388" ht="180" spans="1:13">
      <c r="A1388" s="1" t="s">
        <v>6134</v>
      </c>
      <c r="B1388" s="1" t="s">
        <v>13</v>
      </c>
      <c r="C1388" s="4" t="s">
        <v>6139</v>
      </c>
      <c r="D1388" s="1" t="s">
        <v>6140</v>
      </c>
      <c r="E1388" s="1" t="s">
        <v>6141</v>
      </c>
      <c r="F1388" s="4" t="s">
        <v>17</v>
      </c>
      <c r="G1388" s="1" t="s">
        <v>18</v>
      </c>
      <c r="H1388" s="1" t="s">
        <v>19</v>
      </c>
      <c r="I1388" s="1" t="s">
        <v>20</v>
      </c>
      <c r="J1388" s="1" t="s">
        <v>6142</v>
      </c>
      <c r="K1388" s="1" t="s">
        <v>22</v>
      </c>
      <c r="L1388" s="1" t="str">
        <f>HYPERLINK("https://files.afu.se/Downloads/Transcripts/0%20-%20Government/USA%20-%20NASA%20Johnson/2015 05 14 - NASA Johnson - Space Station Live  Millions of microbes under study_RULgOizRL0I - transcript (automated).pdf","Transcript Link")</f>
        <v>Transcript Link</v>
      </c>
      <c r="M1388" s="2" t="str">
        <f>HYPERLINK("https://files.afu.se/Downloads/Transcripts/0%20-%20Government/USA%20-%20NASA%20Johnson/2015 05 14 - NASA Johnson - Space Station Live  Millions of microbes under study_RULgOizRL0I - transcript (automated).pdf","Transcript Link")</f>
        <v>Transcript Link</v>
      </c>
    </row>
    <row r="1389" ht="270" spans="1:13">
      <c r="A1389" s="1" t="s">
        <v>6134</v>
      </c>
      <c r="B1389" s="1" t="s">
        <v>13</v>
      </c>
      <c r="C1389" s="4" t="s">
        <v>6143</v>
      </c>
      <c r="D1389" s="1" t="s">
        <v>6144</v>
      </c>
      <c r="E1389" s="1" t="s">
        <v>6145</v>
      </c>
      <c r="F1389" s="4" t="s">
        <v>17</v>
      </c>
      <c r="G1389" s="1" t="s">
        <v>18</v>
      </c>
      <c r="H1389" s="1" t="s">
        <v>19</v>
      </c>
      <c r="I1389" s="1" t="s">
        <v>20</v>
      </c>
      <c r="J1389" s="1" t="s">
        <v>6146</v>
      </c>
      <c r="K1389" s="1" t="s">
        <v>22</v>
      </c>
      <c r="L1389" s="1" t="str">
        <f>HYPERLINK("https://files.afu.se/Downloads/Transcripts/0%20-%20Government/USA%20-%20NASA%20Johnson/2015 05 14 - NASA Johnson - Space Station Live  Schedule Changes_V1eHWpOtWQw - transcript (automated).pdf","Transcript Link")</f>
        <v>Transcript Link</v>
      </c>
      <c r="M1389" s="2" t="str">
        <f>HYPERLINK("https://files.afu.se/Downloads/Transcripts/0%20-%20Government/USA%20-%20NASA%20Johnson/2015 05 14 - NASA Johnson - Space Station Live  Schedule Changes_V1eHWpOtWQw - transcript (automated).pdf","Transcript Link")</f>
        <v>Transcript Link</v>
      </c>
    </row>
    <row r="1390" ht="180" spans="1:13">
      <c r="A1390" s="1" t="s">
        <v>6134</v>
      </c>
      <c r="B1390" s="1" t="s">
        <v>13</v>
      </c>
      <c r="C1390" s="4" t="s">
        <v>6147</v>
      </c>
      <c r="D1390" s="1" t="s">
        <v>6148</v>
      </c>
      <c r="E1390" s="1" t="s">
        <v>6149</v>
      </c>
      <c r="F1390" s="4" t="s">
        <v>17</v>
      </c>
      <c r="G1390" s="1" t="s">
        <v>18</v>
      </c>
      <c r="H1390" s="1" t="s">
        <v>19</v>
      </c>
      <c r="I1390" s="1" t="s">
        <v>20</v>
      </c>
      <c r="J1390" s="1" t="s">
        <v>6150</v>
      </c>
      <c r="K1390" s="1" t="s">
        <v>22</v>
      </c>
      <c r="L1390" s="1" t="str">
        <f>HYPERLINK("https://files.afu.se/Downloads/Transcripts/0%20-%20Government/USA%20-%20NASA%20Johnson/2015 05 14 - NASA Johnson - Space Station Live  ISS  Space Cup Full of Science_0Lmsvr8VVwM - transcript (automated).pdf","Transcript Link")</f>
        <v>Transcript Link</v>
      </c>
      <c r="M1390" s="2" t="str">
        <f>HYPERLINK("https://files.afu.se/Downloads/Transcripts/0%20-%20Government/USA%20-%20NASA%20Johnson/2015 05 14 - NASA Johnson - Space Station Live  ISS  Space Cup Full of Science_0Lmsvr8VVwM - transcript (automated).pdf","Transcript Link")</f>
        <v>Transcript Link</v>
      </c>
    </row>
    <row r="1391" ht="180" spans="1:13">
      <c r="A1391" s="1" t="s">
        <v>6134</v>
      </c>
      <c r="B1391" s="1" t="s">
        <v>13</v>
      </c>
      <c r="C1391" s="4" t="s">
        <v>6151</v>
      </c>
      <c r="D1391" s="1" t="s">
        <v>6152</v>
      </c>
      <c r="E1391" s="1" t="s">
        <v>4641</v>
      </c>
      <c r="F1391" s="4" t="s">
        <v>17</v>
      </c>
      <c r="G1391" s="1" t="s">
        <v>18</v>
      </c>
      <c r="H1391" s="1" t="s">
        <v>19</v>
      </c>
      <c r="I1391" s="1" t="s">
        <v>20</v>
      </c>
      <c r="J1391" s="1" t="s">
        <v>6153</v>
      </c>
      <c r="K1391" s="1" t="s">
        <v>22</v>
      </c>
      <c r="L1391" s="1" t="str">
        <f>HYPERLINK("https://files.afu.se/Downloads/Transcripts/0%20-%20Government/USA%20-%20NASA%20Johnson/2015 05 14 - NASA Johnson - Monthly ISS Research Video Update for April 2015__5Af-tw8Nls - transcript (automated).pdf","Transcript Link")</f>
        <v>Transcript Link</v>
      </c>
      <c r="M1391" s="2" t="str">
        <f>HYPERLINK("https://files.afu.se/Downloads/Transcripts/0%20-%20Government/USA%20-%20NASA%20Johnson/2015 05 14 - NASA Johnson - Monthly ISS Research Video Update for April 2015__5Af-tw8Nls - transcript (automated).pdf","Transcript Link")</f>
        <v>Transcript Link</v>
      </c>
    </row>
    <row r="1392" ht="225" spans="1:13">
      <c r="A1392" s="1" t="s">
        <v>6134</v>
      </c>
      <c r="B1392" s="1" t="s">
        <v>13</v>
      </c>
      <c r="C1392" s="4" t="s">
        <v>6154</v>
      </c>
      <c r="D1392" s="1" t="s">
        <v>6155</v>
      </c>
      <c r="E1392" s="1" t="s">
        <v>6156</v>
      </c>
      <c r="F1392" s="4" t="s">
        <v>17</v>
      </c>
      <c r="G1392" s="1" t="s">
        <v>18</v>
      </c>
      <c r="H1392" s="1" t="s">
        <v>19</v>
      </c>
      <c r="I1392" s="1" t="s">
        <v>20</v>
      </c>
      <c r="J1392" s="1" t="s">
        <v>6157</v>
      </c>
      <c r="K1392" s="1" t="s">
        <v>22</v>
      </c>
      <c r="L1392" s="1" t="str">
        <f>HYPERLINK("https://files.afu.se/Downloads/Transcripts/0%20-%20Government/USA%20-%20NASA%20Johnson/2015 05 14 - NASA Johnson - Ron Sostaric talkMARS  “Human Mars Landing  Better Bring a Really Big Parachute!”_I1Fm7tG_sEg - transcript (automated).pdf","Transcript Link")</f>
        <v>Transcript Link</v>
      </c>
      <c r="M1392" s="2" t="str">
        <f>HYPERLINK("https://files.afu.se/Downloads/Transcripts/0%20-%20Government/USA%20-%20NASA%20Johnson/2015 05 14 - NASA Johnson - Ron Sostaric talkMARS  “Human Mars Landing  Better Bring a Really Big Parachute!”_I1Fm7tG_sEg - transcript (automated).pdf","Transcript Link")</f>
        <v>Transcript Link</v>
      </c>
    </row>
    <row r="1393" ht="210" spans="1:13">
      <c r="A1393" s="1" t="s">
        <v>6134</v>
      </c>
      <c r="B1393" s="1" t="s">
        <v>13</v>
      </c>
      <c r="C1393" s="4" t="s">
        <v>6158</v>
      </c>
      <c r="D1393" s="1" t="s">
        <v>6159</v>
      </c>
      <c r="E1393" s="1" t="s">
        <v>6160</v>
      </c>
      <c r="F1393" s="4" t="s">
        <v>17</v>
      </c>
      <c r="G1393" s="1" t="s">
        <v>18</v>
      </c>
      <c r="H1393" s="1" t="s">
        <v>19</v>
      </c>
      <c r="I1393" s="1" t="s">
        <v>20</v>
      </c>
      <c r="J1393" s="1" t="s">
        <v>6161</v>
      </c>
      <c r="K1393" s="1" t="s">
        <v>22</v>
      </c>
      <c r="L1393" s="1" t="str">
        <f>HYPERLINK("https://files.afu.se/Downloads/Transcripts/0%20-%20Government/USA%20-%20NASA%20Johnson/2015 05 14 - NASA Johnson - Doug Ming talkMARS  “Curiosity on Mars  Trailblazing a Path for Humans”_ID9Yergj2TU - transcript (automated).pdf","Transcript Link")</f>
        <v>Transcript Link</v>
      </c>
      <c r="M1393" s="2" t="str">
        <f>HYPERLINK("https://files.afu.se/Downloads/Transcripts/0%20-%20Government/USA%20-%20NASA%20Johnson/2015 05 14 - NASA Johnson - Doug Ming talkMARS  “Curiosity on Mars  Trailblazing a Path for Humans”_ID9Yergj2TU - transcript (automated).pdf","Transcript Link")</f>
        <v>Transcript Link</v>
      </c>
    </row>
    <row r="1394" ht="195" spans="1:13">
      <c r="A1394" s="1" t="s">
        <v>6134</v>
      </c>
      <c r="B1394" s="1" t="s">
        <v>13</v>
      </c>
      <c r="C1394" s="4" t="s">
        <v>6162</v>
      </c>
      <c r="D1394" s="1" t="s">
        <v>6163</v>
      </c>
      <c r="E1394" s="1" t="s">
        <v>6164</v>
      </c>
      <c r="F1394" s="4" t="s">
        <v>17</v>
      </c>
      <c r="G1394" s="1" t="s">
        <v>18</v>
      </c>
      <c r="H1394" s="1" t="s">
        <v>19</v>
      </c>
      <c r="I1394" s="1" t="s">
        <v>20</v>
      </c>
      <c r="J1394" s="1" t="s">
        <v>6165</v>
      </c>
      <c r="K1394" s="1" t="s">
        <v>22</v>
      </c>
      <c r="L1394" s="1" t="str">
        <f>HYPERLINK("https://files.afu.se/Downloads/Transcripts/0%20-%20Government/USA%20-%20NASA%20Johnson/2015 05 14 - NASA Johnson - Doug Litteken talkMARS  “Inflate Your Space”_uncJcyNTzHU - transcript (automated).pdf","Transcript Link")</f>
        <v>Transcript Link</v>
      </c>
      <c r="M1394" s="2" t="str">
        <f>HYPERLINK("https://files.afu.se/Downloads/Transcripts/0%20-%20Government/USA%20-%20NASA%20Johnson/2015 05 14 - NASA Johnson - Doug Litteken talkMARS  “Inflate Your Space”_uncJcyNTzHU - transcript (automated).pdf","Transcript Link")</f>
        <v>Transcript Link</v>
      </c>
    </row>
    <row r="1395" ht="409.5" spans="1:13">
      <c r="A1395" s="1" t="s">
        <v>6166</v>
      </c>
      <c r="B1395" s="1" t="s">
        <v>13</v>
      </c>
      <c r="C1395" s="4" t="s">
        <v>6167</v>
      </c>
      <c r="D1395" s="1" t="s">
        <v>6168</v>
      </c>
      <c r="E1395" s="1" t="s">
        <v>6169</v>
      </c>
      <c r="F1395" s="4" t="s">
        <v>17</v>
      </c>
      <c r="G1395" s="1" t="s">
        <v>18</v>
      </c>
      <c r="H1395" s="1" t="s">
        <v>19</v>
      </c>
      <c r="I1395" s="1" t="s">
        <v>20</v>
      </c>
      <c r="J1395" s="1" t="s">
        <v>6170</v>
      </c>
      <c r="K1395" s="1" t="s">
        <v>22</v>
      </c>
      <c r="L1395" s="1" t="str">
        <f>HYPERLINK("https://files.afu.se/Downloads/Transcripts/0%20-%20Government/USA%20-%20NASA%20Johnson/2015 05 08 - NASA Johnson - StationLIFE  Let’s Get Physical_KIpbafNpfQ0 - transcript (automated).pdf","Transcript Link")</f>
        <v>Transcript Link</v>
      </c>
      <c r="M1395" s="2" t="str">
        <f>HYPERLINK("https://files.afu.se/Downloads/Transcripts/0%20-%20Government/USA%20-%20NASA%20Johnson/2015 05 08 - NASA Johnson - StationLIFE  Let’s Get Physical_KIpbafNpfQ0 - transcript (automated).pdf","Transcript Link")</f>
        <v>Transcript Link</v>
      </c>
    </row>
    <row r="1396" ht="180" spans="1:13">
      <c r="A1396" s="1" t="s">
        <v>6166</v>
      </c>
      <c r="B1396" s="1" t="s">
        <v>13</v>
      </c>
      <c r="C1396" s="4" t="s">
        <v>6171</v>
      </c>
      <c r="D1396" s="1" t="s">
        <v>6172</v>
      </c>
      <c r="E1396" s="1" t="s">
        <v>6100</v>
      </c>
      <c r="F1396" s="4" t="s">
        <v>17</v>
      </c>
      <c r="G1396" s="1" t="s">
        <v>18</v>
      </c>
      <c r="H1396" s="1" t="s">
        <v>19</v>
      </c>
      <c r="I1396" s="1" t="s">
        <v>20</v>
      </c>
      <c r="J1396" s="1" t="s">
        <v>6173</v>
      </c>
      <c r="K1396" s="1" t="s">
        <v>22</v>
      </c>
      <c r="L1396" s="1" t="str">
        <f>HYPERLINK("https://files.afu.se/Downloads/Transcripts/0%20-%20Government/USA%20-%20NASA%20Johnson/2015 05 08 - NASA Johnson - Space to Ground   Safe For Breathing_R6Hm8tfWAfI - transcript (automated).pdf","Transcript Link")</f>
        <v>Transcript Link</v>
      </c>
      <c r="M1396" s="2" t="str">
        <f>HYPERLINK("https://files.afu.se/Downloads/Transcripts/0%20-%20Government/USA%20-%20NASA%20Johnson/2015 05 08 - NASA Johnson - Space to Ground   Safe For Breathing_R6Hm8tfWAfI - transcript (automated).pdf","Transcript Link")</f>
        <v>Transcript Link</v>
      </c>
    </row>
    <row r="1397" ht="225" spans="1:13">
      <c r="A1397" s="1" t="s">
        <v>6174</v>
      </c>
      <c r="B1397" s="1" t="s">
        <v>13</v>
      </c>
      <c r="C1397" s="4" t="s">
        <v>6175</v>
      </c>
      <c r="D1397" s="1" t="s">
        <v>6176</v>
      </c>
      <c r="E1397" s="1" t="s">
        <v>6177</v>
      </c>
      <c r="F1397" s="4" t="s">
        <v>17</v>
      </c>
      <c r="G1397" s="1" t="s">
        <v>18</v>
      </c>
      <c r="H1397" s="1" t="s">
        <v>19</v>
      </c>
      <c r="I1397" s="1" t="s">
        <v>20</v>
      </c>
      <c r="J1397" s="1" t="s">
        <v>6178</v>
      </c>
      <c r="K1397" s="1" t="s">
        <v>22</v>
      </c>
      <c r="L1397" s="1" t="str">
        <f>HYPERLINK("https://files.afu.se/Downloads/Transcripts/0%20-%20Government/USA%20-%20NASA%20Johnson/2015 05 07 - NASA Johnson - NASA Video File   Expedition 44 Crew Undergoes Final Training Outside Moscow_Uje647diAeQ - transcript (automated).pdf","Transcript Link")</f>
        <v>Transcript Link</v>
      </c>
      <c r="M1397" s="2" t="str">
        <f>HYPERLINK("https://files.afu.se/Downloads/Transcripts/0%20-%20Government/USA%20-%20NASA%20Johnson/2015 05 07 - NASA Johnson - NASA Video File   Expedition 44 Crew Undergoes Final Training Outside Moscow_Uje647diAeQ - transcript (automated).pdf","Transcript Link")</f>
        <v>Transcript Link</v>
      </c>
    </row>
    <row r="1398" ht="180" spans="1:13">
      <c r="A1398" s="1" t="s">
        <v>6179</v>
      </c>
      <c r="B1398" s="1" t="s">
        <v>13</v>
      </c>
      <c r="C1398" s="4" t="s">
        <v>6180</v>
      </c>
      <c r="D1398" s="1" t="s">
        <v>6181</v>
      </c>
      <c r="E1398" s="1" t="s">
        <v>6182</v>
      </c>
      <c r="F1398" s="4" t="s">
        <v>17</v>
      </c>
      <c r="G1398" s="1" t="s">
        <v>18</v>
      </c>
      <c r="H1398" s="1" t="s">
        <v>19</v>
      </c>
      <c r="I1398" s="1" t="s">
        <v>20</v>
      </c>
      <c r="J1398" s="1" t="s">
        <v>6183</v>
      </c>
      <c r="K1398" s="1" t="s">
        <v>22</v>
      </c>
      <c r="L1398" s="1" t="str">
        <f>HYPERLINK("https://files.afu.se/Downloads/Transcripts/0%20-%20Government/USA%20-%20NASA%20Johnson/2015 05 06 - NASA Johnson - Daniel Kraft talkMARS  “The Future of Health and Medicine  Where Can Technology Take Us ”_G6HSJZhizmY - transcript (automated).pdf","Transcript Link")</f>
        <v>Transcript Link</v>
      </c>
      <c r="M1398" s="2" t="str">
        <f>HYPERLINK("https://files.afu.se/Downloads/Transcripts/0%20-%20Government/USA%20-%20NASA%20Johnson/2015 05 06 - NASA Johnson - Daniel Kraft talkMARS  “The Future of Health and Medicine  Where Can Technology Take Us ”_G6HSJZhizmY - transcript (automated).pdf","Transcript Link")</f>
        <v>Transcript Link</v>
      </c>
    </row>
    <row r="1399" ht="180" spans="1:13">
      <c r="A1399" s="1" t="s">
        <v>6179</v>
      </c>
      <c r="B1399" s="1" t="s">
        <v>13</v>
      </c>
      <c r="C1399" s="4" t="s">
        <v>6184</v>
      </c>
      <c r="D1399" s="1" t="s">
        <v>6185</v>
      </c>
      <c r="E1399" s="1" t="s">
        <v>6186</v>
      </c>
      <c r="F1399" s="4" t="s">
        <v>17</v>
      </c>
      <c r="G1399" s="1" t="s">
        <v>18</v>
      </c>
      <c r="H1399" s="1" t="s">
        <v>19</v>
      </c>
      <c r="I1399" s="1" t="s">
        <v>20</v>
      </c>
      <c r="J1399" s="1" t="s">
        <v>6187</v>
      </c>
      <c r="K1399" s="1" t="s">
        <v>22</v>
      </c>
      <c r="L1399" s="1" t="str">
        <f>HYPERLINK("https://files.afu.se/Downloads/Transcripts/0%20-%20Government/USA%20-%20NASA%20Johnson/2015 05 06 - NASA Johnson - Space Station Live  Double the Data_Hfp_pMW8ygc - transcript (automated).pdf","Transcript Link")</f>
        <v>Transcript Link</v>
      </c>
      <c r="M1399" s="2" t="str">
        <f>HYPERLINK("https://files.afu.se/Downloads/Transcripts/0%20-%20Government/USA%20-%20NASA%20Johnson/2015 05 06 - NASA Johnson - Space Station Live  Double the Data_Hfp_pMW8ygc - transcript (automated).pdf","Transcript Link")</f>
        <v>Transcript Link</v>
      </c>
    </row>
    <row r="1400" ht="195" spans="1:13">
      <c r="A1400" s="1" t="s">
        <v>6179</v>
      </c>
      <c r="B1400" s="1" t="s">
        <v>13</v>
      </c>
      <c r="C1400" s="4" t="s">
        <v>6188</v>
      </c>
      <c r="D1400" s="1" t="s">
        <v>6189</v>
      </c>
      <c r="E1400" s="1" t="s">
        <v>6190</v>
      </c>
      <c r="F1400" s="4" t="s">
        <v>17</v>
      </c>
      <c r="G1400" s="1" t="s">
        <v>18</v>
      </c>
      <c r="H1400" s="1" t="s">
        <v>19</v>
      </c>
      <c r="I1400" s="1" t="s">
        <v>20</v>
      </c>
      <c r="J1400" s="1" t="s">
        <v>6191</v>
      </c>
      <c r="K1400" s="1" t="s">
        <v>22</v>
      </c>
      <c r="L1400" s="1" t="str">
        <f>HYPERLINK("https://files.afu.se/Downloads/Transcripts/0%20-%20Government/USA%20-%20NASA%20Johnson/2015 05 06 - NASA Johnson - YouTube Vloggers Ask Astronaut Scott Kelly Questions in Space_bh9kwPOoGw4 - transcript (automated).pdf","Transcript Link")</f>
        <v>Transcript Link</v>
      </c>
      <c r="M1400" s="2" t="str">
        <f>HYPERLINK("https://files.afu.se/Downloads/Transcripts/0%20-%20Government/USA%20-%20NASA%20Johnson/2015 05 06 - NASA Johnson - YouTube Vloggers Ask Astronaut Scott Kelly Questions in Space_bh9kwPOoGw4 - transcript (automated).pdf","Transcript Link")</f>
        <v>Transcript Link</v>
      </c>
    </row>
    <row r="1401" ht="180" spans="1:13">
      <c r="A1401" s="1" t="s">
        <v>6192</v>
      </c>
      <c r="B1401" s="1" t="s">
        <v>13</v>
      </c>
      <c r="C1401" s="4" t="s">
        <v>6193</v>
      </c>
      <c r="D1401" s="1" t="s">
        <v>6194</v>
      </c>
      <c r="E1401" s="1" t="s">
        <v>6195</v>
      </c>
      <c r="F1401" s="4" t="s">
        <v>17</v>
      </c>
      <c r="G1401" s="1" t="s">
        <v>18</v>
      </c>
      <c r="H1401" s="1" t="s">
        <v>19</v>
      </c>
      <c r="I1401" s="1" t="s">
        <v>20</v>
      </c>
      <c r="J1401" s="1" t="s">
        <v>6196</v>
      </c>
      <c r="K1401" s="1" t="s">
        <v>22</v>
      </c>
      <c r="L1401" s="1" t="str">
        <f>HYPERLINK("https://files.afu.se/Downloads/Transcripts/0%20-%20Government/USA%20-%20NASA%20Johnson/2015 05 04 - NASA Johnson - Space Station Live  Measuring Fluid Shifts on Orbit_Wl3KxYwnW6I - transcript (automated).pdf","Transcript Link")</f>
        <v>Transcript Link</v>
      </c>
      <c r="M1401" s="2" t="str">
        <f>HYPERLINK("https://files.afu.se/Downloads/Transcripts/0%20-%20Government/USA%20-%20NASA%20Johnson/2015 05 04 - NASA Johnson - Space Station Live  Measuring Fluid Shifts on Orbit_Wl3KxYwnW6I - transcript (automated).pdf","Transcript Link")</f>
        <v>Transcript Link</v>
      </c>
    </row>
    <row r="1402" ht="180" spans="1:13">
      <c r="A1402" s="1" t="s">
        <v>6192</v>
      </c>
      <c r="B1402" s="1" t="s">
        <v>13</v>
      </c>
      <c r="C1402" s="4" t="s">
        <v>6197</v>
      </c>
      <c r="D1402" s="1" t="s">
        <v>6198</v>
      </c>
      <c r="E1402" s="1" t="s">
        <v>6199</v>
      </c>
      <c r="F1402" s="4" t="s">
        <v>17</v>
      </c>
      <c r="G1402" s="1" t="s">
        <v>18</v>
      </c>
      <c r="H1402" s="1" t="s">
        <v>19</v>
      </c>
      <c r="I1402" s="1" t="s">
        <v>20</v>
      </c>
      <c r="J1402" s="1" t="s">
        <v>6200</v>
      </c>
      <c r="K1402" s="1" t="s">
        <v>22</v>
      </c>
      <c r="L1402" s="1" t="str">
        <f>HYPERLINK("https://files.afu.se/Downloads/Transcripts/0%20-%20Government/USA%20-%20NASA%20Johnson/2015 05 04 - NASA Johnson - Astronaut at a Glance  Drew Morgan_BkP27YgDhN0 - transcript (automated).pdf","Transcript Link")</f>
        <v>Transcript Link</v>
      </c>
      <c r="M1402" s="2" t="str">
        <f>HYPERLINK("https://files.afu.se/Downloads/Transcripts/0%20-%20Government/USA%20-%20NASA%20Johnson/2015 05 04 - NASA Johnson - Astronaut at a Glance  Drew Morgan_BkP27YgDhN0 - transcript (automated).pdf","Transcript Link")</f>
        <v>Transcript Link</v>
      </c>
    </row>
    <row r="1403" ht="180" spans="1:13">
      <c r="A1403" s="1" t="s">
        <v>6201</v>
      </c>
      <c r="B1403" s="1" t="s">
        <v>13</v>
      </c>
      <c r="C1403" s="4" t="s">
        <v>6202</v>
      </c>
      <c r="D1403" s="1" t="s">
        <v>6203</v>
      </c>
      <c r="E1403" s="1" t="s">
        <v>5059</v>
      </c>
      <c r="F1403" s="4" t="s">
        <v>17</v>
      </c>
      <c r="G1403" s="1" t="s">
        <v>18</v>
      </c>
      <c r="H1403" s="1" t="s">
        <v>19</v>
      </c>
      <c r="I1403" s="1" t="s">
        <v>20</v>
      </c>
      <c r="J1403" s="1" t="s">
        <v>6204</v>
      </c>
      <c r="K1403" s="1" t="s">
        <v>22</v>
      </c>
      <c r="L1403" s="1" t="str">
        <f>HYPERLINK("https://files.afu.se/Downloads/Transcripts/0%20-%20Government/USA%20-%20NASA%20Johnson/2015 05 01 - NASA Johnson - Space to Ground  Progress 59  5 1 15_QdCs0aam-3g - transcript (automated).pdf","Transcript Link")</f>
        <v>Transcript Link</v>
      </c>
      <c r="M1403" s="2" t="str">
        <f>HYPERLINK("https://files.afu.se/Downloads/Transcripts/0%20-%20Government/USA%20-%20NASA%20Johnson/2015 05 01 - NASA Johnson - Space to Ground  Progress 59  5 1 15_QdCs0aam-3g - transcript (automated).pdf","Transcript Link")</f>
        <v>Transcript Link</v>
      </c>
    </row>
    <row r="1404" ht="180" spans="1:13">
      <c r="A1404" s="1" t="s">
        <v>6205</v>
      </c>
      <c r="B1404" s="1" t="s">
        <v>13</v>
      </c>
      <c r="C1404" s="4" t="s">
        <v>6206</v>
      </c>
      <c r="D1404" s="1" t="s">
        <v>6207</v>
      </c>
      <c r="E1404" s="1" t="s">
        <v>6208</v>
      </c>
      <c r="F1404" s="4" t="s">
        <v>17</v>
      </c>
      <c r="G1404" s="1" t="s">
        <v>18</v>
      </c>
      <c r="H1404" s="1" t="s">
        <v>19</v>
      </c>
      <c r="I1404" s="1" t="s">
        <v>20</v>
      </c>
      <c r="J1404" s="1" t="s">
        <v>6209</v>
      </c>
      <c r="K1404" s="1" t="s">
        <v>22</v>
      </c>
      <c r="L1404" s="1" t="str">
        <f>HYPERLINK("https://files.afu.se/Downloads/Transcripts/0%20-%20Government/USA%20-%20NASA%20Johnson/2015 04 29 - NASA Johnson - Space Station Live  Measuring the Space Station as it Flexes_0eORruDkl5I - transcript (automated).pdf","Transcript Link")</f>
        <v>Transcript Link</v>
      </c>
      <c r="M1404" s="2" t="str">
        <f>HYPERLINK("https://files.afu.se/Downloads/Transcripts/0%20-%20Government/USA%20-%20NASA%20Johnson/2015 04 29 - NASA Johnson - Space Station Live  Measuring the Space Station as it Flexes_0eORruDkl5I - transcript (automated).pdf","Transcript Link")</f>
        <v>Transcript Link</v>
      </c>
    </row>
    <row r="1405" ht="180" spans="1:13">
      <c r="A1405" s="1" t="s">
        <v>6210</v>
      </c>
      <c r="B1405" s="1" t="s">
        <v>13</v>
      </c>
      <c r="C1405" s="4" t="s">
        <v>6211</v>
      </c>
      <c r="D1405" s="1" t="s">
        <v>6212</v>
      </c>
      <c r="E1405" s="1" t="s">
        <v>6213</v>
      </c>
      <c r="F1405" s="4" t="s">
        <v>17</v>
      </c>
      <c r="G1405" s="1" t="s">
        <v>18</v>
      </c>
      <c r="H1405" s="1" t="s">
        <v>19</v>
      </c>
      <c r="I1405" s="1" t="s">
        <v>20</v>
      </c>
      <c r="J1405" s="1" t="s">
        <v>6214</v>
      </c>
      <c r="K1405" s="1" t="s">
        <v>22</v>
      </c>
      <c r="L1405" s="1" t="str">
        <f>HYPERLINK("https://files.afu.se/Downloads/Transcripts/0%20-%20Government/USA%20-%20NASA%20Johnson/2015 04 27 - NASA Johnson - NASA’s Orion  First Flight Test_YEjH4K6F5Co - transcript (automated).pdf","Transcript Link")</f>
        <v>Transcript Link</v>
      </c>
      <c r="M1405" s="2" t="str">
        <f>HYPERLINK("https://files.afu.se/Downloads/Transcripts/0%20-%20Government/USA%20-%20NASA%20Johnson/2015 04 27 - NASA Johnson - NASA’s Orion  First Flight Test_YEjH4K6F5Co - transcript (automated).pdf","Transcript Link")</f>
        <v>Transcript Link</v>
      </c>
    </row>
    <row r="1406" ht="180" spans="1:13">
      <c r="A1406" s="1" t="s">
        <v>6215</v>
      </c>
      <c r="B1406" s="1" t="s">
        <v>13</v>
      </c>
      <c r="C1406" s="4" t="s">
        <v>6216</v>
      </c>
      <c r="D1406" s="1" t="s">
        <v>6217</v>
      </c>
      <c r="E1406" s="1" t="s">
        <v>5059</v>
      </c>
      <c r="F1406" s="4" t="s">
        <v>17</v>
      </c>
      <c r="G1406" s="1" t="s">
        <v>18</v>
      </c>
      <c r="H1406" s="1" t="s">
        <v>19</v>
      </c>
      <c r="I1406" s="1" t="s">
        <v>20</v>
      </c>
      <c r="J1406" s="1" t="s">
        <v>6218</v>
      </c>
      <c r="K1406" s="1" t="s">
        <v>22</v>
      </c>
      <c r="L1406" s="1" t="str">
        <f>HYPERLINK("https://files.afu.se/Downloads/Transcripts/0%20-%20Government/USA%20-%20NASA%20Johnson/2015 04 24 - NASA Johnson - Space to Ground  Where Over the World   4 23 15_aiq2NY_qvpc - transcript (automated).pdf","Transcript Link")</f>
        <v>Transcript Link</v>
      </c>
      <c r="M1406" s="2" t="str">
        <f>HYPERLINK("https://files.afu.se/Downloads/Transcripts/0%20-%20Government/USA%20-%20NASA%20Johnson/2015 04 24 - NASA Johnson - Space to Ground  Where Over the World   4 23 15_aiq2NY_qvpc - transcript (automated).pdf","Transcript Link")</f>
        <v>Transcript Link</v>
      </c>
    </row>
    <row r="1407" ht="195" spans="1:13">
      <c r="A1407" s="1" t="s">
        <v>6219</v>
      </c>
      <c r="B1407" s="1" t="s">
        <v>13</v>
      </c>
      <c r="C1407" s="4" t="s">
        <v>6220</v>
      </c>
      <c r="D1407" s="1" t="s">
        <v>6221</v>
      </c>
      <c r="E1407" s="1" t="s">
        <v>6222</v>
      </c>
      <c r="F1407" s="4" t="s">
        <v>17</v>
      </c>
      <c r="G1407" s="1" t="s">
        <v>18</v>
      </c>
      <c r="H1407" s="1" t="s">
        <v>19</v>
      </c>
      <c r="I1407" s="1" t="s">
        <v>20</v>
      </c>
      <c r="J1407" s="1" t="s">
        <v>6223</v>
      </c>
      <c r="K1407" s="1" t="s">
        <v>22</v>
      </c>
      <c r="L1407" s="1" t="str">
        <f>HYPERLINK("https://files.afu.se/Downloads/Transcripts/0%20-%20Government/USA%20-%20NASA%20Johnson/2015 04 23 - NASA Johnson - Space Station Live  A Cup of Coffee Beats a Bagful_Fttaf_rhpm4 - transcript (automated).pdf","Transcript Link")</f>
        <v>Transcript Link</v>
      </c>
      <c r="M1407" s="2" t="str">
        <f>HYPERLINK("https://files.afu.se/Downloads/Transcripts/0%20-%20Government/USA%20-%20NASA%20Johnson/2015 04 23 - NASA Johnson - Space Station Live  A Cup of Coffee Beats a Bagful_Fttaf_rhpm4 - transcript (automated).pdf","Transcript Link")</f>
        <v>Transcript Link</v>
      </c>
    </row>
    <row r="1408" ht="180" spans="1:13">
      <c r="A1408" s="1" t="s">
        <v>6224</v>
      </c>
      <c r="B1408" s="1" t="s">
        <v>13</v>
      </c>
      <c r="C1408" s="4" t="s">
        <v>6225</v>
      </c>
      <c r="D1408" s="1" t="s">
        <v>6226</v>
      </c>
      <c r="E1408" s="1" t="s">
        <v>6227</v>
      </c>
      <c r="F1408" s="4" t="s">
        <v>17</v>
      </c>
      <c r="G1408" s="1" t="s">
        <v>18</v>
      </c>
      <c r="H1408" s="1" t="s">
        <v>19</v>
      </c>
      <c r="I1408" s="1" t="s">
        <v>20</v>
      </c>
      <c r="J1408" s="1" t="s">
        <v>6228</v>
      </c>
      <c r="K1408" s="1" t="s">
        <v>22</v>
      </c>
      <c r="L1408" s="1" t="str">
        <f>HYPERLINK("https://files.afu.se/Downloads/Transcripts/0%20-%20Government/USA%20-%20NASA%20Johnson/2015 04 22 - NASA Johnson - Space Station Live  Studying Earth’s Sunscreen_KTAIRdBa83M - transcript (automated).pdf","Transcript Link")</f>
        <v>Transcript Link</v>
      </c>
      <c r="M1408" s="2" t="str">
        <f>HYPERLINK("https://files.afu.se/Downloads/Transcripts/0%20-%20Government/USA%20-%20NASA%20Johnson/2015 04 22 - NASA Johnson - Space Station Live  Studying Earth’s Sunscreen_KTAIRdBa83M - transcript (automated).pdf","Transcript Link")</f>
        <v>Transcript Link</v>
      </c>
    </row>
    <row r="1409" ht="409.5" spans="1:13">
      <c r="A1409" s="1" t="s">
        <v>6224</v>
      </c>
      <c r="B1409" s="1" t="s">
        <v>13</v>
      </c>
      <c r="C1409" s="4" t="s">
        <v>6229</v>
      </c>
      <c r="D1409" s="1" t="s">
        <v>6230</v>
      </c>
      <c r="E1409" s="1" t="s">
        <v>6231</v>
      </c>
      <c r="F1409" s="4" t="s">
        <v>17</v>
      </c>
      <c r="G1409" s="1" t="s">
        <v>18</v>
      </c>
      <c r="H1409" s="1" t="s">
        <v>19</v>
      </c>
      <c r="I1409" s="1" t="s">
        <v>20</v>
      </c>
      <c r="J1409" s="1" t="s">
        <v>6232</v>
      </c>
      <c r="K1409" s="1" t="s">
        <v>22</v>
      </c>
      <c r="L1409" s="1" t="str">
        <f>HYPERLINK("https://files.afu.se/Downloads/Transcripts/0%20-%20Government/USA%20-%20NASA%20Johnson/2015 04 22 - NASA Johnson - ISS Benefits for Humanity  Eye on the Tide_w6XumQvbKag - transcript (automated).pdf","Transcript Link")</f>
        <v>Transcript Link</v>
      </c>
      <c r="M1409" s="2" t="str">
        <f>HYPERLINK("https://files.afu.se/Downloads/Transcripts/0%20-%20Government/USA%20-%20NASA%20Johnson/2015 04 22 - NASA Johnson - ISS Benefits for Humanity  Eye on the Tide_w6XumQvbKag - transcript (automated).pdf","Transcript Link")</f>
        <v>Transcript Link</v>
      </c>
    </row>
    <row r="1410" ht="180" spans="1:13">
      <c r="A1410" s="1" t="s">
        <v>6233</v>
      </c>
      <c r="B1410" s="1" t="s">
        <v>13</v>
      </c>
      <c r="C1410" s="4" t="s">
        <v>6234</v>
      </c>
      <c r="D1410" s="1" t="s">
        <v>6235</v>
      </c>
      <c r="E1410" s="1" t="s">
        <v>6236</v>
      </c>
      <c r="F1410" s="4" t="s">
        <v>17</v>
      </c>
      <c r="G1410" s="1" t="s">
        <v>18</v>
      </c>
      <c r="H1410" s="1" t="s">
        <v>19</v>
      </c>
      <c r="I1410" s="1" t="s">
        <v>20</v>
      </c>
      <c r="J1410" s="1" t="s">
        <v>6237</v>
      </c>
      <c r="K1410" s="1" t="s">
        <v>22</v>
      </c>
      <c r="L1410" s="1" t="str">
        <f>HYPERLINK("https://files.afu.se/Downloads/Transcripts/0%20-%20Government/USA%20-%20NASA%20Johnson/2015 04 21 - NASA Johnson - Space Station Live  High Def Earth_6hoEm9YdHUk - transcript (automated).pdf","Transcript Link")</f>
        <v>Transcript Link</v>
      </c>
      <c r="M1410" s="2" t="str">
        <f>HYPERLINK("https://files.afu.se/Downloads/Transcripts/0%20-%20Government/USA%20-%20NASA%20Johnson/2015 04 21 - NASA Johnson - Space Station Live  High Def Earth_6hoEm9YdHUk - transcript (automated).pdf","Transcript Link")</f>
        <v>Transcript Link</v>
      </c>
    </row>
    <row r="1411" ht="180" spans="1:13">
      <c r="A1411" s="1" t="s">
        <v>6238</v>
      </c>
      <c r="B1411" s="1" t="s">
        <v>13</v>
      </c>
      <c r="C1411" s="4" t="s">
        <v>6239</v>
      </c>
      <c r="D1411" s="1" t="s">
        <v>6240</v>
      </c>
      <c r="E1411" s="1" t="s">
        <v>5059</v>
      </c>
      <c r="F1411" s="4" t="s">
        <v>17</v>
      </c>
      <c r="G1411" s="1" t="s">
        <v>18</v>
      </c>
      <c r="H1411" s="1" t="s">
        <v>19</v>
      </c>
      <c r="I1411" s="1" t="s">
        <v>20</v>
      </c>
      <c r="J1411" s="1" t="s">
        <v>6241</v>
      </c>
      <c r="K1411" s="1" t="s">
        <v>22</v>
      </c>
      <c r="L1411" s="1" t="str">
        <f>HYPERLINK("https://files.afu.se/Downloads/Transcripts/0%20-%20Government/USA%20-%20NASA%20Johnson/2015 04 17 - NASA Johnson - Space to Ground  Dragon Delivery  4 17 2015_b4tGENRQcWU - transcript (automated).pdf","Transcript Link")</f>
        <v>Transcript Link</v>
      </c>
      <c r="M1411" s="2" t="str">
        <f>HYPERLINK("https://files.afu.se/Downloads/Transcripts/0%20-%20Government/USA%20-%20NASA%20Johnson/2015 04 17 - NASA Johnson - Space to Ground  Dragon Delivery  4 17 2015_b4tGENRQcWU - transcript (automated).pdf","Transcript Link")</f>
        <v>Transcript Link</v>
      </c>
    </row>
    <row r="1412" ht="180" spans="1:13">
      <c r="A1412" s="1" t="s">
        <v>6238</v>
      </c>
      <c r="B1412" s="1" t="s">
        <v>13</v>
      </c>
      <c r="C1412" s="4" t="s">
        <v>6242</v>
      </c>
      <c r="D1412" s="1" t="s">
        <v>6243</v>
      </c>
      <c r="E1412" s="1" t="s">
        <v>6244</v>
      </c>
      <c r="F1412" s="4" t="s">
        <v>17</v>
      </c>
      <c r="G1412" s="1" t="s">
        <v>18</v>
      </c>
      <c r="H1412" s="1" t="s">
        <v>19</v>
      </c>
      <c r="I1412" s="1" t="s">
        <v>20</v>
      </c>
      <c r="J1412" s="1" t="s">
        <v>6245</v>
      </c>
      <c r="K1412" s="1" t="s">
        <v>22</v>
      </c>
      <c r="L1412" s="1" t="str">
        <f>HYPERLINK("https://files.afu.se/Downloads/Transcripts/0%20-%20Government/USA%20-%20NASA%20Johnson/2015 04 17 - NASA Johnson - Suiting Up  Behind the Scenes - Michael Lopez-Alegria_SoeQeBX7iz8 - transcript (automated).pdf","Transcript Link")</f>
        <v>Transcript Link</v>
      </c>
      <c r="M1412" s="2" t="str">
        <f>HYPERLINK("https://files.afu.se/Downloads/Transcripts/0%20-%20Government/USA%20-%20NASA%20Johnson/2015 04 17 - NASA Johnson - Suiting Up  Behind the Scenes - Michael Lopez-Alegria_SoeQeBX7iz8 - transcript (automated).pdf","Transcript Link")</f>
        <v>Transcript Link</v>
      </c>
    </row>
    <row r="1413" ht="180" spans="1:13">
      <c r="A1413" s="1" t="s">
        <v>6246</v>
      </c>
      <c r="B1413" s="1" t="s">
        <v>13</v>
      </c>
      <c r="C1413" s="4" t="s">
        <v>6247</v>
      </c>
      <c r="D1413" s="1" t="s">
        <v>6248</v>
      </c>
      <c r="E1413" s="1" t="s">
        <v>6249</v>
      </c>
      <c r="F1413" s="4" t="s">
        <v>17</v>
      </c>
      <c r="G1413" s="1" t="s">
        <v>18</v>
      </c>
      <c r="H1413" s="1" t="s">
        <v>19</v>
      </c>
      <c r="I1413" s="1" t="s">
        <v>20</v>
      </c>
      <c r="J1413" s="1" t="s">
        <v>6250</v>
      </c>
      <c r="K1413" s="1" t="s">
        <v>22</v>
      </c>
      <c r="L1413" s="1" t="str">
        <f>HYPERLINK("https://files.afu.se/Downloads/Transcripts/0%20-%20Government/USA%20-%20NASA%20Johnson/2015 04 16 - NASA Johnson - Space Station Live  The Secrets of Bones_CPc8UNODwLg - transcript (automated).pdf","Transcript Link")</f>
        <v>Transcript Link</v>
      </c>
      <c r="M1413" s="2" t="str">
        <f>HYPERLINK("https://files.afu.se/Downloads/Transcripts/0%20-%20Government/USA%20-%20NASA%20Johnson/2015 04 16 - NASA Johnson - Space Station Live  The Secrets of Bones_CPc8UNODwLg - transcript (automated).pdf","Transcript Link")</f>
        <v>Transcript Link</v>
      </c>
    </row>
    <row r="1414" ht="315" spans="1:13">
      <c r="A1414" s="1" t="s">
        <v>6246</v>
      </c>
      <c r="B1414" s="1" t="s">
        <v>13</v>
      </c>
      <c r="C1414" s="4" t="s">
        <v>6251</v>
      </c>
      <c r="D1414" s="1" t="s">
        <v>6252</v>
      </c>
      <c r="E1414" s="1" t="s">
        <v>6253</v>
      </c>
      <c r="F1414" s="4" t="s">
        <v>17</v>
      </c>
      <c r="G1414" s="1" t="s">
        <v>18</v>
      </c>
      <c r="H1414" s="1" t="s">
        <v>19</v>
      </c>
      <c r="I1414" s="1" t="s">
        <v>20</v>
      </c>
      <c r="J1414" s="1" t="s">
        <v>6254</v>
      </c>
      <c r="K1414" s="1" t="s">
        <v>22</v>
      </c>
      <c r="L1414" s="1" t="str">
        <f>HYPERLINK("https://files.afu.se/Downloads/Transcripts/0%20-%20Government/USA%20-%20NASA%20Johnson/2015 04 16 - NASA Johnson - Action Cam Footage From U.S. Spacewalk %2331_fOWLD2BEzJw - transcript (automated).pdf","Transcript Link")</f>
        <v>Transcript Link</v>
      </c>
      <c r="M1414" s="2" t="str">
        <f>HYPERLINK("https://files.afu.se/Downloads/Transcripts/0%20-%20Government/USA%20-%20NASA%20Johnson/2015 04 16 - NASA Johnson - Action Cam Footage From U.S. Spacewalk %2331_fOWLD2BEzJw - transcript (automated).pdf","Transcript Link")</f>
        <v>Transcript Link</v>
      </c>
    </row>
    <row r="1415" ht="330" spans="1:13">
      <c r="A1415" s="1" t="s">
        <v>6255</v>
      </c>
      <c r="B1415" s="1" t="s">
        <v>13</v>
      </c>
      <c r="C1415" s="4" t="s">
        <v>6256</v>
      </c>
      <c r="D1415" s="1" t="s">
        <v>6257</v>
      </c>
      <c r="E1415" s="1" t="s">
        <v>6258</v>
      </c>
      <c r="F1415" s="4" t="s">
        <v>17</v>
      </c>
      <c r="G1415" s="1" t="s">
        <v>18</v>
      </c>
      <c r="H1415" s="1" t="s">
        <v>19</v>
      </c>
      <c r="I1415" s="1" t="s">
        <v>20</v>
      </c>
      <c r="J1415" s="1" t="s">
        <v>6259</v>
      </c>
      <c r="K1415" s="1" t="s">
        <v>22</v>
      </c>
      <c r="L1415" s="1" t="str">
        <f>HYPERLINK("https://files.afu.se/Downloads/Transcripts/0%20-%20Government/USA%20-%20NASA%20Johnson/2015 04 15 - NASA Johnson - Action Cam Footage From U.S. Spacewalk %2330_26QWMMT1c8Y - transcript (automated).pdf","Transcript Link")</f>
        <v>Transcript Link</v>
      </c>
      <c r="M1415" s="2" t="str">
        <f>HYPERLINK("https://files.afu.se/Downloads/Transcripts/0%20-%20Government/USA%20-%20NASA%20Johnson/2015 04 15 - NASA Johnson - Action Cam Footage From U.S. Spacewalk %2330_26QWMMT1c8Y - transcript (automated).pdf","Transcript Link")</f>
        <v>Transcript Link</v>
      </c>
    </row>
    <row r="1416" ht="180" spans="1:13">
      <c r="A1416" s="1" t="s">
        <v>6255</v>
      </c>
      <c r="B1416" s="1" t="s">
        <v>13</v>
      </c>
      <c r="C1416" s="4" t="s">
        <v>6260</v>
      </c>
      <c r="D1416" s="1" t="s">
        <v>6261</v>
      </c>
      <c r="E1416" s="1" t="s">
        <v>6262</v>
      </c>
      <c r="F1416" s="4" t="s">
        <v>17</v>
      </c>
      <c r="G1416" s="1" t="s">
        <v>18</v>
      </c>
      <c r="H1416" s="1" t="s">
        <v>19</v>
      </c>
      <c r="I1416" s="1" t="s">
        <v>20</v>
      </c>
      <c r="J1416" s="1" t="s">
        <v>6263</v>
      </c>
      <c r="K1416" s="1" t="s">
        <v>22</v>
      </c>
      <c r="L1416" s="1" t="str">
        <f>HYPERLINK("https://files.afu.se/Downloads/Transcripts/0%20-%20Government/USA%20-%20NASA%20Johnson/2015 04 15 - NASA Johnson - Space Station Live  How Does Your Garden Grow in Space _SgpU08WJm0c - transcript (automated).pdf","Transcript Link")</f>
        <v>Transcript Link</v>
      </c>
      <c r="M1416" s="2" t="str">
        <f>HYPERLINK("https://files.afu.se/Downloads/Transcripts/0%20-%20Government/USA%20-%20NASA%20Johnson/2015 04 15 - NASA Johnson - Space Station Live  How Does Your Garden Grow in Space _SgpU08WJm0c - transcript (automated).pdf","Transcript Link")</f>
        <v>Transcript Link</v>
      </c>
    </row>
    <row r="1417" ht="180" spans="1:13">
      <c r="A1417" s="1" t="s">
        <v>6264</v>
      </c>
      <c r="B1417" s="1" t="s">
        <v>13</v>
      </c>
      <c r="C1417" s="4" t="s">
        <v>6265</v>
      </c>
      <c r="D1417" s="1" t="s">
        <v>6266</v>
      </c>
      <c r="E1417" s="1" t="s">
        <v>6267</v>
      </c>
      <c r="F1417" s="4" t="s">
        <v>17</v>
      </c>
      <c r="G1417" s="1" t="s">
        <v>18</v>
      </c>
      <c r="H1417" s="1" t="s">
        <v>19</v>
      </c>
      <c r="I1417" s="1" t="s">
        <v>20</v>
      </c>
      <c r="J1417" s="1" t="s">
        <v>6268</v>
      </c>
      <c r="K1417" s="1" t="s">
        <v>22</v>
      </c>
      <c r="L1417" s="1" t="str">
        <f>HYPERLINK("https://files.afu.se/Downloads/Transcripts/0%20-%20Government/USA%20-%20NASA%20Johnson/2015 04 10 - NASA Johnson - Space Station Live  Reaction Self Test_80QOEveMssw - transcript (automated).pdf","Transcript Link")</f>
        <v>Transcript Link</v>
      </c>
      <c r="M1417" s="2" t="str">
        <f>HYPERLINK("https://files.afu.se/Downloads/Transcripts/0%20-%20Government/USA%20-%20NASA%20Johnson/2015 04 10 - NASA Johnson - Space Station Live  Reaction Self Test_80QOEveMssw - transcript (automated).pdf","Transcript Link")</f>
        <v>Transcript Link</v>
      </c>
    </row>
    <row r="1418" ht="180" spans="1:13">
      <c r="A1418" s="1" t="s">
        <v>6264</v>
      </c>
      <c r="B1418" s="1" t="s">
        <v>13</v>
      </c>
      <c r="C1418" s="4" t="s">
        <v>6269</v>
      </c>
      <c r="D1418" s="1" t="s">
        <v>6270</v>
      </c>
      <c r="E1418" s="1" t="s">
        <v>5059</v>
      </c>
      <c r="F1418" s="4" t="s">
        <v>17</v>
      </c>
      <c r="G1418" s="1" t="s">
        <v>18</v>
      </c>
      <c r="H1418" s="1" t="s">
        <v>19</v>
      </c>
      <c r="I1418" s="1" t="s">
        <v>20</v>
      </c>
      <c r="J1418" s="1" t="s">
        <v>6271</v>
      </c>
      <c r="K1418" s="1" t="s">
        <v>22</v>
      </c>
      <c r="L1418" s="1" t="str">
        <f>HYPERLINK("https://files.afu.se/Downloads/Transcripts/0%20-%20Government/USA%20-%20NASA%20Johnson/2015 04 10 - NASA Johnson - Space to Ground  Eye on the Earth  4 10 15_7o80sAi0lcs - transcript (automated).pdf","Transcript Link")</f>
        <v>Transcript Link</v>
      </c>
      <c r="M1418" s="2" t="str">
        <f>HYPERLINK("https://files.afu.se/Downloads/Transcripts/0%20-%20Government/USA%20-%20NASA%20Johnson/2015 04 10 - NASA Johnson - Space to Ground  Eye on the Earth  4 10 15_7o80sAi0lcs - transcript (automated).pdf","Transcript Link")</f>
        <v>Transcript Link</v>
      </c>
    </row>
    <row r="1419" ht="180" spans="1:13">
      <c r="A1419" s="1" t="s">
        <v>6272</v>
      </c>
      <c r="B1419" s="1" t="s">
        <v>13</v>
      </c>
      <c r="C1419" s="4" t="s">
        <v>6273</v>
      </c>
      <c r="D1419" s="1" t="s">
        <v>6274</v>
      </c>
      <c r="E1419" s="1" t="s">
        <v>6275</v>
      </c>
      <c r="F1419" s="4" t="s">
        <v>17</v>
      </c>
      <c r="G1419" s="1" t="s">
        <v>18</v>
      </c>
      <c r="H1419" s="1" t="s">
        <v>19</v>
      </c>
      <c r="I1419" s="1" t="s">
        <v>20</v>
      </c>
      <c r="J1419" s="1" t="s">
        <v>6276</v>
      </c>
      <c r="K1419" s="1" t="s">
        <v>22</v>
      </c>
      <c r="L1419" s="1" t="str">
        <f>HYPERLINK("https://files.afu.se/Downloads/Transcripts/0%20-%20Government/USA%20-%20NASA%20Johnson/2015 04 09 - NASA Johnson - Space Station Live  Fine Motor Skills_jkg2-4RFXeM - transcript (automated).pdf","Transcript Link")</f>
        <v>Transcript Link</v>
      </c>
      <c r="M1419" s="2" t="str">
        <f>HYPERLINK("https://files.afu.se/Downloads/Transcripts/0%20-%20Government/USA%20-%20NASA%20Johnson/2015 04 09 - NASA Johnson - Space Station Live  Fine Motor Skills_jkg2-4RFXeM - transcript (automated).pdf","Transcript Link")</f>
        <v>Transcript Link</v>
      </c>
    </row>
    <row r="1420" ht="180" spans="1:13">
      <c r="A1420" s="1" t="s">
        <v>6277</v>
      </c>
      <c r="B1420" s="1" t="s">
        <v>13</v>
      </c>
      <c r="C1420" s="4" t="s">
        <v>6278</v>
      </c>
      <c r="D1420" s="1" t="s">
        <v>6279</v>
      </c>
      <c r="E1420" s="1" t="s">
        <v>6280</v>
      </c>
      <c r="F1420" s="4" t="s">
        <v>17</v>
      </c>
      <c r="G1420" s="1" t="s">
        <v>18</v>
      </c>
      <c r="H1420" s="1" t="s">
        <v>19</v>
      </c>
      <c r="I1420" s="1" t="s">
        <v>20</v>
      </c>
      <c r="J1420" s="1" t="s">
        <v>6281</v>
      </c>
      <c r="K1420" s="1" t="s">
        <v>22</v>
      </c>
      <c r="L1420" s="1" t="str">
        <f>HYPERLINK("https://files.afu.se/Downloads/Transcripts/0%20-%20Government/USA%20-%20NASA%20Johnson/2015 04 08 - NASA Johnson - Space Station Live  Space-Made Presents Unboxed_jWoA9kpyNwM - transcript (automated).pdf","Transcript Link")</f>
        <v>Transcript Link</v>
      </c>
      <c r="M1420" s="2" t="str">
        <f>HYPERLINK("https://files.afu.se/Downloads/Transcripts/0%20-%20Government/USA%20-%20NASA%20Johnson/2015 04 08 - NASA Johnson - Space Station Live  Space-Made Presents Unboxed_jWoA9kpyNwM - transcript (automated).pdf","Transcript Link")</f>
        <v>Transcript Link</v>
      </c>
    </row>
    <row r="1421" ht="255" spans="1:13">
      <c r="A1421" s="1" t="s">
        <v>6277</v>
      </c>
      <c r="B1421" s="1" t="s">
        <v>13</v>
      </c>
      <c r="C1421" s="4" t="s">
        <v>6282</v>
      </c>
      <c r="D1421" s="1" t="s">
        <v>6283</v>
      </c>
      <c r="E1421" s="1" t="s">
        <v>6284</v>
      </c>
      <c r="F1421" s="4" t="s">
        <v>17</v>
      </c>
      <c r="G1421" s="1" t="s">
        <v>18</v>
      </c>
      <c r="H1421" s="1" t="s">
        <v>19</v>
      </c>
      <c r="I1421" s="1" t="s">
        <v>20</v>
      </c>
      <c r="J1421" s="1" t="s">
        <v>6285</v>
      </c>
      <c r="K1421" s="1" t="s">
        <v>22</v>
      </c>
      <c r="L1421" s="1" t="str">
        <f>HYPERLINK("https://files.afu.se/Downloads/Transcripts/0%20-%20Government/USA%20-%20NASA%20Johnson/2015 04 08 - NASA Johnson - Yuri’s Night Greeting from Expedition 43 Commander Terry Virts_WVIflt75KkY - transcript (automated).pdf","Transcript Link")</f>
        <v>Transcript Link</v>
      </c>
      <c r="M1421" s="2" t="str">
        <f>HYPERLINK("https://files.afu.se/Downloads/Transcripts/0%20-%20Government/USA%20-%20NASA%20Johnson/2015 04 08 - NASA Johnson - Yuri’s Night Greeting from Expedition 43 Commander Terry Virts_WVIflt75KkY - transcript (automated).pdf","Transcript Link")</f>
        <v>Transcript Link</v>
      </c>
    </row>
    <row r="1422" ht="180" spans="1:13">
      <c r="A1422" s="1" t="s">
        <v>6286</v>
      </c>
      <c r="B1422" s="1" t="s">
        <v>13</v>
      </c>
      <c r="C1422" s="4" t="s">
        <v>6287</v>
      </c>
      <c r="D1422" s="1" t="s">
        <v>6288</v>
      </c>
      <c r="E1422" s="1" t="s">
        <v>6289</v>
      </c>
      <c r="F1422" s="4" t="s">
        <v>17</v>
      </c>
      <c r="G1422" s="1" t="s">
        <v>18</v>
      </c>
      <c r="H1422" s="1" t="s">
        <v>19</v>
      </c>
      <c r="I1422" s="1" t="s">
        <v>20</v>
      </c>
      <c r="J1422" s="1" t="s">
        <v>6290</v>
      </c>
      <c r="K1422" s="1" t="s">
        <v>22</v>
      </c>
      <c r="L1422" s="1" t="str">
        <f>HYPERLINK("https://files.afu.se/Downloads/Transcripts/0%20-%20Government/USA%20-%20NASA%20Johnson/2015 04 07 - NASA Johnson - Science_alxWTxuW3jk - transcript (automated).pdf","Transcript Link")</f>
        <v>Transcript Link</v>
      </c>
      <c r="M1422" s="2" t="str">
        <f>HYPERLINK("https://files.afu.se/Downloads/Transcripts/0%20-%20Government/USA%20-%20NASA%20Johnson/2015 04 07 - NASA Johnson - Science_alxWTxuW3jk - transcript (automated).pdf","Transcript Link")</f>
        <v>Transcript Link</v>
      </c>
    </row>
    <row r="1423" ht="180" spans="1:13">
      <c r="A1423" s="1" t="s">
        <v>6286</v>
      </c>
      <c r="B1423" s="1" t="s">
        <v>13</v>
      </c>
      <c r="C1423" s="4" t="s">
        <v>6291</v>
      </c>
      <c r="D1423" s="1" t="s">
        <v>6292</v>
      </c>
      <c r="E1423" s="1" t="s">
        <v>6293</v>
      </c>
      <c r="F1423" s="4" t="s">
        <v>17</v>
      </c>
      <c r="G1423" s="1" t="s">
        <v>18</v>
      </c>
      <c r="H1423" s="1" t="s">
        <v>19</v>
      </c>
      <c r="I1423" s="1" t="s">
        <v>20</v>
      </c>
      <c r="J1423" s="1" t="s">
        <v>6294</v>
      </c>
      <c r="K1423" s="1" t="s">
        <v>22</v>
      </c>
      <c r="L1423" s="1" t="str">
        <f>HYPERLINK("https://files.afu.se/Downloads/Transcripts/0%20-%20Government/USA%20-%20NASA%20Johnson/2015 04 07 - NASA Johnson - Russian Soyuz Spacecraft_xC2wB93Wm7k - transcript (automated).pdf","Transcript Link")</f>
        <v>Transcript Link</v>
      </c>
      <c r="M1423" s="2" t="str">
        <f>HYPERLINK("https://files.afu.se/Downloads/Transcripts/0%20-%20Government/USA%20-%20NASA%20Johnson/2015 04 07 - NASA Johnson - Russian Soyuz Spacecraft_xC2wB93Wm7k - transcript (automated).pdf","Transcript Link")</f>
        <v>Transcript Link</v>
      </c>
    </row>
    <row r="1424" ht="180" spans="1:13">
      <c r="A1424" s="1" t="s">
        <v>6286</v>
      </c>
      <c r="B1424" s="1" t="s">
        <v>13</v>
      </c>
      <c r="C1424" s="4" t="s">
        <v>6295</v>
      </c>
      <c r="D1424" s="1" t="s">
        <v>6296</v>
      </c>
      <c r="E1424" s="1" t="s">
        <v>6297</v>
      </c>
      <c r="F1424" s="4" t="s">
        <v>17</v>
      </c>
      <c r="G1424" s="1" t="s">
        <v>18</v>
      </c>
      <c r="H1424" s="1" t="s">
        <v>19</v>
      </c>
      <c r="I1424" s="1" t="s">
        <v>20</v>
      </c>
      <c r="J1424" s="1" t="s">
        <v>6298</v>
      </c>
      <c r="K1424" s="1" t="s">
        <v>22</v>
      </c>
      <c r="L1424" s="1" t="str">
        <f>HYPERLINK("https://files.afu.se/Downloads/Transcripts/0%20-%20Government/USA%20-%20NASA%20Johnson/2015 04 07 - NASA Johnson - Life on Station_X9vOoXU56KI - transcript (automated).pdf","Transcript Link")</f>
        <v>Transcript Link</v>
      </c>
      <c r="M1424" s="2" t="str">
        <f>HYPERLINK("https://files.afu.se/Downloads/Transcripts/0%20-%20Government/USA%20-%20NASA%20Johnson/2015 04 07 - NASA Johnson - Life on Station_X9vOoXU56KI - transcript (automated).pdf","Transcript Link")</f>
        <v>Transcript Link</v>
      </c>
    </row>
    <row r="1425" ht="180" spans="1:13">
      <c r="A1425" s="1" t="s">
        <v>6286</v>
      </c>
      <c r="B1425" s="1" t="s">
        <v>13</v>
      </c>
      <c r="C1425" s="4" t="s">
        <v>6299</v>
      </c>
      <c r="D1425" s="1" t="s">
        <v>6300</v>
      </c>
      <c r="E1425" s="1" t="s">
        <v>6301</v>
      </c>
      <c r="F1425" s="4" t="s">
        <v>17</v>
      </c>
      <c r="G1425" s="1" t="s">
        <v>18</v>
      </c>
      <c r="H1425" s="1" t="s">
        <v>19</v>
      </c>
      <c r="I1425" s="1" t="s">
        <v>20</v>
      </c>
      <c r="J1425" s="1" t="s">
        <v>6302</v>
      </c>
      <c r="K1425" s="1" t="s">
        <v>22</v>
      </c>
      <c r="L1425" s="1" t="str">
        <f>HYPERLINK("https://files.afu.se/Downloads/Transcripts/0%20-%20Government/USA%20-%20NASA%20Johnson/2015 04 07 - NASA Johnson - Exterior Views_j_RTo2Ti5VA - transcript (automated).pdf","Transcript Link")</f>
        <v>Transcript Link</v>
      </c>
      <c r="M1425" s="2" t="str">
        <f>HYPERLINK("https://files.afu.se/Downloads/Transcripts/0%20-%20Government/USA%20-%20NASA%20Johnson/2015 04 07 - NASA Johnson - Exterior Views_j_RTo2Ti5VA - transcript (automated).pdf","Transcript Link")</f>
        <v>Transcript Link</v>
      </c>
    </row>
    <row r="1426" ht="180" spans="1:13">
      <c r="A1426" s="1" t="s">
        <v>6286</v>
      </c>
      <c r="B1426" s="1" t="s">
        <v>13</v>
      </c>
      <c r="C1426" s="4" t="s">
        <v>6303</v>
      </c>
      <c r="D1426" s="1" t="s">
        <v>6304</v>
      </c>
      <c r="E1426" s="1" t="s">
        <v>6305</v>
      </c>
      <c r="F1426" s="4" t="s">
        <v>17</v>
      </c>
      <c r="G1426" s="1" t="s">
        <v>18</v>
      </c>
      <c r="H1426" s="1" t="s">
        <v>19</v>
      </c>
      <c r="I1426" s="1" t="s">
        <v>20</v>
      </c>
      <c r="J1426" s="1" t="s">
        <v>6306</v>
      </c>
      <c r="K1426" s="1" t="s">
        <v>22</v>
      </c>
      <c r="L1426" s="1" t="str">
        <f>HYPERLINK("https://files.afu.se/Downloads/Transcripts/0%20-%20Government/USA%20-%20NASA%20Johnson/2015 04 07 - NASA Johnson - Earth Views_ANjy2RcEeGs - transcript (automated).pdf","Transcript Link")</f>
        <v>Transcript Link</v>
      </c>
      <c r="M1426" s="2" t="str">
        <f>HYPERLINK("https://files.afu.se/Downloads/Transcripts/0%20-%20Government/USA%20-%20NASA%20Johnson/2015 04 07 - NASA Johnson - Earth Views_ANjy2RcEeGs - transcript (automated).pdf","Transcript Link")</f>
        <v>Transcript Link</v>
      </c>
    </row>
    <row r="1427" ht="180" spans="1:13">
      <c r="A1427" s="1" t="s">
        <v>6286</v>
      </c>
      <c r="B1427" s="1" t="s">
        <v>13</v>
      </c>
      <c r="C1427" s="4" t="s">
        <v>6307</v>
      </c>
      <c r="D1427" s="1" t="s">
        <v>6308</v>
      </c>
      <c r="E1427" s="1" t="s">
        <v>6309</v>
      </c>
      <c r="F1427" s="4" t="s">
        <v>17</v>
      </c>
      <c r="G1427" s="1" t="s">
        <v>18</v>
      </c>
      <c r="H1427" s="1" t="s">
        <v>19</v>
      </c>
      <c r="I1427" s="1" t="s">
        <v>20</v>
      </c>
      <c r="J1427" s="1" t="s">
        <v>6310</v>
      </c>
      <c r="K1427" s="1" t="s">
        <v>22</v>
      </c>
      <c r="L1427" s="1" t="str">
        <f>HYPERLINK("https://files.afu.se/Downloads/Transcripts/0%20-%20Government/USA%20-%20NASA%20Johnson/2015 04 07 - NASA Johnson - Cargo Vehicle Ground Processing_T2ua3zp3_1o - transcript (automated).pdf","Transcript Link")</f>
        <v>Transcript Link</v>
      </c>
      <c r="M1427" s="2" t="str">
        <f>HYPERLINK("https://files.afu.se/Downloads/Transcripts/0%20-%20Government/USA%20-%20NASA%20Johnson/2015 04 07 - NASA Johnson - Cargo Vehicle Ground Processing_T2ua3zp3_1o - transcript (automated).pdf","Transcript Link")</f>
        <v>Transcript Link</v>
      </c>
    </row>
    <row r="1428" ht="180" spans="1:13">
      <c r="A1428" s="1" t="s">
        <v>6286</v>
      </c>
      <c r="B1428" s="1" t="s">
        <v>13</v>
      </c>
      <c r="C1428" s="4" t="s">
        <v>6311</v>
      </c>
      <c r="D1428" s="1" t="s">
        <v>6312</v>
      </c>
      <c r="E1428" s="1" t="s">
        <v>6313</v>
      </c>
      <c r="F1428" s="4" t="s">
        <v>17</v>
      </c>
      <c r="G1428" s="1" t="s">
        <v>18</v>
      </c>
      <c r="H1428" s="1" t="s">
        <v>19</v>
      </c>
      <c r="I1428" s="1" t="s">
        <v>20</v>
      </c>
      <c r="J1428" s="1" t="s">
        <v>6314</v>
      </c>
      <c r="K1428" s="1" t="s">
        <v>22</v>
      </c>
      <c r="L1428" s="1" t="str">
        <f>HYPERLINK("https://files.afu.se/Downloads/Transcripts/0%20-%20Government/USA%20-%20NASA%20Johnson/2015 04 07 - NASA Johnson - Space Station Live  A View from Aloft_Iv1SxotNUH0 - transcript (automated).pdf","Transcript Link")</f>
        <v>Transcript Link</v>
      </c>
      <c r="M1428" s="2" t="str">
        <f>HYPERLINK("https://files.afu.se/Downloads/Transcripts/0%20-%20Government/USA%20-%20NASA%20Johnson/2015 04 07 - NASA Johnson - Space Station Live  A View from Aloft_Iv1SxotNUH0 - transcript (automated).pdf","Transcript Link")</f>
        <v>Transcript Link</v>
      </c>
    </row>
    <row r="1429" ht="390" spans="1:13">
      <c r="A1429" s="1" t="s">
        <v>6315</v>
      </c>
      <c r="B1429" s="1" t="s">
        <v>13</v>
      </c>
      <c r="C1429" s="4" t="s">
        <v>6316</v>
      </c>
      <c r="D1429" s="1" t="s">
        <v>6317</v>
      </c>
      <c r="E1429" s="1" t="s">
        <v>6318</v>
      </c>
      <c r="F1429" s="4" t="s">
        <v>17</v>
      </c>
      <c r="G1429" s="1" t="s">
        <v>18</v>
      </c>
      <c r="H1429" s="1" t="s">
        <v>19</v>
      </c>
      <c r="I1429" s="1" t="s">
        <v>20</v>
      </c>
      <c r="J1429" s="1" t="s">
        <v>6319</v>
      </c>
      <c r="K1429" s="1" t="s">
        <v>22</v>
      </c>
      <c r="L1429" s="1" t="str">
        <f>HYPERLINK("https://files.afu.se/Downloads/Transcripts/0%20-%20Government/USA%20-%20NASA%20Johnson/2015 04 06 - NASA Johnson - StationLIFE  Earth_k3rx6zNL8G0 - transcript (automated).pdf","Transcript Link")</f>
        <v>Transcript Link</v>
      </c>
      <c r="M1429" s="2" t="str">
        <f>HYPERLINK("https://files.afu.se/Downloads/Transcripts/0%20-%20Government/USA%20-%20NASA%20Johnson/2015 04 06 - NASA Johnson - StationLIFE  Earth_k3rx6zNL8G0 - transcript (automated).pdf","Transcript Link")</f>
        <v>Transcript Link</v>
      </c>
    </row>
    <row r="1430" ht="180" spans="1:13">
      <c r="A1430" s="1" t="s">
        <v>6315</v>
      </c>
      <c r="B1430" s="1" t="s">
        <v>13</v>
      </c>
      <c r="C1430" s="4" t="s">
        <v>6320</v>
      </c>
      <c r="D1430" s="1" t="s">
        <v>6321</v>
      </c>
      <c r="E1430" s="1" t="s">
        <v>6322</v>
      </c>
      <c r="F1430" s="4" t="s">
        <v>17</v>
      </c>
      <c r="G1430" s="1" t="s">
        <v>18</v>
      </c>
      <c r="H1430" s="1" t="s">
        <v>19</v>
      </c>
      <c r="I1430" s="1" t="s">
        <v>20</v>
      </c>
      <c r="J1430" s="1" t="s">
        <v>6323</v>
      </c>
      <c r="K1430" s="1" t="s">
        <v>22</v>
      </c>
      <c r="L1430" s="1" t="str">
        <f>HYPERLINK("https://files.afu.se/Downloads/Transcripts/0%20-%20Government/USA%20-%20NASA%20Johnson/2015 04 06 - NASA Johnson - NASA Employees Take First Lady’s Dance Challenge_w4iOl61bgPk - transcript (automated).pdf","Transcript Link")</f>
        <v>Transcript Link</v>
      </c>
      <c r="M1430" s="2" t="str">
        <f>HYPERLINK("https://files.afu.se/Downloads/Transcripts/0%20-%20Government/USA%20-%20NASA%20Johnson/2015 04 06 - NASA Johnson - NASA Employees Take First Lady’s Dance Challenge_w4iOl61bgPk - transcript (automated).pdf","Transcript Link")</f>
        <v>Transcript Link</v>
      </c>
    </row>
    <row r="1431" ht="180" spans="1:13">
      <c r="A1431" s="1" t="s">
        <v>6324</v>
      </c>
      <c r="B1431" s="1" t="s">
        <v>13</v>
      </c>
      <c r="C1431" s="4" t="s">
        <v>6325</v>
      </c>
      <c r="D1431" s="1" t="s">
        <v>6326</v>
      </c>
      <c r="E1431" s="1" t="s">
        <v>5059</v>
      </c>
      <c r="F1431" s="4" t="s">
        <v>17</v>
      </c>
      <c r="G1431" s="1" t="s">
        <v>18</v>
      </c>
      <c r="H1431" s="1" t="s">
        <v>19</v>
      </c>
      <c r="I1431" s="1" t="s">
        <v>20</v>
      </c>
      <c r="J1431" s="1" t="s">
        <v>6327</v>
      </c>
      <c r="K1431" s="1" t="s">
        <v>22</v>
      </c>
      <c r="L1431" s="1" t="str">
        <f>HYPERLINK("https://files.afu.se/Downloads/Transcripts/0%20-%20Government/USA%20-%20NASA%20Johnson/2015 04 03 - NASA Johnson - Space to Ground  Welcome Aboard  4 3 15_R3_tQvmdeVI - transcript (automated).pdf","Transcript Link")</f>
        <v>Transcript Link</v>
      </c>
      <c r="M1431" s="2" t="str">
        <f>HYPERLINK("https://files.afu.se/Downloads/Transcripts/0%20-%20Government/USA%20-%20NASA%20Johnson/2015 04 03 - NASA Johnson - Space to Ground  Welcome Aboard  4 3 15_R3_tQvmdeVI - transcript (automated).pdf","Transcript Link")</f>
        <v>Transcript Link</v>
      </c>
    </row>
    <row r="1432" ht="210" spans="1:13">
      <c r="A1432" s="1" t="s">
        <v>6328</v>
      </c>
      <c r="B1432" s="1" t="s">
        <v>13</v>
      </c>
      <c r="C1432" s="4" t="s">
        <v>6329</v>
      </c>
      <c r="D1432" s="1" t="s">
        <v>6330</v>
      </c>
      <c r="E1432" s="1" t="s">
        <v>6331</v>
      </c>
      <c r="F1432" s="4" t="s">
        <v>17</v>
      </c>
      <c r="G1432" s="1" t="s">
        <v>18</v>
      </c>
      <c r="H1432" s="1" t="s">
        <v>19</v>
      </c>
      <c r="I1432" s="1" t="s">
        <v>20</v>
      </c>
      <c r="J1432" s="1" t="s">
        <v>6332</v>
      </c>
      <c r="K1432" s="1" t="s">
        <v>22</v>
      </c>
      <c r="L1432" s="1" t="str">
        <f>HYPERLINK("https://files.afu.se/Downloads/Transcripts/0%20-%20Government/USA%20-%20NASA%20Johnson/2015 04 01 - NASA Johnson - Space Station Live  Balancing Act_dBaIu1f7_JQ - transcript (automated).pdf","Transcript Link")</f>
        <v>Transcript Link</v>
      </c>
      <c r="M1432" s="2" t="str">
        <f>HYPERLINK("https://files.afu.se/Downloads/Transcripts/0%20-%20Government/USA%20-%20NASA%20Johnson/2015 04 01 - NASA Johnson - Space Station Live  Balancing Act_dBaIu1f7_JQ - transcript (automated).pdf","Transcript Link")</f>
        <v>Transcript Link</v>
      </c>
    </row>
    <row r="1433" ht="270" spans="1:13">
      <c r="A1433" s="1" t="s">
        <v>6328</v>
      </c>
      <c r="B1433" s="1" t="s">
        <v>13</v>
      </c>
      <c r="C1433" s="4" t="s">
        <v>6333</v>
      </c>
      <c r="D1433" s="1" t="s">
        <v>6334</v>
      </c>
      <c r="E1433" s="1" t="s">
        <v>6335</v>
      </c>
      <c r="F1433" s="4" t="s">
        <v>17</v>
      </c>
      <c r="G1433" s="1" t="s">
        <v>18</v>
      </c>
      <c r="H1433" s="1" t="s">
        <v>19</v>
      </c>
      <c r="I1433" s="1" t="s">
        <v>20</v>
      </c>
      <c r="J1433" s="1" t="s">
        <v>6336</v>
      </c>
      <c r="K1433" s="1" t="s">
        <v>22</v>
      </c>
      <c r="L1433" s="1" t="str">
        <f>HYPERLINK("https://files.afu.se/Downloads/Transcripts/0%20-%20Government/USA%20-%20NASA%20Johnson/2015 04 01 - NASA Johnson - One-Year Crew Talks About Start of %23YearInSpace_53TcxyN-gig - transcript (automated).pdf","Transcript Link")</f>
        <v>Transcript Link</v>
      </c>
      <c r="M1433" s="2" t="str">
        <f>HYPERLINK("https://files.afu.se/Downloads/Transcripts/0%20-%20Government/USA%20-%20NASA%20Johnson/2015 04 01 - NASA Johnson - One-Year Crew Talks About Start of %23YearInSpace_53TcxyN-gig - transcript (automated).pdf","Transcript Link")</f>
        <v>Transcript Link</v>
      </c>
    </row>
    <row r="1434" ht="180" spans="1:13">
      <c r="A1434" s="1" t="s">
        <v>6337</v>
      </c>
      <c r="B1434" s="1" t="s">
        <v>13</v>
      </c>
      <c r="C1434" s="4" t="s">
        <v>6338</v>
      </c>
      <c r="D1434" s="1" t="s">
        <v>6339</v>
      </c>
      <c r="E1434" s="1" t="s">
        <v>6340</v>
      </c>
      <c r="F1434" s="4" t="s">
        <v>17</v>
      </c>
      <c r="G1434" s="1" t="s">
        <v>18</v>
      </c>
      <c r="H1434" s="1" t="s">
        <v>19</v>
      </c>
      <c r="I1434" s="1" t="s">
        <v>20</v>
      </c>
      <c r="J1434" s="1" t="s">
        <v>6341</v>
      </c>
      <c r="K1434" s="1" t="s">
        <v>22</v>
      </c>
      <c r="L1434" s="1" t="str">
        <f>HYPERLINK("https://files.afu.se/Downloads/Transcripts/0%20-%20Government/USA%20-%20NASA%20Johnson/2015 03 31 - NASA Johnson - Space Station Live  Counting Down to the Start of a Year in Space_kbvKwmqqh58 - transcript (automated).pdf","Transcript Link")</f>
        <v>Transcript Link</v>
      </c>
      <c r="M1434" s="2" t="str">
        <f>HYPERLINK("https://files.afu.se/Downloads/Transcripts/0%20-%20Government/USA%20-%20NASA%20Johnson/2015 03 31 - NASA Johnson - Space Station Live  Counting Down to the Start of a Year in Space_kbvKwmqqh58 - transcript (automated).pdf","Transcript Link")</f>
        <v>Transcript Link</v>
      </c>
    </row>
    <row r="1435" ht="180" spans="1:13">
      <c r="A1435" s="1" t="s">
        <v>6337</v>
      </c>
      <c r="B1435" s="1" t="s">
        <v>13</v>
      </c>
      <c r="C1435" s="4" t="s">
        <v>6342</v>
      </c>
      <c r="D1435" s="1" t="s">
        <v>6343</v>
      </c>
      <c r="E1435" s="1" t="s">
        <v>6344</v>
      </c>
      <c r="F1435" s="4" t="s">
        <v>17</v>
      </c>
      <c r="G1435" s="1" t="s">
        <v>18</v>
      </c>
      <c r="H1435" s="1" t="s">
        <v>19</v>
      </c>
      <c r="I1435" s="1" t="s">
        <v>20</v>
      </c>
      <c r="J1435" s="1" t="s">
        <v>6345</v>
      </c>
      <c r="K1435" s="1" t="s">
        <v>22</v>
      </c>
      <c r="L1435" s="1" t="str">
        <f>HYPERLINK("https://files.afu.se/Downloads/Transcripts/0%20-%20Government/USA%20-%20NASA%20Johnson/2015 03 31 - NASA Johnson - Space Station Live  Best Use of Space_KclZrn7oJkU - transcript (automated).pdf","Transcript Link")</f>
        <v>Transcript Link</v>
      </c>
      <c r="M1435" s="2" t="str">
        <f>HYPERLINK("https://files.afu.se/Downloads/Transcripts/0%20-%20Government/USA%20-%20NASA%20Johnson/2015 03 31 - NASA Johnson - Space Station Live  Best Use of Space_KclZrn7oJkU - transcript (automated).pdf","Transcript Link")</f>
        <v>Transcript Link</v>
      </c>
    </row>
    <row r="1436" ht="225" spans="1:13">
      <c r="A1436" s="1" t="s">
        <v>6346</v>
      </c>
      <c r="B1436" s="1" t="s">
        <v>13</v>
      </c>
      <c r="C1436" s="4" t="s">
        <v>6347</v>
      </c>
      <c r="D1436" s="1" t="s">
        <v>6348</v>
      </c>
      <c r="E1436" s="1" t="s">
        <v>6349</v>
      </c>
      <c r="F1436" s="4" t="s">
        <v>17</v>
      </c>
      <c r="G1436" s="1" t="s">
        <v>18</v>
      </c>
      <c r="H1436" s="1" t="s">
        <v>19</v>
      </c>
      <c r="I1436" s="1" t="s">
        <v>20</v>
      </c>
      <c r="J1436" s="1" t="s">
        <v>6350</v>
      </c>
      <c r="K1436" s="1" t="s">
        <v>22</v>
      </c>
      <c r="L1436" s="1" t="str">
        <f>HYPERLINK("https://files.afu.se/Downloads/Transcripts/0%20-%20Government/USA%20-%20NASA%20Johnson/2015 03 28 - NASA Johnson - Expedition 43 Crew Docks to the Space Station_LO82R73Ocac - transcript (automated).pdf","Transcript Link")</f>
        <v>Transcript Link</v>
      </c>
      <c r="M1436" s="2" t="str">
        <f>HYPERLINK("https://files.afu.se/Downloads/Transcripts/0%20-%20Government/USA%20-%20NASA%20Johnson/2015 03 28 - NASA Johnson - Expedition 43 Crew Docks to the Space Station_LO82R73Ocac - transcript (automated).pdf","Transcript Link")</f>
        <v>Transcript Link</v>
      </c>
    </row>
    <row r="1437" ht="180" spans="1:13">
      <c r="A1437" s="1" t="s">
        <v>6351</v>
      </c>
      <c r="B1437" s="1" t="s">
        <v>13</v>
      </c>
      <c r="C1437" s="4" t="s">
        <v>6352</v>
      </c>
      <c r="D1437" s="1" t="s">
        <v>6353</v>
      </c>
      <c r="E1437" s="1" t="s">
        <v>6354</v>
      </c>
      <c r="F1437" s="4" t="s">
        <v>17</v>
      </c>
      <c r="G1437" s="1" t="s">
        <v>18</v>
      </c>
      <c r="H1437" s="1" t="s">
        <v>19</v>
      </c>
      <c r="I1437" s="1" t="s">
        <v>20</v>
      </c>
      <c r="J1437" s="1" t="s">
        <v>6355</v>
      </c>
      <c r="K1437" s="1" t="s">
        <v>22</v>
      </c>
      <c r="L1437" s="1" t="str">
        <f>HYPERLINK("https://files.afu.se/Downloads/Transcripts/0%20-%20Government/USA%20-%20NASA%20Johnson/2015 03 27 - NASA Johnson - Expedition 43 Launches to ISS for a Yearlong Mission_uPwyE3NdiNg - transcript (automated).pdf","Transcript Link")</f>
        <v>Transcript Link</v>
      </c>
      <c r="M1437" s="2" t="str">
        <f>HYPERLINK("https://files.afu.se/Downloads/Transcripts/0%20-%20Government/USA%20-%20NASA%20Johnson/2015 03 27 - NASA Johnson - Expedition 43 Launches to ISS for a Yearlong Mission_uPwyE3NdiNg - transcript (automated).pdf","Transcript Link")</f>
        <v>Transcript Link</v>
      </c>
    </row>
    <row r="1438" ht="180" spans="1:13">
      <c r="A1438" s="1" t="s">
        <v>6351</v>
      </c>
      <c r="B1438" s="1" t="s">
        <v>13</v>
      </c>
      <c r="C1438" s="4" t="s">
        <v>6356</v>
      </c>
      <c r="D1438" s="1" t="s">
        <v>6357</v>
      </c>
      <c r="E1438" s="1" t="s">
        <v>5059</v>
      </c>
      <c r="F1438" s="4" t="s">
        <v>17</v>
      </c>
      <c r="G1438" s="1" t="s">
        <v>18</v>
      </c>
      <c r="H1438" s="1" t="s">
        <v>19</v>
      </c>
      <c r="I1438" s="1" t="s">
        <v>20</v>
      </c>
      <c r="J1438" s="1" t="s">
        <v>6358</v>
      </c>
      <c r="K1438" s="1" t="s">
        <v>22</v>
      </c>
      <c r="L1438" s="1" t="str">
        <f>HYPERLINK("https://files.afu.se/Downloads/Transcripts/0%20-%20Government/USA%20-%20NASA%20Johnson/2015 03 27 - NASA Johnson - Space to Ground   The Year Ahead_ERwU1lsOrj4 - transcript (automated).pdf","Transcript Link")</f>
        <v>Transcript Link</v>
      </c>
      <c r="M1438" s="2" t="str">
        <f>HYPERLINK("https://files.afu.se/Downloads/Transcripts/0%20-%20Government/USA%20-%20NASA%20Johnson/2015 03 27 - NASA Johnson - Space to Ground   The Year Ahead_ERwU1lsOrj4 - transcript (automated).pdf","Transcript Link")</f>
        <v>Transcript Link</v>
      </c>
    </row>
    <row r="1439" ht="180" spans="1:13">
      <c r="A1439" s="1" t="s">
        <v>6359</v>
      </c>
      <c r="B1439" s="1" t="s">
        <v>13</v>
      </c>
      <c r="C1439" s="4" t="s">
        <v>6360</v>
      </c>
      <c r="D1439" s="1" t="s">
        <v>6361</v>
      </c>
      <c r="E1439" s="1" t="s">
        <v>6362</v>
      </c>
      <c r="F1439" s="4" t="s">
        <v>17</v>
      </c>
      <c r="G1439" s="1" t="s">
        <v>18</v>
      </c>
      <c r="H1439" s="1" t="s">
        <v>19</v>
      </c>
      <c r="I1439" s="1" t="s">
        <v>20</v>
      </c>
      <c r="J1439" s="1" t="s">
        <v>6363</v>
      </c>
      <c r="K1439" s="1" t="s">
        <v>22</v>
      </c>
      <c r="L1439" s="1" t="str">
        <f>HYPERLINK("https://files.afu.se/Downloads/Transcripts/0%20-%20Government/USA%20-%20NASA%20Johnson/2015 03 26 - NASA Johnson - Last Human to Spend a Year in Space Discusses Upcoming ISS One Year Mission_bjUFRXmRGgk - transcript (automated).pdf","Transcript Link")</f>
        <v>Transcript Link</v>
      </c>
      <c r="M1439" s="2" t="str">
        <f>HYPERLINK("https://files.afu.se/Downloads/Transcripts/0%20-%20Government/USA%20-%20NASA%20Johnson/2015 03 26 - NASA Johnson - Last Human to Spend a Year in Space Discusses Upcoming ISS One Year Mission_bjUFRXmRGgk - transcript (automated).pdf","Transcript Link")</f>
        <v>Transcript Link</v>
      </c>
    </row>
    <row r="1440" ht="180" spans="1:13">
      <c r="A1440" s="1" t="s">
        <v>6364</v>
      </c>
      <c r="B1440" s="1" t="s">
        <v>13</v>
      </c>
      <c r="C1440" s="4" t="s">
        <v>6365</v>
      </c>
      <c r="D1440" s="1" t="s">
        <v>6366</v>
      </c>
      <c r="E1440" s="1" t="s">
        <v>6367</v>
      </c>
      <c r="F1440" s="4" t="s">
        <v>17</v>
      </c>
      <c r="G1440" s="1" t="s">
        <v>18</v>
      </c>
      <c r="H1440" s="1" t="s">
        <v>19</v>
      </c>
      <c r="I1440" s="1" t="s">
        <v>20</v>
      </c>
      <c r="J1440" s="1" t="s">
        <v>6368</v>
      </c>
      <c r="K1440" s="1" t="s">
        <v>22</v>
      </c>
      <c r="L1440" s="1" t="str">
        <f>HYPERLINK("https://files.afu.se/Downloads/Transcripts/0%20-%20Government/USA%20-%20NASA%20Johnson/2015 03 25 - NASA Johnson - Space Station Live  Aging in Space_VnNUMlfSItU - transcript (automated).pdf","Transcript Link")</f>
        <v>Transcript Link</v>
      </c>
      <c r="M1440" s="2" t="str">
        <f>HYPERLINK("https://files.afu.se/Downloads/Transcripts/0%20-%20Government/USA%20-%20NASA%20Johnson/2015 03 25 - NASA Johnson - Space Station Live  Aging in Space_VnNUMlfSItU - transcript (automated).pdf","Transcript Link")</f>
        <v>Transcript Link</v>
      </c>
    </row>
    <row r="1441" ht="195" spans="1:13">
      <c r="A1441" s="1" t="s">
        <v>6364</v>
      </c>
      <c r="B1441" s="1" t="s">
        <v>13</v>
      </c>
      <c r="C1441" s="4" t="s">
        <v>6369</v>
      </c>
      <c r="D1441" s="1" t="s">
        <v>6370</v>
      </c>
      <c r="E1441" s="1" t="s">
        <v>6371</v>
      </c>
      <c r="F1441" s="4" t="s">
        <v>17</v>
      </c>
      <c r="G1441" s="1" t="s">
        <v>18</v>
      </c>
      <c r="H1441" s="1" t="s">
        <v>19</v>
      </c>
      <c r="I1441" s="1" t="s">
        <v>20</v>
      </c>
      <c r="J1441" s="1" t="s">
        <v>6372</v>
      </c>
      <c r="K1441" s="1" t="s">
        <v>22</v>
      </c>
      <c r="L1441" s="1" t="str">
        <f>HYPERLINK("https://files.afu.se/Downloads/Transcripts/0%20-%20Government/USA%20-%20NASA%20Johnson/2015 03 25 - NASA Johnson - Expedition 43 Soyuz Rocket Moves to Its Launch Pad_V7VT2K8Tsvw - transcript (automated).pdf","Transcript Link")</f>
        <v>Transcript Link</v>
      </c>
      <c r="M1441" s="2" t="str">
        <f>HYPERLINK("https://files.afu.se/Downloads/Transcripts/0%20-%20Government/USA%20-%20NASA%20Johnson/2015 03 25 - NASA Johnson - Expedition 43 Soyuz Rocket Moves to Its Launch Pad_V7VT2K8Tsvw - transcript (automated).pdf","Transcript Link")</f>
        <v>Transcript Link</v>
      </c>
    </row>
    <row r="1442" ht="180" spans="1:13">
      <c r="A1442" s="1" t="s">
        <v>6373</v>
      </c>
      <c r="B1442" s="1" t="s">
        <v>13</v>
      </c>
      <c r="C1442" s="4" t="s">
        <v>6374</v>
      </c>
      <c r="D1442" s="1" t="s">
        <v>6375</v>
      </c>
      <c r="E1442" s="1" t="s">
        <v>6376</v>
      </c>
      <c r="F1442" s="4" t="s">
        <v>17</v>
      </c>
      <c r="G1442" s="1" t="s">
        <v>18</v>
      </c>
      <c r="H1442" s="1" t="s">
        <v>19</v>
      </c>
      <c r="I1442" s="1" t="s">
        <v>20</v>
      </c>
      <c r="J1442" s="1" t="s">
        <v>6377</v>
      </c>
      <c r="K1442" s="1" t="s">
        <v>22</v>
      </c>
      <c r="L1442" s="1" t="str">
        <f>HYPERLINK("https://files.afu.se/Downloads/Transcripts/0%20-%20Government/USA%20-%20NASA%20Johnson/2015 03 24 - NASA Johnson - The Expedition 43 Soyuz Spacecraft Is Prepared for Launch_AetWW898AKk - transcript (automated).pdf","Transcript Link")</f>
        <v>Transcript Link</v>
      </c>
      <c r="M1442" s="2" t="str">
        <f>HYPERLINK("https://files.afu.se/Downloads/Transcripts/0%20-%20Government/USA%20-%20NASA%20Johnson/2015 03 24 - NASA Johnson - The Expedition 43 Soyuz Spacecraft Is Prepared for Launch_AetWW898AKk - transcript (automated).pdf","Transcript Link")</f>
        <v>Transcript Link</v>
      </c>
    </row>
    <row r="1443" ht="180" spans="1:13">
      <c r="A1443" s="1" t="s">
        <v>6373</v>
      </c>
      <c r="B1443" s="1" t="s">
        <v>13</v>
      </c>
      <c r="C1443" s="4" t="s">
        <v>6378</v>
      </c>
      <c r="D1443" s="1" t="s">
        <v>6379</v>
      </c>
      <c r="E1443" s="1" t="s">
        <v>6380</v>
      </c>
      <c r="F1443" s="4" t="s">
        <v>17</v>
      </c>
      <c r="G1443" s="1" t="s">
        <v>18</v>
      </c>
      <c r="H1443" s="1" t="s">
        <v>19</v>
      </c>
      <c r="I1443" s="1" t="s">
        <v>20</v>
      </c>
      <c r="J1443" s="1" t="s">
        <v>6381</v>
      </c>
      <c r="K1443" s="1" t="s">
        <v>22</v>
      </c>
      <c r="L1443" s="1" t="str">
        <f>HYPERLINK("https://files.afu.se/Downloads/Transcripts/0%20-%20Government/USA%20-%20NASA%20Johnson/2015 03 24 - NASA Johnson - Astronaut at a Glance  Shannon Walker_TYUiSldeuIA - transcript (automated).pdf","Transcript Link")</f>
        <v>Transcript Link</v>
      </c>
      <c r="M1443" s="2" t="str">
        <f>HYPERLINK("https://files.afu.se/Downloads/Transcripts/0%20-%20Government/USA%20-%20NASA%20Johnson/2015 03 24 - NASA Johnson - Astronaut at a Glance  Shannon Walker_TYUiSldeuIA - transcript (automated).pdf","Transcript Link")</f>
        <v>Transcript Link</v>
      </c>
    </row>
    <row r="1444" ht="195" spans="1:13">
      <c r="A1444" s="1" t="s">
        <v>6382</v>
      </c>
      <c r="B1444" s="1" t="s">
        <v>13</v>
      </c>
      <c r="C1444" s="4" t="s">
        <v>6383</v>
      </c>
      <c r="D1444" s="1" t="s">
        <v>6384</v>
      </c>
      <c r="E1444" s="1" t="s">
        <v>6385</v>
      </c>
      <c r="F1444" s="4" t="s">
        <v>17</v>
      </c>
      <c r="G1444" s="1" t="s">
        <v>18</v>
      </c>
      <c r="H1444" s="1" t="s">
        <v>19</v>
      </c>
      <c r="I1444" s="1" t="s">
        <v>20</v>
      </c>
      <c r="J1444" s="1" t="s">
        <v>6386</v>
      </c>
      <c r="K1444" s="1" t="s">
        <v>22</v>
      </c>
      <c r="L1444" s="1" t="str">
        <f>HYPERLINK("https://files.afu.se/Downloads/Transcripts/0%20-%20Government/USA%20-%20NASA%20Johnson/2015 03 23 - NASA Johnson - Expedition 43  Final Inspection_AGhXKh3HsyA - transcript (automated).pdf","Transcript Link")</f>
        <v>Transcript Link</v>
      </c>
      <c r="M1444" s="2" t="str">
        <f>HYPERLINK("https://files.afu.se/Downloads/Transcripts/0%20-%20Government/USA%20-%20NASA%20Johnson/2015 03 23 - NASA Johnson - Expedition 43  Final Inspection_AGhXKh3HsyA - transcript (automated).pdf","Transcript Link")</f>
        <v>Transcript Link</v>
      </c>
    </row>
    <row r="1445" ht="180" spans="1:13">
      <c r="A1445" s="1" t="s">
        <v>6387</v>
      </c>
      <c r="B1445" s="1" t="s">
        <v>13</v>
      </c>
      <c r="C1445" s="4" t="s">
        <v>6388</v>
      </c>
      <c r="D1445" s="1" t="s">
        <v>6389</v>
      </c>
      <c r="E1445" s="1" t="s">
        <v>6390</v>
      </c>
      <c r="F1445" s="4" t="s">
        <v>17</v>
      </c>
      <c r="G1445" s="1" t="s">
        <v>18</v>
      </c>
      <c r="H1445" s="1" t="s">
        <v>19</v>
      </c>
      <c r="I1445" s="1" t="s">
        <v>20</v>
      </c>
      <c r="J1445" s="1" t="s">
        <v>6391</v>
      </c>
      <c r="K1445" s="1" t="s">
        <v>22</v>
      </c>
      <c r="L1445" s="1" t="str">
        <f>HYPERLINK("https://files.afu.se/Downloads/Transcripts/0%20-%20Government/USA%20-%20NASA%20Johnson/2015 03 20 - NASA Johnson - Expedition 43 Crew Prepares for Launch_NLGWvEZ8mYU - transcript (automated).pdf","Transcript Link")</f>
        <v>Transcript Link</v>
      </c>
      <c r="M1445" s="2" t="str">
        <f>HYPERLINK("https://files.afu.se/Downloads/Transcripts/0%20-%20Government/USA%20-%20NASA%20Johnson/2015 03 20 - NASA Johnson - Expedition 43 Crew Prepares for Launch_NLGWvEZ8mYU - transcript (automated).pdf","Transcript Link")</f>
        <v>Transcript Link</v>
      </c>
    </row>
    <row r="1446" ht="195" spans="1:13">
      <c r="A1446" s="1" t="s">
        <v>6387</v>
      </c>
      <c r="B1446" s="1" t="s">
        <v>13</v>
      </c>
      <c r="C1446" s="4" t="s">
        <v>6392</v>
      </c>
      <c r="D1446" s="1" t="s">
        <v>6393</v>
      </c>
      <c r="E1446" s="1" t="s">
        <v>6394</v>
      </c>
      <c r="F1446" s="4" t="s">
        <v>17</v>
      </c>
      <c r="G1446" s="1" t="s">
        <v>18</v>
      </c>
      <c r="H1446" s="1" t="s">
        <v>19</v>
      </c>
      <c r="I1446" s="1" t="s">
        <v>20</v>
      </c>
      <c r="J1446" s="1" t="s">
        <v>6395</v>
      </c>
      <c r="K1446" s="1" t="s">
        <v>22</v>
      </c>
      <c r="L1446" s="1" t="str">
        <f>HYPERLINK("https://files.afu.se/Downloads/Transcripts/0%20-%20Government/USA%20-%20NASA%20Johnson/2015 03 20 - NASA Johnson - Space Station Live  Opening up Science on a New Expedition_QGnrYvrFCyA - transcript (automated).pdf","Transcript Link")</f>
        <v>Transcript Link</v>
      </c>
      <c r="M1446" s="2" t="str">
        <f>HYPERLINK("https://files.afu.se/Downloads/Transcripts/0%20-%20Government/USA%20-%20NASA%20Johnson/2015 03 20 - NASA Johnson - Space Station Live  Opening up Science on a New Expedition_QGnrYvrFCyA - transcript (automated).pdf","Transcript Link")</f>
        <v>Transcript Link</v>
      </c>
    </row>
    <row r="1447" ht="270" spans="1:13">
      <c r="A1447" s="1" t="s">
        <v>6387</v>
      </c>
      <c r="B1447" s="1" t="s">
        <v>13</v>
      </c>
      <c r="C1447" s="4" t="s">
        <v>6396</v>
      </c>
      <c r="D1447" s="1" t="s">
        <v>6397</v>
      </c>
      <c r="E1447" s="1" t="s">
        <v>6398</v>
      </c>
      <c r="F1447" s="4" t="s">
        <v>17</v>
      </c>
      <c r="G1447" s="1" t="s">
        <v>18</v>
      </c>
      <c r="H1447" s="1" t="s">
        <v>19</v>
      </c>
      <c r="I1447" s="1" t="s">
        <v>20</v>
      </c>
      <c r="J1447" s="1" t="s">
        <v>6399</v>
      </c>
      <c r="K1447" s="1" t="s">
        <v>22</v>
      </c>
      <c r="L1447" s="1" t="str">
        <f>HYPERLINK("https://files.afu.se/Downloads/Transcripts/0%20-%20Government/USA%20-%20NASA%20Johnson/2015 03 20 - NASA Johnson - Space Station Stories  The One Year Mission_354nLC3r6WA - transcript (automated).pdf","Transcript Link")</f>
        <v>Transcript Link</v>
      </c>
      <c r="M1447" s="2" t="str">
        <f>HYPERLINK("https://files.afu.se/Downloads/Transcripts/0%20-%20Government/USA%20-%20NASA%20Johnson/2015 03 20 - NASA Johnson - Space Station Stories  The One Year Mission_354nLC3r6WA - transcript (automated).pdf","Transcript Link")</f>
        <v>Transcript Link</v>
      </c>
    </row>
    <row r="1448" ht="180" spans="1:13">
      <c r="A1448" s="1" t="s">
        <v>6387</v>
      </c>
      <c r="B1448" s="1" t="s">
        <v>13</v>
      </c>
      <c r="C1448" s="4" t="s">
        <v>6400</v>
      </c>
      <c r="D1448" s="1" t="s">
        <v>6401</v>
      </c>
      <c r="E1448" s="1" t="s">
        <v>5059</v>
      </c>
      <c r="F1448" s="4" t="s">
        <v>17</v>
      </c>
      <c r="G1448" s="1" t="s">
        <v>18</v>
      </c>
      <c r="H1448" s="1" t="s">
        <v>19</v>
      </c>
      <c r="I1448" s="1" t="s">
        <v>20</v>
      </c>
      <c r="J1448" s="1" t="s">
        <v>6402</v>
      </c>
      <c r="K1448" s="1" t="s">
        <v>22</v>
      </c>
      <c r="L1448" s="1" t="str">
        <f>HYPERLINK("https://files.afu.se/Downloads/Transcripts/0%20-%20Government/USA%20-%20NASA%20Johnson/2015 03 20 - NASA Johnson - Space to Ground   Preparing for Launch   3 20 15_HnkKXgjZHKA - transcript (automated).pdf","Transcript Link")</f>
        <v>Transcript Link</v>
      </c>
      <c r="M1448" s="2" t="str">
        <f>HYPERLINK("https://files.afu.se/Downloads/Transcripts/0%20-%20Government/USA%20-%20NASA%20Johnson/2015 03 20 - NASA Johnson - Space to Ground   Preparing for Launch   3 20 15_HnkKXgjZHKA - transcript (automated).pdf","Transcript Link")</f>
        <v>Transcript Link</v>
      </c>
    </row>
    <row r="1449" ht="180" spans="1:13">
      <c r="A1449" s="1" t="s">
        <v>6403</v>
      </c>
      <c r="B1449" s="1" t="s">
        <v>13</v>
      </c>
      <c r="C1449" s="4" t="s">
        <v>6404</v>
      </c>
      <c r="D1449" s="1" t="s">
        <v>6405</v>
      </c>
      <c r="E1449" s="1" t="s">
        <v>6406</v>
      </c>
      <c r="F1449" s="4" t="s">
        <v>17</v>
      </c>
      <c r="G1449" s="1" t="s">
        <v>18</v>
      </c>
      <c r="H1449" s="1" t="s">
        <v>19</v>
      </c>
      <c r="I1449" s="1" t="s">
        <v>20</v>
      </c>
      <c r="J1449" s="1" t="s">
        <v>6407</v>
      </c>
      <c r="K1449" s="1" t="s">
        <v>22</v>
      </c>
      <c r="L1449" s="1" t="str">
        <f>HYPERLINK("https://files.afu.se/Downloads/Transcripts/0%20-%20Government/USA%20-%20NASA%20Johnson/2015 03 19 - NASA Johnson - Russian Space Pioneer Discusses Golden Anniversary of First Spacewalk_vDqQhkeTwJc - transcript (automated).pdf","Transcript Link")</f>
        <v>Transcript Link</v>
      </c>
      <c r="M1449" s="2" t="str">
        <f>HYPERLINK("https://files.afu.se/Downloads/Transcripts/0%20-%20Government/USA%20-%20NASA%20Johnson/2015 03 19 - NASA Johnson - Russian Space Pioneer Discusses Golden Anniversary of First Spacewalk_vDqQhkeTwJc - transcript (automated).pdf","Transcript Link")</f>
        <v>Transcript Link</v>
      </c>
    </row>
    <row r="1450" ht="180" spans="1:13">
      <c r="A1450" s="1" t="s">
        <v>6403</v>
      </c>
      <c r="B1450" s="1" t="s">
        <v>13</v>
      </c>
      <c r="C1450" s="4" t="s">
        <v>6408</v>
      </c>
      <c r="D1450" s="1" t="s">
        <v>6409</v>
      </c>
      <c r="E1450" s="1" t="s">
        <v>6406</v>
      </c>
      <c r="F1450" s="4" t="s">
        <v>17</v>
      </c>
      <c r="G1450" s="1" t="s">
        <v>18</v>
      </c>
      <c r="H1450" s="1" t="s">
        <v>19</v>
      </c>
      <c r="I1450" s="1" t="s">
        <v>20</v>
      </c>
      <c r="J1450" s="1" t="s">
        <v>6410</v>
      </c>
      <c r="K1450" s="1" t="s">
        <v>22</v>
      </c>
      <c r="L1450" s="1" t="str">
        <f>HYPERLINK("https://files.afu.se/Downloads/Transcripts/0%20-%20Government/USA%20-%20NASA%20Johnson/2015 03 19 - NASA Johnson - Russian Space Pioneer Conducts First Spacewalk - March 18, 1965_gW0fcAukk7Q - transcript (automated).pdf","Transcript Link")</f>
        <v>Transcript Link</v>
      </c>
      <c r="M1450" s="2" t="str">
        <f>HYPERLINK("https://files.afu.se/Downloads/Transcripts/0%20-%20Government/USA%20-%20NASA%20Johnson/2015 03 19 - NASA Johnson - Russian Space Pioneer Conducts First Spacewalk - March 18, 1965_gW0fcAukk7Q - transcript (automated).pdf","Transcript Link")</f>
        <v>Transcript Link</v>
      </c>
    </row>
    <row r="1451" ht="255" spans="1:13">
      <c r="A1451" s="1" t="s">
        <v>6403</v>
      </c>
      <c r="B1451" s="1" t="s">
        <v>13</v>
      </c>
      <c r="C1451" s="4" t="s">
        <v>6411</v>
      </c>
      <c r="D1451" s="1" t="s">
        <v>6405</v>
      </c>
      <c r="E1451" s="1" t="s">
        <v>6412</v>
      </c>
      <c r="F1451" s="4" t="s">
        <v>17</v>
      </c>
      <c r="G1451" s="1" t="s">
        <v>18</v>
      </c>
      <c r="H1451" s="1" t="s">
        <v>19</v>
      </c>
      <c r="I1451" s="1" t="s">
        <v>20</v>
      </c>
      <c r="J1451" s="1" t="s">
        <v>6413</v>
      </c>
      <c r="K1451" s="1" t="s">
        <v>22</v>
      </c>
      <c r="L1451" s="1" t="str">
        <f>HYPERLINK("https://files.afu.se/Downloads/Transcripts/0%20-%20Government/USA%20-%20NASA%20Johnson/2015 03 19 - NASA Johnson - Russian Space Pioneer Discusses Golden Anniversary of First Spacewalk_u2LxBtjNWW4 - transcript (automated).pdf","Transcript Link")</f>
        <v>Transcript Link</v>
      </c>
      <c r="M1451" s="2" t="str">
        <f>HYPERLINK("https://files.afu.se/Downloads/Transcripts/0%20-%20Government/USA%20-%20NASA%20Johnson/2015 03 19 - NASA Johnson - Russian Space Pioneer Discusses Golden Anniversary of First Spacewalk_u2LxBtjNWW4 - transcript (automated).pdf","Transcript Link")</f>
        <v>Transcript Link</v>
      </c>
    </row>
    <row r="1452" ht="180" spans="1:13">
      <c r="A1452" s="1" t="s">
        <v>6403</v>
      </c>
      <c r="B1452" s="1" t="s">
        <v>13</v>
      </c>
      <c r="C1452" s="4" t="s">
        <v>6414</v>
      </c>
      <c r="D1452" s="1" t="s">
        <v>6415</v>
      </c>
      <c r="E1452" s="1" t="s">
        <v>6416</v>
      </c>
      <c r="F1452" s="4" t="s">
        <v>17</v>
      </c>
      <c r="G1452" s="1" t="s">
        <v>18</v>
      </c>
      <c r="H1452" s="1" t="s">
        <v>19</v>
      </c>
      <c r="I1452" s="1" t="s">
        <v>20</v>
      </c>
      <c r="J1452" s="1" t="s">
        <v>6417</v>
      </c>
      <c r="K1452" s="1" t="s">
        <v>22</v>
      </c>
      <c r="L1452" s="1" t="str">
        <f>HYPERLINK("https://files.afu.se/Downloads/Transcripts/0%20-%20Government/USA%20-%20NASA%20Johnson/2015 03 19 - NASA Johnson - Space Station Live  Doctor, Flight Surgeon, Astronaut_bOdw2xYBj3g - transcript (automated).pdf","Transcript Link")</f>
        <v>Transcript Link</v>
      </c>
      <c r="M1452" s="2" t="str">
        <f>HYPERLINK("https://files.afu.se/Downloads/Transcripts/0%20-%20Government/USA%20-%20NASA%20Johnson/2015 03 19 - NASA Johnson - Space Station Live  Doctor, Flight Surgeon, Astronaut_bOdw2xYBj3g - transcript (automated).pdf","Transcript Link")</f>
        <v>Transcript Link</v>
      </c>
    </row>
    <row r="1453" ht="180" spans="1:13">
      <c r="A1453" s="1" t="s">
        <v>6418</v>
      </c>
      <c r="B1453" s="1" t="s">
        <v>13</v>
      </c>
      <c r="C1453" s="4" t="s">
        <v>6419</v>
      </c>
      <c r="D1453" s="1" t="s">
        <v>6420</v>
      </c>
      <c r="E1453" s="1" t="s">
        <v>6421</v>
      </c>
      <c r="F1453" s="4" t="s">
        <v>17</v>
      </c>
      <c r="G1453" s="1" t="s">
        <v>18</v>
      </c>
      <c r="H1453" s="1" t="s">
        <v>19</v>
      </c>
      <c r="I1453" s="1" t="s">
        <v>20</v>
      </c>
      <c r="J1453" s="1" t="s">
        <v>6422</v>
      </c>
      <c r="K1453" s="1" t="s">
        <v>22</v>
      </c>
      <c r="L1453" s="1" t="str">
        <f>HYPERLINK("https://files.afu.se/Downloads/Transcripts/0%20-%20Government/USA%20-%20NASA%20Johnson/2015 03 18 - NASA Johnson - Astronaut at a Glance  Janet L. Kavandi_czBwx2sbNqo - transcript (automated).pdf","Transcript Link")</f>
        <v>Transcript Link</v>
      </c>
      <c r="M1453" s="2" t="str">
        <f>HYPERLINK("https://files.afu.se/Downloads/Transcripts/0%20-%20Government/USA%20-%20NASA%20Johnson/2015 03 18 - NASA Johnson - Astronaut at a Glance  Janet L. Kavandi_czBwx2sbNqo - transcript (automated).pdf","Transcript Link")</f>
        <v>Transcript Link</v>
      </c>
    </row>
    <row r="1454" ht="180" spans="1:13">
      <c r="A1454" s="1" t="s">
        <v>6418</v>
      </c>
      <c r="B1454" s="1" t="s">
        <v>13</v>
      </c>
      <c r="C1454" s="4" t="s">
        <v>6423</v>
      </c>
      <c r="D1454" s="1" t="s">
        <v>6424</v>
      </c>
      <c r="E1454" s="1" t="s">
        <v>6425</v>
      </c>
      <c r="F1454" s="4" t="s">
        <v>17</v>
      </c>
      <c r="G1454" s="1" t="s">
        <v>18</v>
      </c>
      <c r="H1454" s="1" t="s">
        <v>19</v>
      </c>
      <c r="I1454" s="1" t="s">
        <v>20</v>
      </c>
      <c r="J1454" s="1" t="s">
        <v>6426</v>
      </c>
      <c r="K1454" s="1" t="s">
        <v>22</v>
      </c>
      <c r="L1454" s="1" t="str">
        <f>HYPERLINK("https://files.afu.se/Downloads/Transcripts/0%20-%20Government/USA%20-%20NASA%20Johnson/2015 03 18 - NASA Johnson - Expedition 44 45 crew targets May launch to ISS_nW6oJqsnjY8 - transcript (automated).pdf","Transcript Link")</f>
        <v>Transcript Link</v>
      </c>
      <c r="M1454" s="2" t="str">
        <f>HYPERLINK("https://files.afu.se/Downloads/Transcripts/0%20-%20Government/USA%20-%20NASA%20Johnson/2015 03 18 - NASA Johnson - Expedition 44 45 crew targets May launch to ISS_nW6oJqsnjY8 - transcript (automated).pdf","Transcript Link")</f>
        <v>Transcript Link</v>
      </c>
    </row>
    <row r="1455" ht="180" spans="1:13">
      <c r="A1455" s="1" t="s">
        <v>6427</v>
      </c>
      <c r="B1455" s="1" t="s">
        <v>13</v>
      </c>
      <c r="C1455" s="4" t="s">
        <v>6428</v>
      </c>
      <c r="D1455" s="1" t="s">
        <v>6429</v>
      </c>
      <c r="E1455" s="1" t="s">
        <v>6430</v>
      </c>
      <c r="F1455" s="4" t="s">
        <v>17</v>
      </c>
      <c r="G1455" s="1" t="s">
        <v>18</v>
      </c>
      <c r="H1455" s="1" t="s">
        <v>19</v>
      </c>
      <c r="I1455" s="1" t="s">
        <v>20</v>
      </c>
      <c r="J1455" s="1" t="s">
        <v>6431</v>
      </c>
      <c r="K1455" s="1" t="s">
        <v>22</v>
      </c>
      <c r="L1455" s="1" t="str">
        <f>HYPERLINK("https://files.afu.se/Downloads/Transcripts/0%20-%20Government/USA%20-%20NASA%20Johnson/2015 03 17 - NASA Johnson - Space Station Live  Taking the First Step_8s5pBS9WrMo - transcript (automated).pdf","Transcript Link")</f>
        <v>Transcript Link</v>
      </c>
      <c r="M1455" s="2" t="str">
        <f>HYPERLINK("https://files.afu.se/Downloads/Transcripts/0%20-%20Government/USA%20-%20NASA%20Johnson/2015 03 17 - NASA Johnson - Space Station Live  Taking the First Step_8s5pBS9WrMo - transcript (automated).pdf","Transcript Link")</f>
        <v>Transcript Link</v>
      </c>
    </row>
    <row r="1456" ht="180" spans="1:13">
      <c r="A1456" s="1" t="s">
        <v>6427</v>
      </c>
      <c r="B1456" s="1" t="s">
        <v>13</v>
      </c>
      <c r="C1456" s="4" t="s">
        <v>6432</v>
      </c>
      <c r="D1456" s="1" t="s">
        <v>6433</v>
      </c>
      <c r="E1456" s="1" t="s">
        <v>6434</v>
      </c>
      <c r="F1456" s="4" t="s">
        <v>17</v>
      </c>
      <c r="G1456" s="1" t="s">
        <v>18</v>
      </c>
      <c r="H1456" s="1" t="s">
        <v>19</v>
      </c>
      <c r="I1456" s="1" t="s">
        <v>20</v>
      </c>
      <c r="J1456" s="1" t="s">
        <v>6435</v>
      </c>
      <c r="K1456" s="1" t="s">
        <v>22</v>
      </c>
      <c r="L1456" s="1" t="str">
        <f>HYPERLINK("https://files.afu.se/Downloads/Transcripts/0%20-%20Government/USA%20-%20NASA%20Johnson/2015 03 17 - NASA Johnson - A Moment with Gennady Padalka_girHYV5KnZs - transcript (automated).pdf","Transcript Link")</f>
        <v>Transcript Link</v>
      </c>
      <c r="M1456" s="2" t="str">
        <f>HYPERLINK("https://files.afu.se/Downloads/Transcripts/0%20-%20Government/USA%20-%20NASA%20Johnson/2015 03 17 - NASA Johnson - A Moment with Gennady Padalka_girHYV5KnZs - transcript (automated).pdf","Transcript Link")</f>
        <v>Transcript Link</v>
      </c>
    </row>
    <row r="1457" ht="180" spans="1:13">
      <c r="A1457" s="1" t="s">
        <v>6436</v>
      </c>
      <c r="B1457" s="1" t="s">
        <v>13</v>
      </c>
      <c r="C1457" s="4" t="s">
        <v>6437</v>
      </c>
      <c r="D1457" s="1" t="s">
        <v>6438</v>
      </c>
      <c r="E1457" s="1" t="s">
        <v>6439</v>
      </c>
      <c r="F1457" s="4" t="s">
        <v>17</v>
      </c>
      <c r="G1457" s="1" t="s">
        <v>18</v>
      </c>
      <c r="H1457" s="1" t="s">
        <v>19</v>
      </c>
      <c r="I1457" s="1" t="s">
        <v>20</v>
      </c>
      <c r="J1457" s="1" t="s">
        <v>6440</v>
      </c>
      <c r="K1457" s="1" t="s">
        <v>22</v>
      </c>
      <c r="L1457" s="1" t="str">
        <f>HYPERLINK("https://files.afu.se/Downloads/Transcripts/0%20-%20Government/USA%20-%20NASA%20Johnson/2015 03 16 - NASA Johnson - Space Station Live  The One Year Experiment_HTUuwmscQz0 - transcript (automated).pdf","Transcript Link")</f>
        <v>Transcript Link</v>
      </c>
      <c r="M1457" s="2" t="str">
        <f>HYPERLINK("https://files.afu.se/Downloads/Transcripts/0%20-%20Government/USA%20-%20NASA%20Johnson/2015 03 16 - NASA Johnson - Space Station Live  The One Year Experiment_HTUuwmscQz0 - transcript (automated).pdf","Transcript Link")</f>
        <v>Transcript Link</v>
      </c>
    </row>
    <row r="1458" ht="240" spans="1:13">
      <c r="A1458" s="1" t="s">
        <v>6436</v>
      </c>
      <c r="B1458" s="1" t="s">
        <v>13</v>
      </c>
      <c r="C1458" s="4" t="s">
        <v>6441</v>
      </c>
      <c r="D1458" s="1" t="s">
        <v>6442</v>
      </c>
      <c r="E1458" s="1" t="s">
        <v>6443</v>
      </c>
      <c r="F1458" s="4" t="s">
        <v>17</v>
      </c>
      <c r="G1458" s="1" t="s">
        <v>18</v>
      </c>
      <c r="H1458" s="1" t="s">
        <v>19</v>
      </c>
      <c r="I1458" s="1" t="s">
        <v>20</v>
      </c>
      <c r="J1458" s="1" t="s">
        <v>6444</v>
      </c>
      <c r="K1458" s="1" t="s">
        <v>22</v>
      </c>
      <c r="L1458" s="1" t="str">
        <f>HYPERLINK("https://files.afu.se/Downloads/Transcripts/0%20-%20Government/USA%20-%20NASA%20Johnson/2015 03 16 - NASA Johnson - Expedition 43 Crew Departs for Kazakh Launch Site_CoscDrc0lLw - transcript (automated).pdf","Transcript Link")</f>
        <v>Transcript Link</v>
      </c>
      <c r="M1458" s="2" t="str">
        <f>HYPERLINK("https://files.afu.se/Downloads/Transcripts/0%20-%20Government/USA%20-%20NASA%20Johnson/2015 03 16 - NASA Johnson - Expedition 43 Crew Departs for Kazakh Launch Site_CoscDrc0lLw - transcript (automated).pdf","Transcript Link")</f>
        <v>Transcript Link</v>
      </c>
    </row>
    <row r="1459" ht="240" spans="1:13">
      <c r="A1459" s="1" t="s">
        <v>6445</v>
      </c>
      <c r="B1459" s="1" t="s">
        <v>13</v>
      </c>
      <c r="C1459" s="4" t="s">
        <v>6446</v>
      </c>
      <c r="D1459" s="1" t="s">
        <v>6447</v>
      </c>
      <c r="E1459" s="1" t="s">
        <v>6448</v>
      </c>
      <c r="F1459" s="4" t="s">
        <v>17</v>
      </c>
      <c r="G1459" s="1" t="s">
        <v>18</v>
      </c>
      <c r="H1459" s="1" t="s">
        <v>19</v>
      </c>
      <c r="I1459" s="1" t="s">
        <v>20</v>
      </c>
      <c r="J1459" s="1" t="s">
        <v>6449</v>
      </c>
      <c r="K1459" s="1" t="s">
        <v>22</v>
      </c>
      <c r="L1459" s="1" t="str">
        <f>HYPERLINK("https://files.afu.se/Downloads/Transcripts/0%20-%20Government/USA%20-%20NASA%20Johnson/2015 03 13 - NASA Johnson - Astronaut Barry Wilmore Returns to Houston_0sVdOAvUS4M - transcript (automated).pdf","Transcript Link")</f>
        <v>Transcript Link</v>
      </c>
      <c r="M1459" s="2" t="str">
        <f>HYPERLINK("https://files.afu.se/Downloads/Transcripts/0%20-%20Government/USA%20-%20NASA%20Johnson/2015 03 13 - NASA Johnson - Astronaut Barry Wilmore Returns to Houston_0sVdOAvUS4M - transcript (automated).pdf","Transcript Link")</f>
        <v>Transcript Link</v>
      </c>
    </row>
    <row r="1460" ht="180" spans="1:13">
      <c r="A1460" s="1" t="s">
        <v>6445</v>
      </c>
      <c r="B1460" s="1" t="s">
        <v>13</v>
      </c>
      <c r="C1460" s="4" t="s">
        <v>6450</v>
      </c>
      <c r="D1460" s="1" t="s">
        <v>6451</v>
      </c>
      <c r="E1460" s="1" t="s">
        <v>5059</v>
      </c>
      <c r="F1460" s="4" t="s">
        <v>17</v>
      </c>
      <c r="G1460" s="1" t="s">
        <v>18</v>
      </c>
      <c r="H1460" s="1" t="s">
        <v>19</v>
      </c>
      <c r="I1460" s="1" t="s">
        <v>20</v>
      </c>
      <c r="J1460" s="1" t="s">
        <v>6452</v>
      </c>
      <c r="K1460" s="1" t="s">
        <v>22</v>
      </c>
      <c r="L1460" s="1" t="str">
        <f>HYPERLINK("https://files.afu.se/Downloads/Transcripts/0%20-%20Government/USA%20-%20NASA%20Johnson/2015 03 13 - NASA Johnson - Space to Ground  Back to Earth  3 13 15_WaCK-JiD16Y - transcript (automated).pdf","Transcript Link")</f>
        <v>Transcript Link</v>
      </c>
      <c r="M1460" s="2" t="str">
        <f>HYPERLINK("https://files.afu.se/Downloads/Transcripts/0%20-%20Government/USA%20-%20NASA%20Johnson/2015 03 13 - NASA Johnson - Space to Ground  Back to Earth  3 13 15_WaCK-JiD16Y - transcript (automated).pdf","Transcript Link")</f>
        <v>Transcript Link</v>
      </c>
    </row>
    <row r="1461" ht="180" spans="1:13">
      <c r="A1461" s="1" t="s">
        <v>6453</v>
      </c>
      <c r="B1461" s="1" t="s">
        <v>13</v>
      </c>
      <c r="C1461" s="4" t="s">
        <v>6454</v>
      </c>
      <c r="D1461" s="1" t="s">
        <v>6455</v>
      </c>
      <c r="E1461" s="1" t="s">
        <v>6456</v>
      </c>
      <c r="F1461" s="4" t="s">
        <v>17</v>
      </c>
      <c r="G1461" s="1" t="s">
        <v>18</v>
      </c>
      <c r="H1461" s="1" t="s">
        <v>19</v>
      </c>
      <c r="I1461" s="1" t="s">
        <v>20</v>
      </c>
      <c r="J1461" s="1" t="s">
        <v>6457</v>
      </c>
      <c r="K1461" s="1" t="s">
        <v>22</v>
      </c>
      <c r="L1461" s="1" t="str">
        <f>HYPERLINK("https://files.afu.se/Downloads/Transcripts/0%20-%20Government/USA%20-%20NASA%20Johnson/2015 03 12 - NASA Johnson - A Moment with Scott Kelly_m4RyD18qyjA - transcript (automated).pdf","Transcript Link")</f>
        <v>Transcript Link</v>
      </c>
      <c r="M1461" s="2" t="str">
        <f>HYPERLINK("https://files.afu.se/Downloads/Transcripts/0%20-%20Government/USA%20-%20NASA%20Johnson/2015 03 12 - NASA Johnson - A Moment with Scott Kelly_m4RyD18qyjA - transcript (automated).pdf","Transcript Link")</f>
        <v>Transcript Link</v>
      </c>
    </row>
    <row r="1462" ht="180" spans="1:13">
      <c r="A1462" s="1" t="s">
        <v>6453</v>
      </c>
      <c r="B1462" s="1" t="s">
        <v>13</v>
      </c>
      <c r="C1462" s="4" t="s">
        <v>6458</v>
      </c>
      <c r="D1462" s="1" t="s">
        <v>6459</v>
      </c>
      <c r="E1462" s="1" t="s">
        <v>6460</v>
      </c>
      <c r="F1462" s="4" t="s">
        <v>17</v>
      </c>
      <c r="G1462" s="1" t="s">
        <v>18</v>
      </c>
      <c r="H1462" s="1" t="s">
        <v>19</v>
      </c>
      <c r="I1462" s="1" t="s">
        <v>20</v>
      </c>
      <c r="J1462" s="1" t="s">
        <v>6461</v>
      </c>
      <c r="K1462" s="1" t="s">
        <v>22</v>
      </c>
      <c r="L1462" s="1" t="str">
        <f>HYPERLINK("https://files.afu.se/Downloads/Transcripts/0%20-%20Government/USA%20-%20NASA%20Johnson/2015 03 12 - NASA Johnson - A Moment with Mikhail Kornienko_o2Qsn3FYGwk - transcript (automated).pdf","Transcript Link")</f>
        <v>Transcript Link</v>
      </c>
      <c r="M1462" s="2" t="str">
        <f>HYPERLINK("https://files.afu.se/Downloads/Transcripts/0%20-%20Government/USA%20-%20NASA%20Johnson/2015 03 12 - NASA Johnson - A Moment with Mikhail Kornienko_o2Qsn3FYGwk - transcript (automated).pdf","Transcript Link")</f>
        <v>Transcript Link</v>
      </c>
    </row>
    <row r="1463" ht="180" spans="1:13">
      <c r="A1463" s="1" t="s">
        <v>6453</v>
      </c>
      <c r="B1463" s="1" t="s">
        <v>13</v>
      </c>
      <c r="C1463" s="4" t="s">
        <v>6462</v>
      </c>
      <c r="D1463" s="1" t="s">
        <v>6463</v>
      </c>
      <c r="E1463" s="1" t="s">
        <v>6464</v>
      </c>
      <c r="F1463" s="4" t="s">
        <v>17</v>
      </c>
      <c r="G1463" s="1" t="s">
        <v>18</v>
      </c>
      <c r="H1463" s="1" t="s">
        <v>19</v>
      </c>
      <c r="I1463" s="1" t="s">
        <v>20</v>
      </c>
      <c r="J1463" s="1" t="s">
        <v>6465</v>
      </c>
      <c r="K1463" s="1" t="s">
        <v>22</v>
      </c>
      <c r="L1463" s="1" t="str">
        <f>HYPERLINK("https://files.afu.se/Downloads/Transcripts/0%20-%20Government/USA%20-%20NASA%20Johnson/2015 03 12 - NASA Johnson - Space Station Live  Shooting the Moon_MYSKlDGJLUY - transcript (automated).pdf","Transcript Link")</f>
        <v>Transcript Link</v>
      </c>
      <c r="M1463" s="2" t="str">
        <f>HYPERLINK("https://files.afu.se/Downloads/Transcripts/0%20-%20Government/USA%20-%20NASA%20Johnson/2015 03 12 - NASA Johnson - Space Station Live  Shooting the Moon_MYSKlDGJLUY - transcript (automated).pdf","Transcript Link")</f>
        <v>Transcript Link</v>
      </c>
    </row>
    <row r="1464" ht="240" spans="1:13">
      <c r="A1464" s="1" t="s">
        <v>6453</v>
      </c>
      <c r="B1464" s="1" t="s">
        <v>13</v>
      </c>
      <c r="C1464" s="4" t="s">
        <v>6466</v>
      </c>
      <c r="D1464" s="1" t="s">
        <v>6467</v>
      </c>
      <c r="E1464" s="1" t="s">
        <v>6468</v>
      </c>
      <c r="F1464" s="4" t="s">
        <v>17</v>
      </c>
      <c r="G1464" s="1" t="s">
        <v>18</v>
      </c>
      <c r="H1464" s="1" t="s">
        <v>19</v>
      </c>
      <c r="I1464" s="1" t="s">
        <v>20</v>
      </c>
      <c r="J1464" s="1" t="s">
        <v>6469</v>
      </c>
      <c r="K1464" s="1" t="s">
        <v>22</v>
      </c>
      <c r="L1464" s="1" t="str">
        <f>HYPERLINK("https://files.afu.se/Downloads/Transcripts/0%20-%20Government/USA%20-%20NASA%20Johnson/2015 03 12 - NASA Johnson - Expedition 42 Crew Arrives In Kazakhstan_kjLlGkGmUY4 - transcript (automated).pdf","Transcript Link")</f>
        <v>Transcript Link</v>
      </c>
      <c r="M1464" s="2" t="str">
        <f>HYPERLINK("https://files.afu.se/Downloads/Transcripts/0%20-%20Government/USA%20-%20NASA%20Johnson/2015 03 12 - NASA Johnson - Expedition 42 Crew Arrives In Kazakhstan_kjLlGkGmUY4 - transcript (automated).pdf","Transcript Link")</f>
        <v>Transcript Link</v>
      </c>
    </row>
    <row r="1465" ht="180" spans="1:13">
      <c r="A1465" s="1" t="s">
        <v>6453</v>
      </c>
      <c r="B1465" s="1" t="s">
        <v>13</v>
      </c>
      <c r="C1465" s="4" t="s">
        <v>6470</v>
      </c>
      <c r="D1465" s="1" t="s">
        <v>6471</v>
      </c>
      <c r="E1465" s="1" t="s">
        <v>6472</v>
      </c>
      <c r="F1465" s="4" t="s">
        <v>17</v>
      </c>
      <c r="G1465" s="1" t="s">
        <v>18</v>
      </c>
      <c r="H1465" s="1" t="s">
        <v>19</v>
      </c>
      <c r="I1465" s="1" t="s">
        <v>20</v>
      </c>
      <c r="J1465" s="1" t="s">
        <v>6473</v>
      </c>
      <c r="K1465" s="1" t="s">
        <v>22</v>
      </c>
      <c r="L1465" s="1" t="str">
        <f>HYPERLINK("https://files.afu.se/Downloads/Transcripts/0%20-%20Government/USA%20-%20NASA%20Johnson/2015 03 12 - NASA Johnson - Astronaut at a Glance  Nicole Mann_MAX4ELjNs9Y - transcript (automated).pdf","Transcript Link")</f>
        <v>Transcript Link</v>
      </c>
      <c r="M1465" s="2" t="str">
        <f>HYPERLINK("https://files.afu.se/Downloads/Transcripts/0%20-%20Government/USA%20-%20NASA%20Johnson/2015 03 12 - NASA Johnson - Astronaut at a Glance  Nicole Mann_MAX4ELjNs9Y - transcript (automated).pdf","Transcript Link")</f>
        <v>Transcript Link</v>
      </c>
    </row>
    <row r="1466" ht="180" spans="1:13">
      <c r="A1466" s="1" t="s">
        <v>6453</v>
      </c>
      <c r="B1466" s="1" t="s">
        <v>13</v>
      </c>
      <c r="C1466" s="4" t="s">
        <v>6474</v>
      </c>
      <c r="D1466" s="1" t="s">
        <v>6475</v>
      </c>
      <c r="E1466" s="1" t="s">
        <v>6476</v>
      </c>
      <c r="F1466" s="4" t="s">
        <v>17</v>
      </c>
      <c r="G1466" s="1" t="s">
        <v>18</v>
      </c>
      <c r="H1466" s="1" t="s">
        <v>19</v>
      </c>
      <c r="I1466" s="1" t="s">
        <v>20</v>
      </c>
      <c r="J1466" s="1" t="s">
        <v>6477</v>
      </c>
      <c r="K1466" s="1" t="s">
        <v>22</v>
      </c>
      <c r="L1466" s="1" t="str">
        <f>HYPERLINK("https://files.afu.se/Downloads/Transcripts/0%20-%20Government/USA%20-%20NASA%20Johnson/2015 03 12 - NASA Johnson - Astronaut at a Glance  Nick Hague_O2KDr8IpLsc - transcript (automated).pdf","Transcript Link")</f>
        <v>Transcript Link</v>
      </c>
      <c r="M1466" s="2" t="str">
        <f>HYPERLINK("https://files.afu.se/Downloads/Transcripts/0%20-%20Government/USA%20-%20NASA%20Johnson/2015 03 12 - NASA Johnson - Astronaut at a Glance  Nick Hague_O2KDr8IpLsc - transcript (automated).pdf","Transcript Link")</f>
        <v>Transcript Link</v>
      </c>
    </row>
    <row r="1467" ht="180" spans="1:13">
      <c r="A1467" s="1" t="s">
        <v>6453</v>
      </c>
      <c r="B1467" s="1" t="s">
        <v>13</v>
      </c>
      <c r="C1467" s="4" t="s">
        <v>6478</v>
      </c>
      <c r="D1467" s="1" t="s">
        <v>6479</v>
      </c>
      <c r="E1467" s="1" t="s">
        <v>6480</v>
      </c>
      <c r="F1467" s="4" t="s">
        <v>17</v>
      </c>
      <c r="G1467" s="1" t="s">
        <v>18</v>
      </c>
      <c r="H1467" s="1" t="s">
        <v>19</v>
      </c>
      <c r="I1467" s="1" t="s">
        <v>20</v>
      </c>
      <c r="J1467" s="1" t="s">
        <v>6481</v>
      </c>
      <c r="K1467" s="1" t="s">
        <v>22</v>
      </c>
      <c r="L1467" s="1" t="str">
        <f>HYPERLINK("https://files.afu.se/Downloads/Transcripts/0%20-%20Government/USA%20-%20NASA%20Johnson/2015 03 12 - NASA Johnson - Astronaut at a Glance  Victor Glover_VZEVxnSLFic - transcript (automated).pdf","Transcript Link")</f>
        <v>Transcript Link</v>
      </c>
      <c r="M1467" s="2" t="str">
        <f>HYPERLINK("https://files.afu.se/Downloads/Transcripts/0%20-%20Government/USA%20-%20NASA%20Johnson/2015 03 12 - NASA Johnson - Astronaut at a Glance  Victor Glover_VZEVxnSLFic - transcript (automated).pdf","Transcript Link")</f>
        <v>Transcript Link</v>
      </c>
    </row>
    <row r="1468" ht="180" spans="1:13">
      <c r="A1468" s="1" t="s">
        <v>6453</v>
      </c>
      <c r="B1468" s="1" t="s">
        <v>13</v>
      </c>
      <c r="C1468" s="4" t="s">
        <v>6482</v>
      </c>
      <c r="D1468" s="1" t="s">
        <v>6483</v>
      </c>
      <c r="E1468" s="1" t="s">
        <v>6484</v>
      </c>
      <c r="F1468" s="4" t="s">
        <v>17</v>
      </c>
      <c r="G1468" s="1" t="s">
        <v>18</v>
      </c>
      <c r="H1468" s="1" t="s">
        <v>19</v>
      </c>
      <c r="I1468" s="1" t="s">
        <v>20</v>
      </c>
      <c r="J1468" s="1" t="s">
        <v>6485</v>
      </c>
      <c r="K1468" s="1" t="s">
        <v>22</v>
      </c>
      <c r="L1468" s="1" t="str">
        <f>HYPERLINK("https://files.afu.se/Downloads/Transcripts/0%20-%20Government/USA%20-%20NASA%20Johnson/2015 03 12 - NASA Johnson - Astronaut at a Glance  Anne McClain_YI3dC0HvE2Q - transcript (automated).pdf","Transcript Link")</f>
        <v>Transcript Link</v>
      </c>
      <c r="M1468" s="2" t="str">
        <f>HYPERLINK("https://files.afu.se/Downloads/Transcripts/0%20-%20Government/USA%20-%20NASA%20Johnson/2015 03 12 - NASA Johnson - Astronaut at a Glance  Anne McClain_YI3dC0HvE2Q - transcript (automated).pdf","Transcript Link")</f>
        <v>Transcript Link</v>
      </c>
    </row>
    <row r="1469" ht="180" spans="1:13">
      <c r="A1469" s="1" t="s">
        <v>6453</v>
      </c>
      <c r="B1469" s="1" t="s">
        <v>13</v>
      </c>
      <c r="C1469" s="4" t="s">
        <v>6486</v>
      </c>
      <c r="D1469" s="1" t="s">
        <v>6487</v>
      </c>
      <c r="E1469" s="1" t="s">
        <v>6488</v>
      </c>
      <c r="F1469" s="4" t="s">
        <v>17</v>
      </c>
      <c r="G1469" s="1" t="s">
        <v>18</v>
      </c>
      <c r="H1469" s="1" t="s">
        <v>19</v>
      </c>
      <c r="I1469" s="1" t="s">
        <v>20</v>
      </c>
      <c r="J1469" s="1" t="s">
        <v>6489</v>
      </c>
      <c r="K1469" s="1" t="s">
        <v>22</v>
      </c>
      <c r="L1469" s="1" t="str">
        <f>HYPERLINK("https://files.afu.se/Downloads/Transcripts/0%20-%20Government/USA%20-%20NASA%20Johnson/2015 03 12 - NASA Johnson - Astronaut at a Glance  Jessica Meir_cYFSKM1FobA - transcript (automated).pdf","Transcript Link")</f>
        <v>Transcript Link</v>
      </c>
      <c r="M1469" s="2" t="str">
        <f>HYPERLINK("https://files.afu.se/Downloads/Transcripts/0%20-%20Government/USA%20-%20NASA%20Johnson/2015 03 12 - NASA Johnson - Astronaut at a Glance  Jessica Meir_cYFSKM1FobA - transcript (automated).pdf","Transcript Link")</f>
        <v>Transcript Link</v>
      </c>
    </row>
    <row r="1470" ht="180" spans="1:13">
      <c r="A1470" s="1" t="s">
        <v>6453</v>
      </c>
      <c r="B1470" s="1" t="s">
        <v>13</v>
      </c>
      <c r="C1470" s="4" t="s">
        <v>6490</v>
      </c>
      <c r="D1470" s="1" t="s">
        <v>6491</v>
      </c>
      <c r="E1470" s="1" t="s">
        <v>6492</v>
      </c>
      <c r="F1470" s="4" t="s">
        <v>17</v>
      </c>
      <c r="G1470" s="1" t="s">
        <v>18</v>
      </c>
      <c r="H1470" s="1" t="s">
        <v>19</v>
      </c>
      <c r="I1470" s="1" t="s">
        <v>20</v>
      </c>
      <c r="J1470" s="1" t="s">
        <v>6493</v>
      </c>
      <c r="K1470" s="1" t="s">
        <v>22</v>
      </c>
      <c r="L1470" s="1" t="str">
        <f>HYPERLINK("https://files.afu.se/Downloads/Transcripts/0%20-%20Government/USA%20-%20NASA%20Johnson/2015 03 12 - NASA Johnson - Astronaut at a Glance  Josh Cassada_suFK3GY9voE - transcript (automated).pdf","Transcript Link")</f>
        <v>Transcript Link</v>
      </c>
      <c r="M1470" s="2" t="str">
        <f>HYPERLINK("https://files.afu.se/Downloads/Transcripts/0%20-%20Government/USA%20-%20NASA%20Johnson/2015 03 12 - NASA Johnson - Astronaut at a Glance  Josh Cassada_suFK3GY9voE - transcript (automated).pdf","Transcript Link")</f>
        <v>Transcript Link</v>
      </c>
    </row>
    <row r="1471" ht="180" spans="1:13">
      <c r="A1471" s="1" t="s">
        <v>6453</v>
      </c>
      <c r="B1471" s="1" t="s">
        <v>13</v>
      </c>
      <c r="C1471" s="4" t="s">
        <v>6494</v>
      </c>
      <c r="D1471" s="1" t="s">
        <v>6495</v>
      </c>
      <c r="E1471" s="1" t="s">
        <v>6496</v>
      </c>
      <c r="F1471" s="4" t="s">
        <v>17</v>
      </c>
      <c r="G1471" s="1" t="s">
        <v>18</v>
      </c>
      <c r="H1471" s="1" t="s">
        <v>19</v>
      </c>
      <c r="I1471" s="1" t="s">
        <v>20</v>
      </c>
      <c r="J1471" s="1" t="s">
        <v>6497</v>
      </c>
      <c r="K1471" s="1" t="s">
        <v>22</v>
      </c>
      <c r="L1471" s="1" t="str">
        <f>HYPERLINK("https://files.afu.se/Downloads/Transcripts/0%20-%20Government/USA%20-%20NASA%20Johnson/2015 03 12 - NASA Johnson - Astronaut at a Glance  Christina Hammock Koch_wjGylXnoVo8 - transcript (automated).pdf","Transcript Link")</f>
        <v>Transcript Link</v>
      </c>
      <c r="M1471" s="2" t="str">
        <f>HYPERLINK("https://files.afu.se/Downloads/Transcripts/0%20-%20Government/USA%20-%20NASA%20Johnson/2015 03 12 - NASA Johnson - Astronaut at a Glance  Christina Hammock Koch_wjGylXnoVo8 - transcript (automated).pdf","Transcript Link")</f>
        <v>Transcript Link</v>
      </c>
    </row>
    <row r="1472" ht="285" spans="1:13">
      <c r="A1472" s="1" t="s">
        <v>6453</v>
      </c>
      <c r="B1472" s="1" t="s">
        <v>13</v>
      </c>
      <c r="C1472" s="4" t="s">
        <v>6498</v>
      </c>
      <c r="D1472" s="1" t="s">
        <v>6499</v>
      </c>
      <c r="E1472" s="1" t="s">
        <v>6500</v>
      </c>
      <c r="F1472" s="4" t="s">
        <v>17</v>
      </c>
      <c r="G1472" s="1" t="s">
        <v>18</v>
      </c>
      <c r="H1472" s="1" t="s">
        <v>19</v>
      </c>
      <c r="I1472" s="1" t="s">
        <v>20</v>
      </c>
      <c r="J1472" s="1" t="s">
        <v>6501</v>
      </c>
      <c r="K1472" s="1" t="s">
        <v>22</v>
      </c>
      <c r="L1472" s="1" t="str">
        <f>HYPERLINK("https://files.afu.se/Downloads/Transcripts/0%20-%20Government/USA%20-%20NASA%20Johnson/2015 03 12 - NASA Johnson - Expedition 42  Heading Home_JhnDJmY3hYY - transcript (automated).pdf","Transcript Link")</f>
        <v>Transcript Link</v>
      </c>
      <c r="M1472" s="2" t="str">
        <f>HYPERLINK("https://files.afu.se/Downloads/Transcripts/0%20-%20Government/USA%20-%20NASA%20Johnson/2015 03 12 - NASA Johnson - Expedition 42  Heading Home_JhnDJmY3hYY - transcript (automated).pdf","Transcript Link")</f>
        <v>Transcript Link</v>
      </c>
    </row>
    <row r="1473" ht="180" spans="1:13">
      <c r="A1473" s="1" t="s">
        <v>6502</v>
      </c>
      <c r="B1473" s="1" t="s">
        <v>13</v>
      </c>
      <c r="C1473" s="4" t="s">
        <v>6503</v>
      </c>
      <c r="D1473" s="1" t="s">
        <v>6504</v>
      </c>
      <c r="E1473" s="1" t="s">
        <v>6505</v>
      </c>
      <c r="F1473" s="4" t="s">
        <v>17</v>
      </c>
      <c r="G1473" s="1" t="s">
        <v>18</v>
      </c>
      <c r="H1473" s="1" t="s">
        <v>19</v>
      </c>
      <c r="I1473" s="1" t="s">
        <v>20</v>
      </c>
      <c r="J1473" s="1" t="s">
        <v>6506</v>
      </c>
      <c r="K1473" s="1" t="s">
        <v>22</v>
      </c>
      <c r="L1473" s="1" t="str">
        <f>HYPERLINK("https://files.afu.se/Downloads/Transcripts/0%20-%20Government/USA%20-%20NASA%20Johnson/2015 03 11 - NASA Johnson - Space Station Live  All-Access Science Pass_WKkwrF6ngxQ - transcript (automated).pdf","Transcript Link")</f>
        <v>Transcript Link</v>
      </c>
      <c r="M1473" s="2" t="str">
        <f>HYPERLINK("https://files.afu.se/Downloads/Transcripts/0%20-%20Government/USA%20-%20NASA%20Johnson/2015 03 11 - NASA Johnson - Space Station Live  All-Access Science Pass_WKkwrF6ngxQ - transcript (automated).pdf","Transcript Link")</f>
        <v>Transcript Link</v>
      </c>
    </row>
    <row r="1474" ht="180" spans="1:13">
      <c r="A1474" s="1" t="s">
        <v>6502</v>
      </c>
      <c r="B1474" s="1" t="s">
        <v>13</v>
      </c>
      <c r="C1474" s="4" t="s">
        <v>6507</v>
      </c>
      <c r="D1474" s="1" t="s">
        <v>6508</v>
      </c>
      <c r="E1474" s="1" t="s">
        <v>6509</v>
      </c>
      <c r="F1474" s="4" t="s">
        <v>17</v>
      </c>
      <c r="G1474" s="1" t="s">
        <v>18</v>
      </c>
      <c r="H1474" s="1" t="s">
        <v>19</v>
      </c>
      <c r="I1474" s="1" t="s">
        <v>20</v>
      </c>
      <c r="J1474" s="1" t="s">
        <v>6510</v>
      </c>
      <c r="K1474" s="1" t="s">
        <v>22</v>
      </c>
      <c r="L1474" s="1" t="str">
        <f>HYPERLINK("https://files.afu.se/Downloads/Transcripts/0%20-%20Government/USA%20-%20NASA%20Johnson/2015 03 11 - NASA Johnson - Astronaut at a Glance  Nicole Stott_DlTcqHNHIFM - transcript (automated).pdf","Transcript Link")</f>
        <v>Transcript Link</v>
      </c>
      <c r="M1474" s="2" t="str">
        <f>HYPERLINK("https://files.afu.se/Downloads/Transcripts/0%20-%20Government/USA%20-%20NASA%20Johnson/2015 03 11 - NASA Johnson - Astronaut at a Glance  Nicole Stott_DlTcqHNHIFM - transcript (automated).pdf","Transcript Link")</f>
        <v>Transcript Link</v>
      </c>
    </row>
    <row r="1475" ht="180" spans="1:13">
      <c r="A1475" s="1" t="s">
        <v>6502</v>
      </c>
      <c r="B1475" s="1" t="s">
        <v>13</v>
      </c>
      <c r="C1475" s="4" t="s">
        <v>6511</v>
      </c>
      <c r="D1475" s="1" t="s">
        <v>6512</v>
      </c>
      <c r="E1475" s="1" t="s">
        <v>6513</v>
      </c>
      <c r="F1475" s="4" t="s">
        <v>17</v>
      </c>
      <c r="G1475" s="1" t="s">
        <v>18</v>
      </c>
      <c r="H1475" s="1" t="s">
        <v>19</v>
      </c>
      <c r="I1475" s="1" t="s">
        <v>20</v>
      </c>
      <c r="J1475" s="1" t="s">
        <v>6514</v>
      </c>
      <c r="K1475" s="1" t="s">
        <v>22</v>
      </c>
      <c r="L1475" s="1" t="str">
        <f>HYPERLINK("https://files.afu.se/Downloads/Transcripts/0%20-%20Government/USA%20-%20NASA%20Johnson/2015 03 11 - NASA Johnson - Astronaut at a Glance  Sunita Williams_bziJYKOL-_U - transcript (automated).pdf","Transcript Link")</f>
        <v>Transcript Link</v>
      </c>
      <c r="M1475" s="2" t="str">
        <f>HYPERLINK("https://files.afu.se/Downloads/Transcripts/0%20-%20Government/USA%20-%20NASA%20Johnson/2015 03 11 - NASA Johnson - Astronaut at a Glance  Sunita Williams_bziJYKOL-_U - transcript (automated).pdf","Transcript Link")</f>
        <v>Transcript Link</v>
      </c>
    </row>
    <row r="1476" ht="180" spans="1:13">
      <c r="A1476" s="1" t="s">
        <v>6502</v>
      </c>
      <c r="B1476" s="1" t="s">
        <v>13</v>
      </c>
      <c r="C1476" s="4" t="s">
        <v>6515</v>
      </c>
      <c r="D1476" s="1" t="s">
        <v>6516</v>
      </c>
      <c r="E1476" s="1" t="s">
        <v>6517</v>
      </c>
      <c r="F1476" s="4" t="s">
        <v>17</v>
      </c>
      <c r="G1476" s="1" t="s">
        <v>18</v>
      </c>
      <c r="H1476" s="1" t="s">
        <v>19</v>
      </c>
      <c r="I1476" s="1" t="s">
        <v>20</v>
      </c>
      <c r="J1476" s="1" t="s">
        <v>6518</v>
      </c>
      <c r="K1476" s="1" t="s">
        <v>22</v>
      </c>
      <c r="L1476" s="1" t="str">
        <f>HYPERLINK("https://files.afu.se/Downloads/Transcripts/0%20-%20Government/USA%20-%20NASA%20Johnson/2015 03 11 - NASA Johnson - Astronaut at a Glance  Christopher Cassidy_ia3IN-c_frg - transcript (automated).pdf","Transcript Link")</f>
        <v>Transcript Link</v>
      </c>
      <c r="M1476" s="2" t="str">
        <f>HYPERLINK("https://files.afu.se/Downloads/Transcripts/0%20-%20Government/USA%20-%20NASA%20Johnson/2015 03 11 - NASA Johnson - Astronaut at a Glance  Christopher Cassidy_ia3IN-c_frg - transcript (automated).pdf","Transcript Link")</f>
        <v>Transcript Link</v>
      </c>
    </row>
    <row r="1477" ht="180" spans="1:13">
      <c r="A1477" s="1" t="s">
        <v>6502</v>
      </c>
      <c r="B1477" s="1" t="s">
        <v>13</v>
      </c>
      <c r="C1477" s="4" t="s">
        <v>6519</v>
      </c>
      <c r="D1477" s="1" t="s">
        <v>6520</v>
      </c>
      <c r="E1477" s="1" t="s">
        <v>6521</v>
      </c>
      <c r="F1477" s="4" t="s">
        <v>17</v>
      </c>
      <c r="G1477" s="1" t="s">
        <v>18</v>
      </c>
      <c r="H1477" s="1" t="s">
        <v>19</v>
      </c>
      <c r="I1477" s="1" t="s">
        <v>20</v>
      </c>
      <c r="J1477" s="1" t="s">
        <v>6522</v>
      </c>
      <c r="K1477" s="1" t="s">
        <v>22</v>
      </c>
      <c r="L1477" s="1" t="str">
        <f>HYPERLINK("https://files.afu.se/Downloads/Transcripts/0%20-%20Government/USA%20-%20NASA%20Johnson/2015 03 11 - NASA Johnson - Astronaut at a Glance  Rex J. Walheim_F8AHLyOKwAU - transcript (automated).pdf","Transcript Link")</f>
        <v>Transcript Link</v>
      </c>
      <c r="M1477" s="2" t="str">
        <f>HYPERLINK("https://files.afu.se/Downloads/Transcripts/0%20-%20Government/USA%20-%20NASA%20Johnson/2015 03 11 - NASA Johnson - Astronaut at a Glance  Rex J. Walheim_F8AHLyOKwAU - transcript (automated).pdf","Transcript Link")</f>
        <v>Transcript Link</v>
      </c>
    </row>
    <row r="1478" ht="180" spans="1:13">
      <c r="A1478" s="1" t="s">
        <v>6502</v>
      </c>
      <c r="B1478" s="1" t="s">
        <v>13</v>
      </c>
      <c r="C1478" s="4" t="s">
        <v>6523</v>
      </c>
      <c r="D1478" s="1" t="s">
        <v>6524</v>
      </c>
      <c r="E1478" s="1" t="s">
        <v>6525</v>
      </c>
      <c r="F1478" s="4" t="s">
        <v>17</v>
      </c>
      <c r="G1478" s="1" t="s">
        <v>18</v>
      </c>
      <c r="H1478" s="1" t="s">
        <v>19</v>
      </c>
      <c r="I1478" s="1" t="s">
        <v>20</v>
      </c>
      <c r="J1478" s="1" t="s">
        <v>6526</v>
      </c>
      <c r="K1478" s="1" t="s">
        <v>22</v>
      </c>
      <c r="L1478" s="1" t="str">
        <f>HYPERLINK("https://files.afu.se/Downloads/Transcripts/0%20-%20Government/USA%20-%20NASA%20Johnson/2015 03 11 - NASA Johnson - Astronaut at a Glance  Catherine Coleman_MbEjFGeazOo - transcript (automated).pdf","Transcript Link")</f>
        <v>Transcript Link</v>
      </c>
      <c r="M1478" s="2" t="str">
        <f>HYPERLINK("https://files.afu.se/Downloads/Transcripts/0%20-%20Government/USA%20-%20NASA%20Johnson/2015 03 11 - NASA Johnson - Astronaut at a Glance  Catherine Coleman_MbEjFGeazOo - transcript (automated).pdf","Transcript Link")</f>
        <v>Transcript Link</v>
      </c>
    </row>
    <row r="1479" ht="180" spans="1:13">
      <c r="A1479" s="1" t="s">
        <v>6502</v>
      </c>
      <c r="B1479" s="1" t="s">
        <v>13</v>
      </c>
      <c r="C1479" s="4" t="s">
        <v>6527</v>
      </c>
      <c r="D1479" s="1" t="s">
        <v>6528</v>
      </c>
      <c r="E1479" s="1" t="s">
        <v>6529</v>
      </c>
      <c r="F1479" s="4" t="s">
        <v>17</v>
      </c>
      <c r="G1479" s="1" t="s">
        <v>18</v>
      </c>
      <c r="H1479" s="1" t="s">
        <v>19</v>
      </c>
      <c r="I1479" s="1" t="s">
        <v>20</v>
      </c>
      <c r="J1479" s="1" t="s">
        <v>6530</v>
      </c>
      <c r="K1479" s="1" t="s">
        <v>22</v>
      </c>
      <c r="L1479" s="1" t="str">
        <f>HYPERLINK("https://files.afu.se/Downloads/Transcripts/0%20-%20Government/USA%20-%20NASA%20Johnson/2015 03 11 - NASA Johnson - Astronaut at a Glance  Eric Boe_PjddUTgHkCo - transcript (automated).pdf","Transcript Link")</f>
        <v>Transcript Link</v>
      </c>
      <c r="M1479" s="2" t="str">
        <f>HYPERLINK("https://files.afu.se/Downloads/Transcripts/0%20-%20Government/USA%20-%20NASA%20Johnson/2015 03 11 - NASA Johnson - Astronaut at a Glance  Eric Boe_PjddUTgHkCo - transcript (automated).pdf","Transcript Link")</f>
        <v>Transcript Link</v>
      </c>
    </row>
    <row r="1480" ht="180" spans="1:13">
      <c r="A1480" s="1" t="s">
        <v>6502</v>
      </c>
      <c r="B1480" s="1" t="s">
        <v>13</v>
      </c>
      <c r="C1480" s="4" t="s">
        <v>6531</v>
      </c>
      <c r="D1480" s="1" t="s">
        <v>6532</v>
      </c>
      <c r="E1480" s="1" t="s">
        <v>6533</v>
      </c>
      <c r="F1480" s="4" t="s">
        <v>17</v>
      </c>
      <c r="G1480" s="1" t="s">
        <v>18</v>
      </c>
      <c r="H1480" s="1" t="s">
        <v>19</v>
      </c>
      <c r="I1480" s="1" t="s">
        <v>20</v>
      </c>
      <c r="J1480" s="1" t="s">
        <v>6534</v>
      </c>
      <c r="K1480" s="1" t="s">
        <v>22</v>
      </c>
      <c r="L1480" s="1" t="str">
        <f>HYPERLINK("https://files.afu.se/Downloads/Transcripts/0%20-%20Government/USA%20-%20NASA%20Johnson/2015 03 11 - NASA Johnson - Astronaut at a Glance  Thomas Marshburn_cOybEqMmmNs - transcript (automated).pdf","Transcript Link")</f>
        <v>Transcript Link</v>
      </c>
      <c r="M1480" s="2" t="str">
        <f>HYPERLINK("https://files.afu.se/Downloads/Transcripts/0%20-%20Government/USA%20-%20NASA%20Johnson/2015 03 11 - NASA Johnson - Astronaut at a Glance  Thomas Marshburn_cOybEqMmmNs - transcript (automated).pdf","Transcript Link")</f>
        <v>Transcript Link</v>
      </c>
    </row>
    <row r="1481" ht="180" spans="1:13">
      <c r="A1481" s="1" t="s">
        <v>6502</v>
      </c>
      <c r="B1481" s="1" t="s">
        <v>13</v>
      </c>
      <c r="C1481" s="4" t="s">
        <v>6535</v>
      </c>
      <c r="D1481" s="1" t="s">
        <v>6536</v>
      </c>
      <c r="E1481" s="1" t="s">
        <v>6537</v>
      </c>
      <c r="F1481" s="4" t="s">
        <v>17</v>
      </c>
      <c r="G1481" s="1" t="s">
        <v>18</v>
      </c>
      <c r="H1481" s="1" t="s">
        <v>19</v>
      </c>
      <c r="I1481" s="1" t="s">
        <v>20</v>
      </c>
      <c r="J1481" s="1" t="s">
        <v>6538</v>
      </c>
      <c r="K1481" s="1" t="s">
        <v>22</v>
      </c>
      <c r="L1481" s="1" t="str">
        <f>HYPERLINK("https://files.afu.se/Downloads/Transcripts/0%20-%20Government/USA%20-%20NASA%20Johnson/2015 03 11 - NASA Johnson - Astronaut at a Glance  Robert L. Behnken_eRHbtQI5S1Y - transcript (automated).pdf","Transcript Link")</f>
        <v>Transcript Link</v>
      </c>
      <c r="M1481" s="2" t="str">
        <f>HYPERLINK("https://files.afu.se/Downloads/Transcripts/0%20-%20Government/USA%20-%20NASA%20Johnson/2015 03 11 - NASA Johnson - Astronaut at a Glance  Robert L. Behnken_eRHbtQI5S1Y - transcript (automated).pdf","Transcript Link")</f>
        <v>Transcript Link</v>
      </c>
    </row>
    <row r="1482" ht="180" spans="1:13">
      <c r="A1482" s="1" t="s">
        <v>6539</v>
      </c>
      <c r="B1482" s="1" t="s">
        <v>13</v>
      </c>
      <c r="C1482" s="4" t="s">
        <v>6540</v>
      </c>
      <c r="D1482" s="1" t="s">
        <v>6541</v>
      </c>
      <c r="E1482" s="1" t="s">
        <v>6542</v>
      </c>
      <c r="F1482" s="4" t="s">
        <v>17</v>
      </c>
      <c r="G1482" s="1" t="s">
        <v>18</v>
      </c>
      <c r="H1482" s="1" t="s">
        <v>19</v>
      </c>
      <c r="I1482" s="1" t="s">
        <v>20</v>
      </c>
      <c r="J1482" s="1" t="s">
        <v>6543</v>
      </c>
      <c r="K1482" s="1" t="s">
        <v>22</v>
      </c>
      <c r="L1482" s="1" t="str">
        <f>HYPERLINK("https://files.afu.se/Downloads/Transcripts/0%20-%20Government/USA%20-%20NASA%20Johnson/2015 03 10 - NASA Johnson - Monthly ISS Research Video Update for March 2015_gaqy8L95Ztg - transcript (automated).pdf","Transcript Link")</f>
        <v>Transcript Link</v>
      </c>
      <c r="M1482" s="2" t="str">
        <f>HYPERLINK("https://files.afu.se/Downloads/Transcripts/0%20-%20Government/USA%20-%20NASA%20Johnson/2015 03 10 - NASA Johnson - Monthly ISS Research Video Update for March 2015_gaqy8L95Ztg - transcript (automated).pdf","Transcript Link")</f>
        <v>Transcript Link</v>
      </c>
    </row>
    <row r="1483" ht="180" spans="1:13">
      <c r="A1483" s="1" t="s">
        <v>6544</v>
      </c>
      <c r="B1483" s="1" t="s">
        <v>13</v>
      </c>
      <c r="C1483" s="4" t="s">
        <v>6545</v>
      </c>
      <c r="D1483" s="1" t="s">
        <v>6546</v>
      </c>
      <c r="E1483" s="1" t="s">
        <v>6547</v>
      </c>
      <c r="F1483" s="4" t="s">
        <v>17</v>
      </c>
      <c r="G1483" s="1" t="s">
        <v>18</v>
      </c>
      <c r="H1483" s="1" t="s">
        <v>19</v>
      </c>
      <c r="I1483" s="1" t="s">
        <v>20</v>
      </c>
      <c r="J1483" s="1" t="s">
        <v>6548</v>
      </c>
      <c r="K1483" s="1" t="s">
        <v>22</v>
      </c>
      <c r="L1483" s="1" t="str">
        <f>HYPERLINK("https://files.afu.se/Downloads/Transcripts/0%20-%20Government/USA%20-%20NASA%20Johnson/2015 03 09 - NASA Johnson - Space Station Live  Launching the Twins Study_eb-NpnxFsyU - transcript (automated).pdf","Transcript Link")</f>
        <v>Transcript Link</v>
      </c>
      <c r="M1483" s="2" t="str">
        <f>HYPERLINK("https://files.afu.se/Downloads/Transcripts/0%20-%20Government/USA%20-%20NASA%20Johnson/2015 03 09 - NASA Johnson - Space Station Live  Launching the Twins Study_eb-NpnxFsyU - transcript (automated).pdf","Transcript Link")</f>
        <v>Transcript Link</v>
      </c>
    </row>
    <row r="1484" ht="255" spans="1:13">
      <c r="A1484" s="1" t="s">
        <v>6549</v>
      </c>
      <c r="B1484" s="1" t="s">
        <v>13</v>
      </c>
      <c r="C1484" s="4" t="s">
        <v>6550</v>
      </c>
      <c r="D1484" s="1" t="s">
        <v>6551</v>
      </c>
      <c r="E1484" s="1" t="s">
        <v>6552</v>
      </c>
      <c r="F1484" s="4" t="s">
        <v>17</v>
      </c>
      <c r="G1484" s="1" t="s">
        <v>18</v>
      </c>
      <c r="H1484" s="1" t="s">
        <v>19</v>
      </c>
      <c r="I1484" s="1" t="s">
        <v>20</v>
      </c>
      <c r="J1484" s="1" t="s">
        <v>6553</v>
      </c>
      <c r="K1484" s="1" t="s">
        <v>22</v>
      </c>
      <c r="L1484" s="1" t="str">
        <f>HYPERLINK("https://files.afu.se/Downloads/Transcripts/0%20-%20Government/USA%20-%20NASA%20Johnson/2015 03 06 - NASA Johnson - Expedition 43 Crew Visits Red Square_eo7k3Hldkjw - transcript (automated).pdf","Transcript Link")</f>
        <v>Transcript Link</v>
      </c>
      <c r="M1484" s="2" t="str">
        <f>HYPERLINK("https://files.afu.se/Downloads/Transcripts/0%20-%20Government/USA%20-%20NASA%20Johnson/2015 03 06 - NASA Johnson - Expedition 43 Crew Visits Red Square_eo7k3Hldkjw - transcript (automated).pdf","Transcript Link")</f>
        <v>Transcript Link</v>
      </c>
    </row>
    <row r="1485" ht="180" spans="1:13">
      <c r="A1485" s="1" t="s">
        <v>6549</v>
      </c>
      <c r="B1485" s="1" t="s">
        <v>13</v>
      </c>
      <c r="C1485" s="4" t="s">
        <v>6554</v>
      </c>
      <c r="D1485" s="1" t="s">
        <v>6555</v>
      </c>
      <c r="E1485" s="1" t="s">
        <v>6556</v>
      </c>
      <c r="F1485" s="4" t="s">
        <v>17</v>
      </c>
      <c r="G1485" s="1" t="s">
        <v>18</v>
      </c>
      <c r="H1485" s="1" t="s">
        <v>19</v>
      </c>
      <c r="I1485" s="1" t="s">
        <v>20</v>
      </c>
      <c r="J1485" s="1" t="s">
        <v>6557</v>
      </c>
      <c r="K1485" s="1" t="s">
        <v>22</v>
      </c>
      <c r="L1485" s="1" t="str">
        <f>HYPERLINK("https://files.afu.se/Downloads/Transcripts/0%20-%20Government/USA%20-%20NASA%20Johnson/2015 03 06 - NASA Johnson - Space Station Live  Opening Up the Neurocognitive Toolkit_mD-AlAI4Ils - transcript (automated).pdf","Transcript Link")</f>
        <v>Transcript Link</v>
      </c>
      <c r="M1485" s="2" t="str">
        <f>HYPERLINK("https://files.afu.se/Downloads/Transcripts/0%20-%20Government/USA%20-%20NASA%20Johnson/2015 03 06 - NASA Johnson - Space Station Live  Opening Up the Neurocognitive Toolkit_mD-AlAI4Ils - transcript (automated).pdf","Transcript Link")</f>
        <v>Transcript Link</v>
      </c>
    </row>
    <row r="1486" ht="180" spans="1:13">
      <c r="A1486" s="1" t="s">
        <v>6549</v>
      </c>
      <c r="B1486" s="1" t="s">
        <v>13</v>
      </c>
      <c r="C1486" s="4" t="s">
        <v>6558</v>
      </c>
      <c r="D1486" s="1" t="s">
        <v>6559</v>
      </c>
      <c r="E1486" s="1" t="s">
        <v>5059</v>
      </c>
      <c r="F1486" s="4" t="s">
        <v>17</v>
      </c>
      <c r="G1486" s="1" t="s">
        <v>18</v>
      </c>
      <c r="H1486" s="1" t="s">
        <v>19</v>
      </c>
      <c r="I1486" s="1" t="s">
        <v>20</v>
      </c>
      <c r="J1486" s="1" t="s">
        <v>6560</v>
      </c>
      <c r="K1486" s="1" t="s">
        <v>22</v>
      </c>
      <c r="L1486" s="1" t="str">
        <f>HYPERLINK("https://files.afu.se/Downloads/Transcripts/0%20-%20Government/USA%20-%20NASA%20Johnson/2015 03 06 - NASA Johnson - Space to Ground  Spacewalks Complete  3 6 15_Q-Gn66sZ8Oc - transcript (automated).pdf","Transcript Link")</f>
        <v>Transcript Link</v>
      </c>
      <c r="M1486" s="2" t="str">
        <f>HYPERLINK("https://files.afu.se/Downloads/Transcripts/0%20-%20Government/USA%20-%20NASA%20Johnson/2015 03 06 - NASA Johnson - Space to Ground  Spacewalks Complete  3 6 15_Q-Gn66sZ8Oc - transcript (automated).pdf","Transcript Link")</f>
        <v>Transcript Link</v>
      </c>
    </row>
    <row r="1487" ht="180" spans="1:13">
      <c r="A1487" s="1" t="s">
        <v>6561</v>
      </c>
      <c r="B1487" s="1" t="s">
        <v>13</v>
      </c>
      <c r="C1487" s="4" t="s">
        <v>6562</v>
      </c>
      <c r="D1487" s="1" t="s">
        <v>6563</v>
      </c>
      <c r="E1487" s="1" t="s">
        <v>6564</v>
      </c>
      <c r="F1487" s="4" t="s">
        <v>17</v>
      </c>
      <c r="G1487" s="1" t="s">
        <v>18</v>
      </c>
      <c r="H1487" s="1" t="s">
        <v>19</v>
      </c>
      <c r="I1487" s="1" t="s">
        <v>20</v>
      </c>
      <c r="J1487" s="1" t="s">
        <v>6565</v>
      </c>
      <c r="K1487" s="1" t="s">
        <v>22</v>
      </c>
      <c r="L1487" s="1" t="str">
        <f>HYPERLINK("https://files.afu.se/Downloads/Transcripts/0%20-%20Government/USA%20-%20NASA%20Johnson/2015 03 05 - NASA Johnson - Expedition 43 Crew Undergoes Final Training Outside Moscow 3 5 2015_JfPbcEWP4WI - transcript (automated).pdf","Transcript Link")</f>
        <v>Transcript Link</v>
      </c>
      <c r="M1487" s="2" t="str">
        <f>HYPERLINK("https://files.afu.se/Downloads/Transcripts/0%20-%20Government/USA%20-%20NASA%20Johnson/2015 03 05 - NASA Johnson - Expedition 43 Crew Undergoes Final Training Outside Moscow 3 5 2015_JfPbcEWP4WI - transcript (automated).pdf","Transcript Link")</f>
        <v>Transcript Link</v>
      </c>
    </row>
    <row r="1488" ht="180" spans="1:13">
      <c r="A1488" s="1" t="s">
        <v>6566</v>
      </c>
      <c r="B1488" s="1" t="s">
        <v>13</v>
      </c>
      <c r="C1488" s="4" t="s">
        <v>6567</v>
      </c>
      <c r="D1488" s="1" t="s">
        <v>6568</v>
      </c>
      <c r="E1488" s="1" t="s">
        <v>6569</v>
      </c>
      <c r="F1488" s="4" t="s">
        <v>17</v>
      </c>
      <c r="G1488" s="1" t="s">
        <v>18</v>
      </c>
      <c r="H1488" s="1" t="s">
        <v>19</v>
      </c>
      <c r="I1488" s="1" t="s">
        <v>20</v>
      </c>
      <c r="J1488" s="1" t="s">
        <v>6570</v>
      </c>
      <c r="K1488" s="1" t="s">
        <v>22</v>
      </c>
      <c r="L1488" s="1" t="str">
        <f>HYPERLINK("https://files.afu.se/Downloads/Transcripts/0%20-%20Government/USA%20-%20NASA%20Johnson/2015 03 04 - NASA Johnson - Space Station Live  Big Space on the Big Screen_zgX920FKeew - transcript (automated).pdf","Transcript Link")</f>
        <v>Transcript Link</v>
      </c>
      <c r="M1488" s="2" t="str">
        <f>HYPERLINK("https://files.afu.se/Downloads/Transcripts/0%20-%20Government/USA%20-%20NASA%20Johnson/2015 03 04 - NASA Johnson - Space Station Live  Big Space on the Big Screen_zgX920FKeew - transcript (automated).pdf","Transcript Link")</f>
        <v>Transcript Link</v>
      </c>
    </row>
    <row r="1489" ht="180" spans="1:13">
      <c r="A1489" s="1" t="s">
        <v>6571</v>
      </c>
      <c r="B1489" s="1" t="s">
        <v>13</v>
      </c>
      <c r="C1489" s="4" t="s">
        <v>6572</v>
      </c>
      <c r="D1489" s="1" t="s">
        <v>6573</v>
      </c>
      <c r="E1489" s="1" t="s">
        <v>6574</v>
      </c>
      <c r="F1489" s="4" t="s">
        <v>17</v>
      </c>
      <c r="G1489" s="1" t="s">
        <v>18</v>
      </c>
      <c r="H1489" s="1" t="s">
        <v>19</v>
      </c>
      <c r="I1489" s="1" t="s">
        <v>20</v>
      </c>
      <c r="J1489" s="1" t="s">
        <v>6575</v>
      </c>
      <c r="K1489" s="1" t="s">
        <v>22</v>
      </c>
      <c r="L1489" s="1" t="str">
        <f>HYPERLINK("https://files.afu.se/Downloads/Transcripts/0%20-%20Government/USA%20-%20NASA%20Johnson/2015 02 27 - NASA Johnson - Astronauts Mark Leonard Nimoy’s Passing_2AwUnkrqNyw - transcript (automated).pdf","Transcript Link")</f>
        <v>Transcript Link</v>
      </c>
      <c r="M1489" s="2" t="str">
        <f>HYPERLINK("https://files.afu.se/Downloads/Transcripts/0%20-%20Government/USA%20-%20NASA%20Johnson/2015 02 27 - NASA Johnson - Astronauts Mark Leonard Nimoy’s Passing_2AwUnkrqNyw - transcript (automated).pdf","Transcript Link")</f>
        <v>Transcript Link</v>
      </c>
    </row>
    <row r="1490" ht="180" spans="1:13">
      <c r="A1490" s="1" t="s">
        <v>6571</v>
      </c>
      <c r="B1490" s="1" t="s">
        <v>13</v>
      </c>
      <c r="C1490" s="4" t="s">
        <v>6576</v>
      </c>
      <c r="D1490" s="1" t="s">
        <v>6577</v>
      </c>
      <c r="E1490" s="1" t="s">
        <v>6578</v>
      </c>
      <c r="F1490" s="4" t="s">
        <v>17</v>
      </c>
      <c r="G1490" s="1" t="s">
        <v>18</v>
      </c>
      <c r="H1490" s="1" t="s">
        <v>19</v>
      </c>
      <c r="I1490" s="1" t="s">
        <v>20</v>
      </c>
      <c r="J1490" s="1" t="s">
        <v>6579</v>
      </c>
      <c r="K1490" s="1" t="s">
        <v>22</v>
      </c>
      <c r="L1490" s="1" t="str">
        <f>HYPERLINK("https://files.afu.se/Downloads/Transcripts/0%20-%20Government/USA%20-%20NASA%20Johnson/2015 02 27 - NASA Johnson - Preparing America for Deep Space Exploration Episode 8  Taking Flight_rx_dj8u3Pvg - transcript (automated).pdf","Transcript Link")</f>
        <v>Transcript Link</v>
      </c>
      <c r="M1490" s="2" t="str">
        <f>HYPERLINK("https://files.afu.se/Downloads/Transcripts/0%20-%20Government/USA%20-%20NASA%20Johnson/2015 02 27 - NASA Johnson - Preparing America for Deep Space Exploration Episode 8  Taking Flight_rx_dj8u3Pvg - transcript (automated).pdf","Transcript Link")</f>
        <v>Transcript Link</v>
      </c>
    </row>
    <row r="1491" ht="225" spans="1:13">
      <c r="A1491" s="1" t="s">
        <v>6571</v>
      </c>
      <c r="B1491" s="1" t="s">
        <v>13</v>
      </c>
      <c r="C1491" s="4" t="s">
        <v>6580</v>
      </c>
      <c r="D1491" s="1" t="s">
        <v>6581</v>
      </c>
      <c r="E1491" s="1" t="s">
        <v>6582</v>
      </c>
      <c r="F1491" s="4" t="s">
        <v>17</v>
      </c>
      <c r="G1491" s="1" t="s">
        <v>18</v>
      </c>
      <c r="H1491" s="1" t="s">
        <v>19</v>
      </c>
      <c r="I1491" s="1" t="s">
        <v>20</v>
      </c>
      <c r="J1491" s="1" t="s">
        <v>6583</v>
      </c>
      <c r="K1491" s="1" t="s">
        <v>22</v>
      </c>
      <c r="L1491" s="1" t="str">
        <f>HYPERLINK("https://files.afu.se/Downloads/Transcripts/0%20-%20Government/USA%20-%20NASA%20Johnson/2015 02 27 - NASA Johnson - Space Station Live  Go for EVA 31_JpBHePRGKek - transcript (automated).pdf","Transcript Link")</f>
        <v>Transcript Link</v>
      </c>
      <c r="M1491" s="2" t="str">
        <f>HYPERLINK("https://files.afu.se/Downloads/Transcripts/0%20-%20Government/USA%20-%20NASA%20Johnson/2015 02 27 - NASA Johnson - Space Station Live  Go for EVA 31_JpBHePRGKek - transcript (automated).pdf","Transcript Link")</f>
        <v>Transcript Link</v>
      </c>
    </row>
    <row r="1492" ht="180" spans="1:13">
      <c r="A1492" s="1" t="s">
        <v>6571</v>
      </c>
      <c r="B1492" s="1" t="s">
        <v>13</v>
      </c>
      <c r="C1492" s="4" t="s">
        <v>6584</v>
      </c>
      <c r="D1492" s="1" t="s">
        <v>6585</v>
      </c>
      <c r="E1492" s="1" t="s">
        <v>6586</v>
      </c>
      <c r="F1492" s="4" t="s">
        <v>17</v>
      </c>
      <c r="G1492" s="1" t="s">
        <v>18</v>
      </c>
      <c r="H1492" s="1" t="s">
        <v>19</v>
      </c>
      <c r="I1492" s="1" t="s">
        <v>20</v>
      </c>
      <c r="J1492" s="1" t="s">
        <v>6587</v>
      </c>
      <c r="K1492" s="1" t="s">
        <v>22</v>
      </c>
      <c r="L1492" s="1" t="str">
        <f>HYPERLINK("https://files.afu.se/Downloads/Transcripts/0%20-%20Government/USA%20-%20NASA%20Johnson/2015 02 27 - NASA Johnson - Space to Ground  Spacewalking Duo   2 27 2015_ChrJJZDt14k - transcript (automated).pdf","Transcript Link")</f>
        <v>Transcript Link</v>
      </c>
      <c r="M1492" s="2" t="str">
        <f>HYPERLINK("https://files.afu.se/Downloads/Transcripts/0%20-%20Government/USA%20-%20NASA%20Johnson/2015 02 27 - NASA Johnson - Space to Ground  Spacewalking Duo   2 27 2015_ChrJJZDt14k - transcript (automated).pdf","Transcript Link")</f>
        <v>Transcript Link</v>
      </c>
    </row>
    <row r="1493" ht="180" spans="1:13">
      <c r="A1493" s="1" t="s">
        <v>6588</v>
      </c>
      <c r="B1493" s="1" t="s">
        <v>13</v>
      </c>
      <c r="C1493" s="4" t="s">
        <v>6589</v>
      </c>
      <c r="D1493" s="1" t="s">
        <v>6590</v>
      </c>
      <c r="E1493" s="1" t="s">
        <v>6591</v>
      </c>
      <c r="F1493" s="4" t="s">
        <v>17</v>
      </c>
      <c r="G1493" s="1" t="s">
        <v>18</v>
      </c>
      <c r="H1493" s="1" t="s">
        <v>19</v>
      </c>
      <c r="I1493" s="1" t="s">
        <v>20</v>
      </c>
      <c r="J1493" s="1" t="s">
        <v>6592</v>
      </c>
      <c r="K1493" s="1" t="s">
        <v>22</v>
      </c>
      <c r="L1493" s="1" t="str">
        <f>HYPERLINK("https://files.afu.se/Downloads/Transcripts/0%20-%20Government/USA%20-%20NASA%20Johnson/2015 02 26 - NASA Johnson - Space Station Live  Floatin’ Molten Metal_4VxPDThB1MI - transcript (automated).pdf","Transcript Link")</f>
        <v>Transcript Link</v>
      </c>
      <c r="M1493" s="2" t="str">
        <f>HYPERLINK("https://files.afu.se/Downloads/Transcripts/0%20-%20Government/USA%20-%20NASA%20Johnson/2015 02 26 - NASA Johnson - Space Station Live  Floatin’ Molten Metal_4VxPDThB1MI - transcript (automated).pdf","Transcript Link")</f>
        <v>Transcript Link</v>
      </c>
    </row>
    <row r="1494" ht="240" spans="1:13">
      <c r="A1494" s="1" t="s">
        <v>6593</v>
      </c>
      <c r="B1494" s="1" t="s">
        <v>13</v>
      </c>
      <c r="C1494" s="4" t="s">
        <v>6594</v>
      </c>
      <c r="D1494" s="1" t="s">
        <v>6595</v>
      </c>
      <c r="E1494" s="1" t="s">
        <v>6596</v>
      </c>
      <c r="F1494" s="4" t="s">
        <v>17</v>
      </c>
      <c r="G1494" s="1" t="s">
        <v>18</v>
      </c>
      <c r="H1494" s="1" t="s">
        <v>19</v>
      </c>
      <c r="I1494" s="1" t="s">
        <v>20</v>
      </c>
      <c r="J1494" s="1" t="s">
        <v>6597</v>
      </c>
      <c r="K1494" s="1" t="s">
        <v>22</v>
      </c>
      <c r="L1494" s="1" t="str">
        <f>HYPERLINK("https://files.afu.se/Downloads/Transcripts/0%20-%20Government/USA%20-%20NASA%20Johnson/2015 02 25 - NASA Johnson - Expedition 42  US EVA %2331 Preview_Yxf6qSZA10o - transcript (automated).pdf","Transcript Link")</f>
        <v>Transcript Link</v>
      </c>
      <c r="M1494" s="2" t="str">
        <f>HYPERLINK("https://files.afu.se/Downloads/Transcripts/0%20-%20Government/USA%20-%20NASA%20Johnson/2015 02 25 - NASA Johnson - Expedition 42  US EVA %2331 Preview_Yxf6qSZA10o - transcript (automated).pdf","Transcript Link")</f>
        <v>Transcript Link</v>
      </c>
    </row>
    <row r="1495" ht="180" spans="1:13">
      <c r="A1495" s="1" t="s">
        <v>6598</v>
      </c>
      <c r="B1495" s="1" t="s">
        <v>13</v>
      </c>
      <c r="C1495" s="4" t="s">
        <v>6599</v>
      </c>
      <c r="D1495" s="1" t="s">
        <v>6600</v>
      </c>
      <c r="E1495" s="1" t="s">
        <v>6601</v>
      </c>
      <c r="F1495" s="4" t="s">
        <v>17</v>
      </c>
      <c r="G1495" s="1" t="s">
        <v>18</v>
      </c>
      <c r="H1495" s="1" t="s">
        <v>19</v>
      </c>
      <c r="I1495" s="1" t="s">
        <v>20</v>
      </c>
      <c r="J1495" s="1" t="s">
        <v>6602</v>
      </c>
      <c r="K1495" s="1" t="s">
        <v>22</v>
      </c>
      <c r="L1495" s="1" t="str">
        <f>HYPERLINK("https://files.afu.se/Downloads/Transcripts/0%20-%20Government/USA%20-%20NASA%20Johnson/2015 02 24 - NASA Johnson - Space Station Live  Preparing SPHERES for Flight_ZBdzOjtWNFQ - transcript (automated).pdf","Transcript Link")</f>
        <v>Transcript Link</v>
      </c>
      <c r="M1495" s="2" t="str">
        <f>HYPERLINK("https://files.afu.se/Downloads/Transcripts/0%20-%20Government/USA%20-%20NASA%20Johnson/2015 02 24 - NASA Johnson - Space Station Live  Preparing SPHERES for Flight_ZBdzOjtWNFQ - transcript (automated).pdf","Transcript Link")</f>
        <v>Transcript Link</v>
      </c>
    </row>
    <row r="1496" ht="255" spans="1:13">
      <c r="A1496" s="1" t="s">
        <v>6603</v>
      </c>
      <c r="B1496" s="1" t="s">
        <v>13</v>
      </c>
      <c r="C1496" s="4" t="s">
        <v>6604</v>
      </c>
      <c r="D1496" s="1" t="s">
        <v>6605</v>
      </c>
      <c r="E1496" s="1" t="s">
        <v>6606</v>
      </c>
      <c r="F1496" s="4" t="s">
        <v>17</v>
      </c>
      <c r="G1496" s="1" t="s">
        <v>18</v>
      </c>
      <c r="H1496" s="1" t="s">
        <v>19</v>
      </c>
      <c r="I1496" s="1" t="s">
        <v>20</v>
      </c>
      <c r="J1496" s="1" t="s">
        <v>6607</v>
      </c>
      <c r="K1496" s="1" t="s">
        <v>22</v>
      </c>
      <c r="L1496" s="1" t="str">
        <f>HYPERLINK("https://files.afu.se/Downloads/Transcripts/0%20-%20Government/USA%20-%20NASA%20Johnson/2015 02 23 - NASA Johnson - Expedition 42  US EVA %2330 Preview_FXHZE3CiJQs - transcript (automated).pdf","Transcript Link")</f>
        <v>Transcript Link</v>
      </c>
      <c r="M1496" s="2" t="str">
        <f>HYPERLINK("https://files.afu.se/Downloads/Transcripts/0%20-%20Government/USA%20-%20NASA%20Johnson/2015 02 23 - NASA Johnson - Expedition 42  US EVA %2330 Preview_FXHZE3CiJQs - transcript (automated).pdf","Transcript Link")</f>
        <v>Transcript Link</v>
      </c>
    </row>
    <row r="1497" ht="180" spans="1:13">
      <c r="A1497" s="1" t="s">
        <v>6608</v>
      </c>
      <c r="B1497" s="1" t="s">
        <v>13</v>
      </c>
      <c r="C1497" s="4" t="s">
        <v>6609</v>
      </c>
      <c r="D1497" s="1" t="s">
        <v>6610</v>
      </c>
      <c r="E1497" s="1" t="s">
        <v>6611</v>
      </c>
      <c r="F1497" s="4" t="s">
        <v>17</v>
      </c>
      <c r="G1497" s="1" t="s">
        <v>18</v>
      </c>
      <c r="H1497" s="1" t="s">
        <v>19</v>
      </c>
      <c r="I1497" s="1" t="s">
        <v>20</v>
      </c>
      <c r="J1497" s="1" t="s">
        <v>6612</v>
      </c>
      <c r="K1497" s="1" t="s">
        <v>22</v>
      </c>
      <c r="L1497" s="1" t="str">
        <f>HYPERLINK("https://files.afu.se/Downloads/Transcripts/0%20-%20Government/USA%20-%20NASA%20Johnson/2015 02 20 - NASA Johnson - Space Station Live  The ABCs of IDA_Z2qtIfuoyig - transcript (automated).pdf","Transcript Link")</f>
        <v>Transcript Link</v>
      </c>
      <c r="M1497" s="2" t="str">
        <f>HYPERLINK("https://files.afu.se/Downloads/Transcripts/0%20-%20Government/USA%20-%20NASA%20Johnson/2015 02 20 - NASA Johnson - Space Station Live  The ABCs of IDA_Z2qtIfuoyig - transcript (automated).pdf","Transcript Link")</f>
        <v>Transcript Link</v>
      </c>
    </row>
    <row r="1498" ht="180" spans="1:13">
      <c r="A1498" s="1" t="s">
        <v>6608</v>
      </c>
      <c r="B1498" s="1" t="s">
        <v>13</v>
      </c>
      <c r="C1498" s="4" t="s">
        <v>6613</v>
      </c>
      <c r="D1498" s="1" t="s">
        <v>6614</v>
      </c>
      <c r="E1498" s="1" t="s">
        <v>6615</v>
      </c>
      <c r="F1498" s="4" t="s">
        <v>17</v>
      </c>
      <c r="G1498" s="1" t="s">
        <v>18</v>
      </c>
      <c r="H1498" s="1" t="s">
        <v>19</v>
      </c>
      <c r="I1498" s="1" t="s">
        <v>20</v>
      </c>
      <c r="J1498" s="1" t="s">
        <v>6616</v>
      </c>
      <c r="K1498" s="1" t="s">
        <v>22</v>
      </c>
      <c r="L1498" s="1" t="str">
        <f>HYPERLINK("https://files.afu.se/Downloads/Transcripts/0%20-%20Government/USA%20-%20NASA%20Johnson/2015 02 20 - NASA Johnson - Space Station Live  Countdown to Spacewalk_BNgfHYZNybQ - transcript (automated).pdf","Transcript Link")</f>
        <v>Transcript Link</v>
      </c>
      <c r="M1498" s="2" t="str">
        <f>HYPERLINK("https://files.afu.se/Downloads/Transcripts/0%20-%20Government/USA%20-%20NASA%20Johnson/2015 02 20 - NASA Johnson - Space Station Live  Countdown to Spacewalk_BNgfHYZNybQ - transcript (automated).pdf","Transcript Link")</f>
        <v>Transcript Link</v>
      </c>
    </row>
    <row r="1499" ht="180" spans="1:13">
      <c r="A1499" s="1" t="s">
        <v>6608</v>
      </c>
      <c r="B1499" s="1" t="s">
        <v>13</v>
      </c>
      <c r="C1499" s="4" t="s">
        <v>6617</v>
      </c>
      <c r="D1499" s="1" t="s">
        <v>6618</v>
      </c>
      <c r="E1499" s="1" t="s">
        <v>5059</v>
      </c>
      <c r="F1499" s="4" t="s">
        <v>17</v>
      </c>
      <c r="G1499" s="1" t="s">
        <v>18</v>
      </c>
      <c r="H1499" s="1" t="s">
        <v>19</v>
      </c>
      <c r="I1499" s="1" t="s">
        <v>20</v>
      </c>
      <c r="J1499" s="1" t="s">
        <v>6619</v>
      </c>
      <c r="K1499" s="1" t="s">
        <v>22</v>
      </c>
      <c r="L1499" s="1" t="str">
        <f>HYPERLINK("https://files.afu.se/Downloads/Transcripts/0%20-%20Government/USA%20-%20NASA%20Johnson/2015 02 20 - NASA Johnson - Space to Ground  Progress Arrives  2 20 15_TSu4ZHe772U - transcript (automated).pdf","Transcript Link")</f>
        <v>Transcript Link</v>
      </c>
      <c r="M1499" s="2" t="str">
        <f>HYPERLINK("https://files.afu.se/Downloads/Transcripts/0%20-%20Government/USA%20-%20NASA%20Johnson/2015 02 20 - NASA Johnson - Space to Ground  Progress Arrives  2 20 15_TSu4ZHe772U - transcript (automated).pdf","Transcript Link")</f>
        <v>Transcript Link</v>
      </c>
    </row>
    <row r="1500" ht="195" spans="1:13">
      <c r="A1500" s="1" t="s">
        <v>6620</v>
      </c>
      <c r="B1500" s="1" t="s">
        <v>13</v>
      </c>
      <c r="C1500" s="4" t="s">
        <v>6621</v>
      </c>
      <c r="D1500" s="1" t="s">
        <v>6622</v>
      </c>
      <c r="E1500" s="1" t="s">
        <v>6623</v>
      </c>
      <c r="F1500" s="4" t="s">
        <v>17</v>
      </c>
      <c r="G1500" s="1" t="s">
        <v>18</v>
      </c>
      <c r="H1500" s="1" t="s">
        <v>19</v>
      </c>
      <c r="I1500" s="1" t="s">
        <v>20</v>
      </c>
      <c r="J1500" s="1" t="s">
        <v>6624</v>
      </c>
      <c r="K1500" s="1" t="s">
        <v>22</v>
      </c>
      <c r="L1500" s="1" t="str">
        <f>HYPERLINK("https://files.afu.se/Downloads/Transcripts/0%20-%20Government/USA%20-%20NASA%20Johnson/2015 02 19 - NASA Johnson - Expedition 42  US EVA %2329 Animation_wlMGcpRo_dQ - transcript (automated).pdf","Transcript Link")</f>
        <v>Transcript Link</v>
      </c>
      <c r="M1500" s="2" t="str">
        <f>HYPERLINK("https://files.afu.se/Downloads/Transcripts/0%20-%20Government/USA%20-%20NASA%20Johnson/2015 02 19 - NASA Johnson - Expedition 42  US EVA %2329 Animation_wlMGcpRo_dQ - transcript (automated).pdf","Transcript Link")</f>
        <v>Transcript Link</v>
      </c>
    </row>
    <row r="1501" ht="180" spans="1:13">
      <c r="A1501" s="1" t="s">
        <v>6620</v>
      </c>
      <c r="B1501" s="1" t="s">
        <v>13</v>
      </c>
      <c r="C1501" s="4" t="s">
        <v>6625</v>
      </c>
      <c r="D1501" s="1" t="s">
        <v>6626</v>
      </c>
      <c r="E1501" s="1" t="s">
        <v>6627</v>
      </c>
      <c r="F1501" s="4" t="s">
        <v>17</v>
      </c>
      <c r="G1501" s="1" t="s">
        <v>18</v>
      </c>
      <c r="H1501" s="1" t="s">
        <v>19</v>
      </c>
      <c r="I1501" s="1" t="s">
        <v>20</v>
      </c>
      <c r="J1501" s="1" t="s">
        <v>6628</v>
      </c>
      <c r="K1501" s="1" t="s">
        <v>22</v>
      </c>
      <c r="L1501" s="1" t="str">
        <f>HYPERLINK("https://files.afu.se/Downloads/Transcripts/0%20-%20Government/USA%20-%20NASA%20Johnson/2015 02 19 - NASA Johnson - Space Station Live  A Big Heart_fsqLLgAkGuE - transcript (automated).pdf","Transcript Link")</f>
        <v>Transcript Link</v>
      </c>
      <c r="M1501" s="2" t="str">
        <f>HYPERLINK("https://files.afu.se/Downloads/Transcripts/0%20-%20Government/USA%20-%20NASA%20Johnson/2015 02 19 - NASA Johnson - Space Station Live  A Big Heart_fsqLLgAkGuE - transcript (automated).pdf","Transcript Link")</f>
        <v>Transcript Link</v>
      </c>
    </row>
    <row r="1502" ht="210" spans="1:13">
      <c r="A1502" s="1" t="s">
        <v>6629</v>
      </c>
      <c r="B1502" s="1" t="s">
        <v>13</v>
      </c>
      <c r="C1502" s="4" t="s">
        <v>6630</v>
      </c>
      <c r="D1502" s="1" t="s">
        <v>6631</v>
      </c>
      <c r="E1502" s="1" t="s">
        <v>6632</v>
      </c>
      <c r="F1502" s="4" t="s">
        <v>17</v>
      </c>
      <c r="G1502" s="1" t="s">
        <v>18</v>
      </c>
      <c r="H1502" s="1" t="s">
        <v>19</v>
      </c>
      <c r="I1502" s="1" t="s">
        <v>20</v>
      </c>
      <c r="J1502" s="1" t="s">
        <v>6633</v>
      </c>
      <c r="K1502" s="1" t="s">
        <v>22</v>
      </c>
      <c r="L1502" s="1" t="str">
        <f>HYPERLINK("https://files.afu.se/Downloads/Transcripts/0%20-%20Government/USA%20-%20NASA%20Johnson/2015 02 13 - NASA Johnson - Space Station Live  Bon Voyage, ATV_CNsuNsqse4E - transcript (automated).pdf","Transcript Link")</f>
        <v>Transcript Link</v>
      </c>
      <c r="M1502" s="2" t="str">
        <f>HYPERLINK("https://files.afu.se/Downloads/Transcripts/0%20-%20Government/USA%20-%20NASA%20Johnson/2015 02 13 - NASA Johnson - Space Station Live  Bon Voyage, ATV_CNsuNsqse4E - transcript (automated).pdf","Transcript Link")</f>
        <v>Transcript Link</v>
      </c>
    </row>
    <row r="1503" ht="180" spans="1:13">
      <c r="A1503" s="1" t="s">
        <v>6629</v>
      </c>
      <c r="B1503" s="1" t="s">
        <v>13</v>
      </c>
      <c r="C1503" s="4" t="s">
        <v>6634</v>
      </c>
      <c r="D1503" s="1" t="s">
        <v>6635</v>
      </c>
      <c r="E1503" s="1" t="s">
        <v>5059</v>
      </c>
      <c r="F1503" s="4" t="s">
        <v>17</v>
      </c>
      <c r="G1503" s="1" t="s">
        <v>18</v>
      </c>
      <c r="H1503" s="1" t="s">
        <v>19</v>
      </c>
      <c r="I1503" s="1" t="s">
        <v>20</v>
      </c>
      <c r="J1503" s="1" t="s">
        <v>6636</v>
      </c>
      <c r="K1503" s="1" t="s">
        <v>22</v>
      </c>
      <c r="L1503" s="1" t="str">
        <f>HYPERLINK("https://files.afu.se/Downloads/Transcripts/0%20-%20Government/USA%20-%20NASA%20Johnson/2015 02 13 - NASA Johnson - Space to Ground  Dragon Returns  2 13 15_ajlTxozr9w0 - transcript (automated).pdf","Transcript Link")</f>
        <v>Transcript Link</v>
      </c>
      <c r="M1503" s="2" t="str">
        <f>HYPERLINK("https://files.afu.se/Downloads/Transcripts/0%20-%20Government/USA%20-%20NASA%20Johnson/2015 02 13 - NASA Johnson - Space to Ground  Dragon Returns  2 13 15_ajlTxozr9w0 - transcript (automated).pdf","Transcript Link")</f>
        <v>Transcript Link</v>
      </c>
    </row>
    <row r="1504" ht="180" spans="1:13">
      <c r="A1504" s="1" t="s">
        <v>6637</v>
      </c>
      <c r="B1504" s="1" t="s">
        <v>13</v>
      </c>
      <c r="C1504" s="4" t="s">
        <v>6638</v>
      </c>
      <c r="D1504" s="1" t="s">
        <v>6639</v>
      </c>
      <c r="E1504" s="1" t="s">
        <v>6640</v>
      </c>
      <c r="F1504" s="4" t="s">
        <v>17</v>
      </c>
      <c r="G1504" s="1" t="s">
        <v>18</v>
      </c>
      <c r="H1504" s="1" t="s">
        <v>19</v>
      </c>
      <c r="I1504" s="1" t="s">
        <v>20</v>
      </c>
      <c r="J1504" s="1" t="s">
        <v>6641</v>
      </c>
      <c r="K1504" s="1" t="s">
        <v>22</v>
      </c>
      <c r="L1504" s="1" t="str">
        <f>HYPERLINK("https://files.afu.se/Downloads/Transcripts/0%20-%20Government/USA%20-%20NASA%20Johnson/2015 02 12 - NASA Johnson - Space Station Live  Prepping for Walking the Walk_ChDXe1BqKuY - transcript (automated).pdf","Transcript Link")</f>
        <v>Transcript Link</v>
      </c>
      <c r="M1504" s="2" t="str">
        <f>HYPERLINK("https://files.afu.se/Downloads/Transcripts/0%20-%20Government/USA%20-%20NASA%20Johnson/2015 02 12 - NASA Johnson - Space Station Live  Prepping for Walking the Walk_ChDXe1BqKuY - transcript (automated).pdf","Transcript Link")</f>
        <v>Transcript Link</v>
      </c>
    </row>
    <row r="1505" ht="180" spans="1:13">
      <c r="A1505" s="1" t="s">
        <v>6642</v>
      </c>
      <c r="B1505" s="1" t="s">
        <v>13</v>
      </c>
      <c r="C1505" s="4" t="s">
        <v>6643</v>
      </c>
      <c r="D1505" s="1" t="s">
        <v>6644</v>
      </c>
      <c r="E1505" s="1" t="s">
        <v>6645</v>
      </c>
      <c r="F1505" s="4" t="s">
        <v>17</v>
      </c>
      <c r="G1505" s="1" t="s">
        <v>18</v>
      </c>
      <c r="H1505" s="1" t="s">
        <v>19</v>
      </c>
      <c r="I1505" s="1" t="s">
        <v>20</v>
      </c>
      <c r="J1505" s="1" t="s">
        <v>6646</v>
      </c>
      <c r="K1505" s="1" t="s">
        <v>22</v>
      </c>
      <c r="L1505" s="1" t="str">
        <f>HYPERLINK("https://files.afu.se/Downloads/Transcripts/0%20-%20Government/USA%20-%20NASA%20Johnson/2015 02 11 - NASA Johnson - Space Station Live  Refrigerator on Loan_3oNIadLKexM - transcript (automated).pdf","Transcript Link")</f>
        <v>Transcript Link</v>
      </c>
      <c r="M1505" s="2" t="str">
        <f>HYPERLINK("https://files.afu.se/Downloads/Transcripts/0%20-%20Government/USA%20-%20NASA%20Johnson/2015 02 11 - NASA Johnson - Space Station Live  Refrigerator on Loan_3oNIadLKexM - transcript (automated).pdf","Transcript Link")</f>
        <v>Transcript Link</v>
      </c>
    </row>
    <row r="1506" ht="285" spans="1:13">
      <c r="A1506" s="1" t="s">
        <v>6642</v>
      </c>
      <c r="B1506" s="1" t="s">
        <v>13</v>
      </c>
      <c r="C1506" s="4" t="s">
        <v>6647</v>
      </c>
      <c r="D1506" s="1" t="s">
        <v>6648</v>
      </c>
      <c r="E1506" s="1" t="s">
        <v>6649</v>
      </c>
      <c r="F1506" s="4" t="s">
        <v>17</v>
      </c>
      <c r="G1506" s="1" t="s">
        <v>18</v>
      </c>
      <c r="H1506" s="1" t="s">
        <v>19</v>
      </c>
      <c r="I1506" s="1" t="s">
        <v>20</v>
      </c>
      <c r="J1506" s="1" t="s">
        <v>6650</v>
      </c>
      <c r="K1506" s="1" t="s">
        <v>22</v>
      </c>
      <c r="L1506" s="1" t="str">
        <f>HYPERLINK("https://files.afu.se/Downloads/Transcripts/0%20-%20Government/USA%20-%20NASA%20Johnson/2015 02 11 - NASA Johnson - %23SuitUp with NASA for the Journey to Mars_XE3xjwXy1Fg - transcript (automated).pdf","Transcript Link")</f>
        <v>Transcript Link</v>
      </c>
      <c r="M1506" s="2" t="str">
        <f>HYPERLINK("https://files.afu.se/Downloads/Transcripts/0%20-%20Government/USA%20-%20NASA%20Johnson/2015 02 11 - NASA Johnson - %23SuitUp with NASA for the Journey to Mars_XE3xjwXy1Fg - transcript (automated).pdf","Transcript Link")</f>
        <v>Transcript Link</v>
      </c>
    </row>
    <row r="1507" ht="255" spans="1:13">
      <c r="A1507" s="1" t="s">
        <v>6651</v>
      </c>
      <c r="B1507" s="1" t="s">
        <v>13</v>
      </c>
      <c r="C1507" s="4" t="s">
        <v>6652</v>
      </c>
      <c r="D1507" s="1" t="s">
        <v>6653</v>
      </c>
      <c r="E1507" s="1" t="s">
        <v>6654</v>
      </c>
      <c r="F1507" s="4" t="s">
        <v>17</v>
      </c>
      <c r="G1507" s="1" t="s">
        <v>18</v>
      </c>
      <c r="H1507" s="1" t="s">
        <v>19</v>
      </c>
      <c r="I1507" s="1" t="s">
        <v>20</v>
      </c>
      <c r="J1507" s="1" t="s">
        <v>6655</v>
      </c>
      <c r="K1507" s="1" t="s">
        <v>22</v>
      </c>
      <c r="L1507" s="1" t="str">
        <f>HYPERLINK("https://files.afu.se/Downloads/Transcripts/0%20-%20Government/USA%20-%20NASA%20Johnson/2015 02 07 - NASA Johnson - StationLIFE  Cardiovascular Health - Feb 2015_TOAOh-3et-s - transcript (automated).pdf","Transcript Link")</f>
        <v>Transcript Link</v>
      </c>
      <c r="M1507" s="2" t="str">
        <f>HYPERLINK("https://files.afu.se/Downloads/Transcripts/0%20-%20Government/USA%20-%20NASA%20Johnson/2015 02 07 - NASA Johnson - StationLIFE  Cardiovascular Health - Feb 2015_TOAOh-3et-s - transcript (automated).pdf","Transcript Link")</f>
        <v>Transcript Link</v>
      </c>
    </row>
    <row r="1508" ht="180" spans="1:13">
      <c r="A1508" s="1" t="s">
        <v>6656</v>
      </c>
      <c r="B1508" s="1" t="s">
        <v>13</v>
      </c>
      <c r="C1508" s="4" t="s">
        <v>6657</v>
      </c>
      <c r="D1508" s="1" t="s">
        <v>6658</v>
      </c>
      <c r="E1508" s="1" t="s">
        <v>5059</v>
      </c>
      <c r="F1508" s="4" t="s">
        <v>17</v>
      </c>
      <c r="G1508" s="1" t="s">
        <v>18</v>
      </c>
      <c r="H1508" s="1" t="s">
        <v>19</v>
      </c>
      <c r="I1508" s="1" t="s">
        <v>20</v>
      </c>
      <c r="J1508" s="1" t="s">
        <v>6659</v>
      </c>
      <c r="K1508" s="1" t="s">
        <v>22</v>
      </c>
      <c r="L1508" s="1" t="str">
        <f>HYPERLINK("https://files.afu.se/Downloads/Transcripts/0%20-%20Government/USA%20-%20NASA%20Johnson/2015 02 06 - NASA Johnson - Space to Ground  The Cable Guys  2 6 15_2h4YXhle0Tk - transcript (automated).pdf","Transcript Link")</f>
        <v>Transcript Link</v>
      </c>
      <c r="M1508" s="2" t="str">
        <f>HYPERLINK("https://files.afu.se/Downloads/Transcripts/0%20-%20Government/USA%20-%20NASA%20Johnson/2015 02 06 - NASA Johnson - Space to Ground  The Cable Guys  2 6 15_2h4YXhle0Tk - transcript (automated).pdf","Transcript Link")</f>
        <v>Transcript Link</v>
      </c>
    </row>
    <row r="1509" ht="195" spans="1:13">
      <c r="A1509" s="1" t="s">
        <v>6660</v>
      </c>
      <c r="B1509" s="1" t="s">
        <v>13</v>
      </c>
      <c r="C1509" s="4" t="s">
        <v>6661</v>
      </c>
      <c r="D1509" s="1" t="s">
        <v>6662</v>
      </c>
      <c r="E1509" s="1" t="s">
        <v>6663</v>
      </c>
      <c r="F1509" s="4" t="s">
        <v>17</v>
      </c>
      <c r="G1509" s="1" t="s">
        <v>18</v>
      </c>
      <c r="H1509" s="1" t="s">
        <v>19</v>
      </c>
      <c r="I1509" s="1" t="s">
        <v>20</v>
      </c>
      <c r="J1509" s="1" t="s">
        <v>6664</v>
      </c>
      <c r="K1509" s="1" t="s">
        <v>22</v>
      </c>
      <c r="L1509" s="1" t="str">
        <f>HYPERLINK("https://files.afu.se/Downloads/Transcripts/0%20-%20Government/USA%20-%20NASA%20Johnson/2015 02 05 - NASA Johnson - Space Station Live  Still to Come in 2015_NUK5Ei857bM - transcript (automated).pdf","Transcript Link")</f>
        <v>Transcript Link</v>
      </c>
      <c r="M1509" s="2" t="str">
        <f>HYPERLINK("https://files.afu.se/Downloads/Transcripts/0%20-%20Government/USA%20-%20NASA%20Johnson/2015 02 05 - NASA Johnson - Space Station Live  Still to Come in 2015_NUK5Ei857bM - transcript (automated).pdf","Transcript Link")</f>
        <v>Transcript Link</v>
      </c>
    </row>
    <row r="1510" ht="180" spans="1:13">
      <c r="A1510" s="1" t="s">
        <v>6660</v>
      </c>
      <c r="B1510" s="1" t="s">
        <v>13</v>
      </c>
      <c r="C1510" s="4" t="s">
        <v>6665</v>
      </c>
      <c r="D1510" s="1" t="s">
        <v>6666</v>
      </c>
      <c r="E1510" s="1" t="s">
        <v>6667</v>
      </c>
      <c r="F1510" s="4" t="s">
        <v>17</v>
      </c>
      <c r="G1510" s="1" t="s">
        <v>18</v>
      </c>
      <c r="H1510" s="1" t="s">
        <v>19</v>
      </c>
      <c r="I1510" s="1" t="s">
        <v>20</v>
      </c>
      <c r="J1510" s="1" t="s">
        <v>6668</v>
      </c>
      <c r="K1510" s="1" t="s">
        <v>22</v>
      </c>
      <c r="L1510" s="1" t="str">
        <f>HYPERLINK("https://files.afu.se/Downloads/Transcripts/0%20-%20Government/USA%20-%20NASA%20Johnson/2015 02 05 - NASA Johnson - Monthly ISS Research Video Update for February 2015_Q99DaXJdErk - transcript (automated).pdf","Transcript Link")</f>
        <v>Transcript Link</v>
      </c>
      <c r="M1510" s="2" t="str">
        <f>HYPERLINK("https://files.afu.se/Downloads/Transcripts/0%20-%20Government/USA%20-%20NASA%20Johnson/2015 02 05 - NASA Johnson - Monthly ISS Research Video Update for February 2015_Q99DaXJdErk - transcript (automated).pdf","Transcript Link")</f>
        <v>Transcript Link</v>
      </c>
    </row>
    <row r="1511" ht="180" spans="1:13">
      <c r="A1511" s="1" t="s">
        <v>6660</v>
      </c>
      <c r="B1511" s="1" t="s">
        <v>13</v>
      </c>
      <c r="C1511" s="4" t="s">
        <v>6669</v>
      </c>
      <c r="D1511" s="1" t="s">
        <v>6670</v>
      </c>
      <c r="E1511" s="1" t="s">
        <v>6671</v>
      </c>
      <c r="F1511" s="4" t="s">
        <v>17</v>
      </c>
      <c r="G1511" s="1" t="s">
        <v>18</v>
      </c>
      <c r="H1511" s="1" t="s">
        <v>19</v>
      </c>
      <c r="I1511" s="1" t="s">
        <v>20</v>
      </c>
      <c r="J1511" s="1" t="s">
        <v>6672</v>
      </c>
      <c r="K1511" s="1" t="s">
        <v>22</v>
      </c>
      <c r="L1511" s="1" t="str">
        <f>HYPERLINK("https://files.afu.se/Downloads/Transcripts/0%20-%20Government/USA%20-%20NASA%20Johnson/2015 02 05 - NASA Johnson - Aurora Touching Sunrise_iUyu7W0XuX0 - transcript (automated).pdf","Transcript Link")</f>
        <v>Transcript Link</v>
      </c>
      <c r="M1511" s="2" t="str">
        <f>HYPERLINK("https://files.afu.se/Downloads/Transcripts/0%20-%20Government/USA%20-%20NASA%20Johnson/2015 02 05 - NASA Johnson - Aurora Touching Sunrise_iUyu7W0XuX0 - transcript (automated).pdf","Transcript Link")</f>
        <v>Transcript Link</v>
      </c>
    </row>
    <row r="1512" ht="180" spans="1:13">
      <c r="A1512" s="1" t="s">
        <v>6673</v>
      </c>
      <c r="B1512" s="1" t="s">
        <v>13</v>
      </c>
      <c r="C1512" s="4" t="s">
        <v>6674</v>
      </c>
      <c r="D1512" s="1" t="s">
        <v>6675</v>
      </c>
      <c r="E1512" s="1" t="s">
        <v>6676</v>
      </c>
      <c r="F1512" s="4" t="s">
        <v>17</v>
      </c>
      <c r="G1512" s="1" t="s">
        <v>18</v>
      </c>
      <c r="H1512" s="1" t="s">
        <v>19</v>
      </c>
      <c r="I1512" s="1" t="s">
        <v>20</v>
      </c>
      <c r="J1512" s="1" t="s">
        <v>6677</v>
      </c>
      <c r="K1512" s="1" t="s">
        <v>22</v>
      </c>
      <c r="L1512" s="1" t="str">
        <f>HYPERLINK("https://files.afu.se/Downloads/Transcripts/0%20-%20Government/USA%20-%20NASA%20Johnson/2015 02 04 - NASA Johnson - Space Station Live  Studying Basic Biology in Space_BXGH4-QqypE - transcript (automated).pdf","Transcript Link")</f>
        <v>Transcript Link</v>
      </c>
      <c r="M1512" s="2" t="str">
        <f>HYPERLINK("https://files.afu.se/Downloads/Transcripts/0%20-%20Government/USA%20-%20NASA%20Johnson/2015 02 04 - NASA Johnson - Space Station Live  Studying Basic Biology in Space_BXGH4-QqypE - transcript (automated).pdf","Transcript Link")</f>
        <v>Transcript Link</v>
      </c>
    </row>
    <row r="1513" ht="180" spans="1:13">
      <c r="A1513" s="1" t="s">
        <v>6678</v>
      </c>
      <c r="B1513" s="1" t="s">
        <v>13</v>
      </c>
      <c r="C1513" s="4" t="s">
        <v>6679</v>
      </c>
      <c r="D1513" s="1" t="s">
        <v>6680</v>
      </c>
      <c r="E1513" s="1" t="s">
        <v>6681</v>
      </c>
      <c r="F1513" s="4" t="s">
        <v>17</v>
      </c>
      <c r="G1513" s="1" t="s">
        <v>18</v>
      </c>
      <c r="H1513" s="1" t="s">
        <v>19</v>
      </c>
      <c r="I1513" s="1" t="s">
        <v>20</v>
      </c>
      <c r="J1513" s="1" t="s">
        <v>6682</v>
      </c>
      <c r="K1513" s="1" t="s">
        <v>22</v>
      </c>
      <c r="L1513" s="1" t="str">
        <f>HYPERLINK("https://files.afu.se/Downloads/Transcripts/0%20-%20Government/USA%20-%20NASA%20Johnson/2015 02 01 - NASA Johnson - NFL Super Bowl Message from 260 Miles Above Earth_1fuALI89ebo - transcript (automated).pdf","Transcript Link")</f>
        <v>Transcript Link</v>
      </c>
      <c r="M1513" s="2" t="str">
        <f>HYPERLINK("https://files.afu.se/Downloads/Transcripts/0%20-%20Government/USA%20-%20NASA%20Johnson/2015 02 01 - NASA Johnson - NFL Super Bowl Message from 260 Miles Above Earth_1fuALI89ebo - transcript (automated).pdf","Transcript Link")</f>
        <v>Transcript Link</v>
      </c>
    </row>
    <row r="1514" ht="180" spans="1:13">
      <c r="A1514" s="1" t="s">
        <v>6683</v>
      </c>
      <c r="B1514" s="1" t="s">
        <v>13</v>
      </c>
      <c r="C1514" s="4" t="s">
        <v>6684</v>
      </c>
      <c r="D1514" s="1" t="s">
        <v>6685</v>
      </c>
      <c r="E1514" s="1" t="s">
        <v>6686</v>
      </c>
      <c r="F1514" s="4" t="s">
        <v>17</v>
      </c>
      <c r="G1514" s="1" t="s">
        <v>18</v>
      </c>
      <c r="H1514" s="1" t="s">
        <v>19</v>
      </c>
      <c r="I1514" s="1" t="s">
        <v>20</v>
      </c>
      <c r="J1514" s="1" t="s">
        <v>6687</v>
      </c>
      <c r="K1514" s="1" t="s">
        <v>22</v>
      </c>
      <c r="L1514" s="1" t="str">
        <f>HYPERLINK("https://files.afu.se/Downloads/Transcripts/0%20-%20Government/USA%20-%20NASA%20Johnson/2015 01 31 - NASA Johnson - Are You an %23ISSFan _X5X9GJxaJB4 - transcript (automated).pdf","Transcript Link")</f>
        <v>Transcript Link</v>
      </c>
      <c r="M1514" s="2" t="str">
        <f>HYPERLINK("https://files.afu.se/Downloads/Transcripts/0%20-%20Government/USA%20-%20NASA%20Johnson/2015 01 31 - NASA Johnson - Are You an %23ISSFan _X5X9GJxaJB4 - transcript (automated).pdf","Transcript Link")</f>
        <v>Transcript Link</v>
      </c>
    </row>
    <row r="1515" ht="180" spans="1:13">
      <c r="A1515" s="1" t="s">
        <v>6688</v>
      </c>
      <c r="B1515" s="1" t="s">
        <v>13</v>
      </c>
      <c r="C1515" s="4" t="s">
        <v>6689</v>
      </c>
      <c r="D1515" s="1" t="s">
        <v>6690</v>
      </c>
      <c r="E1515" s="1" t="s">
        <v>5059</v>
      </c>
      <c r="F1515" s="4" t="s">
        <v>17</v>
      </c>
      <c r="G1515" s="1" t="s">
        <v>18</v>
      </c>
      <c r="H1515" s="1" t="s">
        <v>19</v>
      </c>
      <c r="I1515" s="1" t="s">
        <v>20</v>
      </c>
      <c r="J1515" s="1" t="s">
        <v>6691</v>
      </c>
      <c r="K1515" s="1" t="s">
        <v>22</v>
      </c>
      <c r="L1515" s="1" t="str">
        <f>HYPERLINK("https://files.afu.se/Downloads/Transcripts/0%20-%20Government/USA%20-%20NASA%20Johnson/2015 01 30 - NASA Johnson - Space to Ground  Winter Weather  1 30 15_wXBlbQCdeaQ - transcript (automated).pdf","Transcript Link")</f>
        <v>Transcript Link</v>
      </c>
      <c r="M1515" s="2" t="str">
        <f>HYPERLINK("https://files.afu.se/Downloads/Transcripts/0%20-%20Government/USA%20-%20NASA%20Johnson/2015 01 30 - NASA Johnson - Space to Ground  Winter Weather  1 30 15_wXBlbQCdeaQ - transcript (automated).pdf","Transcript Link")</f>
        <v>Transcript Link</v>
      </c>
    </row>
    <row r="1516" ht="300" spans="1:13">
      <c r="A1516" s="1" t="s">
        <v>6692</v>
      </c>
      <c r="B1516" s="1" t="s">
        <v>13</v>
      </c>
      <c r="C1516" s="4" t="s">
        <v>6693</v>
      </c>
      <c r="D1516" s="1" t="s">
        <v>6694</v>
      </c>
      <c r="E1516" s="1" t="s">
        <v>6695</v>
      </c>
      <c r="F1516" s="4" t="s">
        <v>17</v>
      </c>
      <c r="G1516" s="1" t="s">
        <v>18</v>
      </c>
      <c r="H1516" s="1" t="s">
        <v>19</v>
      </c>
      <c r="I1516" s="1" t="s">
        <v>20</v>
      </c>
      <c r="J1516" s="1" t="s">
        <v>6696</v>
      </c>
      <c r="K1516" s="1" t="s">
        <v>22</v>
      </c>
      <c r="L1516" s="1" t="str">
        <f>HYPERLINK("https://files.afu.se/Downloads/Transcripts/0%20-%20Government/USA%20-%20NASA%20Johnson/2015 01 29 - NASA Johnson - ISS Benefits for Humanity  Train Like an Astronaut_mAX67AfvD9A - transcript (automated).pdf","Transcript Link")</f>
        <v>Transcript Link</v>
      </c>
      <c r="M1516" s="2" t="str">
        <f>HYPERLINK("https://files.afu.se/Downloads/Transcripts/0%20-%20Government/USA%20-%20NASA%20Johnson/2015 01 29 - NASA Johnson - ISS Benefits for Humanity  Train Like an Astronaut_mAX67AfvD9A - transcript (automated).pdf","Transcript Link")</f>
        <v>Transcript Link</v>
      </c>
    </row>
    <row r="1517" ht="180" spans="1:13">
      <c r="A1517" s="1" t="s">
        <v>6697</v>
      </c>
      <c r="B1517" s="1" t="s">
        <v>13</v>
      </c>
      <c r="C1517" s="4" t="s">
        <v>6698</v>
      </c>
      <c r="D1517" s="1" t="s">
        <v>6699</v>
      </c>
      <c r="E1517" s="1" t="s">
        <v>6700</v>
      </c>
      <c r="F1517" s="4" t="s">
        <v>17</v>
      </c>
      <c r="G1517" s="1" t="s">
        <v>18</v>
      </c>
      <c r="H1517" s="1" t="s">
        <v>19</v>
      </c>
      <c r="I1517" s="1" t="s">
        <v>20</v>
      </c>
      <c r="J1517" s="1" t="s">
        <v>6701</v>
      </c>
      <c r="K1517" s="1" t="s">
        <v>22</v>
      </c>
      <c r="L1517" s="1" t="str">
        <f>HYPERLINK("https://files.afu.se/Downloads/Transcripts/0%20-%20Government/USA%20-%20NASA%20Johnson/2015 01 28 - NASA Johnson - 2015 Blizzard – Time-Lapse video from International Space Station_vf3dBiAm0KE - transcript (automated).pdf","Transcript Link")</f>
        <v>Transcript Link</v>
      </c>
      <c r="M1517" s="2" t="str">
        <f>HYPERLINK("https://files.afu.se/Downloads/Transcripts/0%20-%20Government/USA%20-%20NASA%20Johnson/2015 01 28 - NASA Johnson - 2015 Blizzard – Time-Lapse video from International Space Station_vf3dBiAm0KE - transcript (automated).pdf","Transcript Link")</f>
        <v>Transcript Link</v>
      </c>
    </row>
    <row r="1518" ht="180" spans="1:13">
      <c r="A1518" s="1" t="s">
        <v>6697</v>
      </c>
      <c r="B1518" s="1" t="s">
        <v>13</v>
      </c>
      <c r="C1518" s="4" t="s">
        <v>6702</v>
      </c>
      <c r="D1518" s="1" t="s">
        <v>6703</v>
      </c>
      <c r="E1518" s="1" t="s">
        <v>6704</v>
      </c>
      <c r="F1518" s="4" t="s">
        <v>17</v>
      </c>
      <c r="G1518" s="1" t="s">
        <v>18</v>
      </c>
      <c r="H1518" s="1" t="s">
        <v>19</v>
      </c>
      <c r="I1518" s="1" t="s">
        <v>20</v>
      </c>
      <c r="J1518" s="1" t="s">
        <v>6705</v>
      </c>
      <c r="K1518" s="1" t="s">
        <v>22</v>
      </c>
      <c r="L1518" s="1" t="str">
        <f>HYPERLINK("https://files.afu.se/Downloads/Transcripts/0%20-%20Government/USA%20-%20NASA%20Johnson/2015 01 28 - NASA Johnson - Space Station Live  Behind the Glamor of Living in Space_SGdkgV0o8xg - transcript (automated).pdf","Transcript Link")</f>
        <v>Transcript Link</v>
      </c>
      <c r="M1518" s="2" t="str">
        <f>HYPERLINK("https://files.afu.se/Downloads/Transcripts/0%20-%20Government/USA%20-%20NASA%20Johnson/2015 01 28 - NASA Johnson - Space Station Live  Behind the Glamor of Living in Space_SGdkgV0o8xg - transcript (automated).pdf","Transcript Link")</f>
        <v>Transcript Link</v>
      </c>
    </row>
    <row r="1519" ht="180" spans="1:13">
      <c r="A1519" s="1" t="s">
        <v>6706</v>
      </c>
      <c r="B1519" s="1" t="s">
        <v>13</v>
      </c>
      <c r="C1519" s="4" t="s">
        <v>6707</v>
      </c>
      <c r="D1519" s="1" t="s">
        <v>6708</v>
      </c>
      <c r="E1519" s="1" t="s">
        <v>6709</v>
      </c>
      <c r="F1519" s="4" t="s">
        <v>17</v>
      </c>
      <c r="G1519" s="1" t="s">
        <v>18</v>
      </c>
      <c r="H1519" s="1" t="s">
        <v>19</v>
      </c>
      <c r="I1519" s="1" t="s">
        <v>20</v>
      </c>
      <c r="J1519" s="1" t="s">
        <v>6710</v>
      </c>
      <c r="K1519" s="1" t="s">
        <v>22</v>
      </c>
      <c r="L1519" s="1" t="str">
        <f>HYPERLINK("https://files.afu.se/Downloads/Transcripts/0%20-%20Government/USA%20-%20NASA%20Johnson/2015 01 27 - NASA Johnson - Space Station Live  Fighting Coarsening in Colloids_yR6VnGvWFks - transcript (automated).pdf","Transcript Link")</f>
        <v>Transcript Link</v>
      </c>
      <c r="M1519" s="2" t="str">
        <f>HYPERLINK("https://files.afu.se/Downloads/Transcripts/0%20-%20Government/USA%20-%20NASA%20Johnson/2015 01 27 - NASA Johnson - Space Station Live  Fighting Coarsening in Colloids_yR6VnGvWFks - transcript (automated).pdf","Transcript Link")</f>
        <v>Transcript Link</v>
      </c>
    </row>
    <row r="1520" ht="180" spans="1:13">
      <c r="A1520" s="1" t="s">
        <v>6711</v>
      </c>
      <c r="B1520" s="1" t="s">
        <v>13</v>
      </c>
      <c r="C1520" s="4" t="s">
        <v>6712</v>
      </c>
      <c r="D1520" s="1" t="s">
        <v>6713</v>
      </c>
      <c r="E1520" s="1" t="s">
        <v>6714</v>
      </c>
      <c r="F1520" s="4" t="s">
        <v>17</v>
      </c>
      <c r="G1520" s="1" t="s">
        <v>18</v>
      </c>
      <c r="H1520" s="1" t="s">
        <v>19</v>
      </c>
      <c r="I1520" s="1" t="s">
        <v>20</v>
      </c>
      <c r="J1520" s="1" t="s">
        <v>6715</v>
      </c>
      <c r="K1520" s="1" t="s">
        <v>22</v>
      </c>
      <c r="L1520" s="1" t="str">
        <f>HYPERLINK("https://files.afu.se/Downloads/Transcripts/0%20-%20Government/USA%20-%20NASA%20Johnson/2015 01 26 - NASA Johnson - Space Station Live  Micro 5_df1ck6RjdYc - transcript (automated).pdf","Transcript Link")</f>
        <v>Transcript Link</v>
      </c>
      <c r="M1520" s="2" t="str">
        <f>HYPERLINK("https://files.afu.se/Downloads/Transcripts/0%20-%20Government/USA%20-%20NASA%20Johnson/2015 01 26 - NASA Johnson - Space Station Live  Micro 5_df1ck6RjdYc - transcript (automated).pdf","Transcript Link")</f>
        <v>Transcript Link</v>
      </c>
    </row>
    <row r="1521" ht="180" spans="1:13">
      <c r="A1521" s="1" t="s">
        <v>6716</v>
      </c>
      <c r="B1521" s="1" t="s">
        <v>13</v>
      </c>
      <c r="C1521" s="4" t="s">
        <v>6717</v>
      </c>
      <c r="D1521" s="1" t="s">
        <v>6718</v>
      </c>
      <c r="E1521" s="1" t="s">
        <v>5059</v>
      </c>
      <c r="F1521" s="4" t="s">
        <v>17</v>
      </c>
      <c r="G1521" s="1" t="s">
        <v>18</v>
      </c>
      <c r="H1521" s="1" t="s">
        <v>19</v>
      </c>
      <c r="I1521" s="1" t="s">
        <v>20</v>
      </c>
      <c r="J1521" s="1" t="s">
        <v>6719</v>
      </c>
      <c r="K1521" s="1" t="s">
        <v>22</v>
      </c>
      <c r="L1521" s="1" t="str">
        <f>HYPERLINK("https://files.afu.se/Downloads/Transcripts/0%20-%20Government/USA%20-%20NASA%20Johnson/2015 01 23 - NASA Johnson - Space to Ground  CATS Out of The Bag  1 23 15_m-vwZ2ybdMg - transcript (automated).pdf","Transcript Link")</f>
        <v>Transcript Link</v>
      </c>
      <c r="M1521" s="2" t="str">
        <f>HYPERLINK("https://files.afu.se/Downloads/Transcripts/0%20-%20Government/USA%20-%20NASA%20Johnson/2015 01 23 - NASA Johnson - Space to Ground  CATS Out of The Bag  1 23 15_m-vwZ2ybdMg - transcript (automated).pdf","Transcript Link")</f>
        <v>Transcript Link</v>
      </c>
    </row>
    <row r="1522" ht="195" spans="1:13">
      <c r="A1522" s="1" t="s">
        <v>6720</v>
      </c>
      <c r="B1522" s="1" t="s">
        <v>13</v>
      </c>
      <c r="C1522" s="4" t="s">
        <v>6721</v>
      </c>
      <c r="D1522" s="1" t="s">
        <v>6722</v>
      </c>
      <c r="E1522" s="1" t="s">
        <v>6723</v>
      </c>
      <c r="F1522" s="4" t="s">
        <v>17</v>
      </c>
      <c r="G1522" s="1" t="s">
        <v>18</v>
      </c>
      <c r="H1522" s="1" t="s">
        <v>19</v>
      </c>
      <c r="I1522" s="1" t="s">
        <v>20</v>
      </c>
      <c r="J1522" s="1" t="s">
        <v>6724</v>
      </c>
      <c r="K1522" s="1" t="s">
        <v>22</v>
      </c>
      <c r="L1522" s="1" t="str">
        <f>HYPERLINK("https://files.afu.se/Downloads/Transcripts/0%20-%20Government/USA%20-%20NASA%20Johnson/2015 01 22 - NASA Johnson - Space Station Live  Biochemically Profiling Astronauts in Space_V3XxFX7Hhk0 - transcript (automated).pdf","Transcript Link")</f>
        <v>Transcript Link</v>
      </c>
      <c r="M1522" s="2" t="str">
        <f>HYPERLINK("https://files.afu.se/Downloads/Transcripts/0%20-%20Government/USA%20-%20NASA%20Johnson/2015 01 22 - NASA Johnson - Space Station Live  Biochemically Profiling Astronauts in Space_V3XxFX7Hhk0 - transcript (automated).pdf","Transcript Link")</f>
        <v>Transcript Link</v>
      </c>
    </row>
    <row r="1523" ht="180" spans="1:13">
      <c r="A1523" s="1" t="s">
        <v>6725</v>
      </c>
      <c r="B1523" s="1" t="s">
        <v>13</v>
      </c>
      <c r="C1523" s="4" t="s">
        <v>6726</v>
      </c>
      <c r="D1523" s="1" t="s">
        <v>6727</v>
      </c>
      <c r="E1523" s="1" t="s">
        <v>6728</v>
      </c>
      <c r="F1523" s="4" t="s">
        <v>17</v>
      </c>
      <c r="G1523" s="1" t="s">
        <v>18</v>
      </c>
      <c r="H1523" s="1" t="s">
        <v>19</v>
      </c>
      <c r="I1523" s="1" t="s">
        <v>20</v>
      </c>
      <c r="J1523" s="1" t="s">
        <v>6729</v>
      </c>
      <c r="K1523" s="1" t="s">
        <v>22</v>
      </c>
      <c r="L1523" s="1" t="str">
        <f>HYPERLINK("https://files.afu.se/Downloads/Transcripts/0%20-%20Government/USA%20-%20NASA%20Johnson/2015 01 21 - NASA Johnson - Space Station Live  Immunity in Microgravity_y4mVmXeefBw - transcript (automated).pdf","Transcript Link")</f>
        <v>Transcript Link</v>
      </c>
      <c r="M1523" s="2" t="str">
        <f>HYPERLINK("https://files.afu.se/Downloads/Transcripts/0%20-%20Government/USA%20-%20NASA%20Johnson/2015 01 21 - NASA Johnson - Space Station Live  Immunity in Microgravity_y4mVmXeefBw - transcript (automated).pdf","Transcript Link")</f>
        <v>Transcript Link</v>
      </c>
    </row>
    <row r="1524" ht="180" spans="1:13">
      <c r="A1524" s="1" t="s">
        <v>6730</v>
      </c>
      <c r="B1524" s="1" t="s">
        <v>13</v>
      </c>
      <c r="C1524" s="4" t="s">
        <v>6731</v>
      </c>
      <c r="D1524" s="1" t="s">
        <v>6732</v>
      </c>
      <c r="E1524" s="1" t="s">
        <v>6733</v>
      </c>
      <c r="F1524" s="4" t="s">
        <v>17</v>
      </c>
      <c r="G1524" s="1" t="s">
        <v>18</v>
      </c>
      <c r="H1524" s="1" t="s">
        <v>19</v>
      </c>
      <c r="I1524" s="1" t="s">
        <v>20</v>
      </c>
      <c r="J1524" s="1" t="s">
        <v>6734</v>
      </c>
      <c r="K1524" s="1" t="s">
        <v>22</v>
      </c>
      <c r="L1524" s="1" t="str">
        <f>HYPERLINK("https://files.afu.se/Downloads/Transcripts/0%20-%20Government/USA%20-%20NASA%20Johnson/2015 01 20 - NASA Johnson - Space Station Live  Why Fruit Flies_ZDGF6OhTtr0 - transcript (automated).pdf","Transcript Link")</f>
        <v>Transcript Link</v>
      </c>
      <c r="M1524" s="2" t="str">
        <f>HYPERLINK("https://files.afu.se/Downloads/Transcripts/0%20-%20Government/USA%20-%20NASA%20Johnson/2015 01 20 - NASA Johnson - Space Station Live  Why Fruit Flies_ZDGF6OhTtr0 - transcript (automated).pdf","Transcript Link")</f>
        <v>Transcript Link</v>
      </c>
    </row>
    <row r="1525" ht="180" spans="1:13">
      <c r="A1525" s="1" t="s">
        <v>6735</v>
      </c>
      <c r="B1525" s="1" t="s">
        <v>13</v>
      </c>
      <c r="C1525" s="4" t="s">
        <v>6736</v>
      </c>
      <c r="D1525" s="1" t="s">
        <v>6737</v>
      </c>
      <c r="E1525" s="1" t="s">
        <v>5059</v>
      </c>
      <c r="F1525" s="4" t="s">
        <v>17</v>
      </c>
      <c r="G1525" s="1" t="s">
        <v>18</v>
      </c>
      <c r="H1525" s="1" t="s">
        <v>19</v>
      </c>
      <c r="I1525" s="1" t="s">
        <v>20</v>
      </c>
      <c r="J1525" s="1" t="s">
        <v>6738</v>
      </c>
      <c r="K1525" s="1" t="s">
        <v>22</v>
      </c>
      <c r="L1525" s="1" t="str">
        <f>HYPERLINK("https://files.afu.se/Downloads/Transcripts/0%20-%20Government/USA%20-%20NASA%20Johnson/2015 01 16 - NASA Johnson - Space to Ground  Capturing a Dragon  1 16 15_5fkvR9G4HWM - transcript (automated).pdf","Transcript Link")</f>
        <v>Transcript Link</v>
      </c>
      <c r="M1525" s="2" t="str">
        <f>HYPERLINK("https://files.afu.se/Downloads/Transcripts/0%20-%20Government/USA%20-%20NASA%20Johnson/2015 01 16 - NASA Johnson - Space to Ground  Capturing a Dragon  1 16 15_5fkvR9G4HWM - transcript (automated).pdf","Transcript Link")</f>
        <v>Transcript Link</v>
      </c>
    </row>
    <row r="1526" ht="180" spans="1:13">
      <c r="A1526" s="1" t="s">
        <v>6739</v>
      </c>
      <c r="B1526" s="1" t="s">
        <v>13</v>
      </c>
      <c r="C1526" s="4" t="s">
        <v>6740</v>
      </c>
      <c r="D1526" s="1" t="s">
        <v>6741</v>
      </c>
      <c r="E1526" s="1" t="s">
        <v>6742</v>
      </c>
      <c r="F1526" s="4" t="s">
        <v>17</v>
      </c>
      <c r="G1526" s="1" t="s">
        <v>18</v>
      </c>
      <c r="H1526" s="1" t="s">
        <v>19</v>
      </c>
      <c r="I1526" s="1" t="s">
        <v>20</v>
      </c>
      <c r="J1526" s="1" t="s">
        <v>6743</v>
      </c>
      <c r="K1526" s="1" t="s">
        <v>22</v>
      </c>
      <c r="L1526" s="1" t="str">
        <f>HYPERLINK("https://files.afu.se/Downloads/Transcripts/0%20-%20Government/USA%20-%20NASA%20Johnson/2015 01 15 - NASA Johnson - Veteran Crew to Fly for One Year_AcvJfX24KoA - transcript (automated).pdf","Transcript Link")</f>
        <v>Transcript Link</v>
      </c>
      <c r="M1526" s="2" t="str">
        <f>HYPERLINK("https://files.afu.se/Downloads/Transcripts/0%20-%20Government/USA%20-%20NASA%20Johnson/2015 01 15 - NASA Johnson - Veteran Crew to Fly for One Year_AcvJfX24KoA - transcript (automated).pdf","Transcript Link")</f>
        <v>Transcript Link</v>
      </c>
    </row>
    <row r="1527" ht="180" spans="1:13">
      <c r="A1527" s="1" t="s">
        <v>6744</v>
      </c>
      <c r="B1527" s="1" t="s">
        <v>13</v>
      </c>
      <c r="C1527" s="4" t="s">
        <v>6745</v>
      </c>
      <c r="D1527" s="1" t="s">
        <v>6746</v>
      </c>
      <c r="E1527" s="1" t="s">
        <v>6747</v>
      </c>
      <c r="F1527" s="4" t="s">
        <v>17</v>
      </c>
      <c r="G1527" s="1" t="s">
        <v>18</v>
      </c>
      <c r="H1527" s="1" t="s">
        <v>19</v>
      </c>
      <c r="I1527" s="1" t="s">
        <v>20</v>
      </c>
      <c r="J1527" s="1" t="s">
        <v>6748</v>
      </c>
      <c r="K1527" s="1" t="s">
        <v>22</v>
      </c>
      <c r="L1527" s="1" t="str">
        <f>HYPERLINK("https://files.afu.se/Downloads/Transcripts/0%20-%20Government/USA%20-%20NASA%20Johnson/2015 01 14 - NASA Johnson - ISS Mission Control Console Interview with the Digital Learning Network_k8eI-D_qQg0 - transcript (automated).pdf","Transcript Link")</f>
        <v>Transcript Link</v>
      </c>
      <c r="M1527" s="2" t="str">
        <f>HYPERLINK("https://files.afu.se/Downloads/Transcripts/0%20-%20Government/USA%20-%20NASA%20Johnson/2015 01 14 - NASA Johnson - ISS Mission Control Console Interview with the Digital Learning Network_k8eI-D_qQg0 - transcript (automated).pdf","Transcript Link")</f>
        <v>Transcript Link</v>
      </c>
    </row>
    <row r="1528" ht="195" spans="1:13">
      <c r="A1528" s="1" t="s">
        <v>6744</v>
      </c>
      <c r="B1528" s="1" t="s">
        <v>13</v>
      </c>
      <c r="C1528" s="4" t="s">
        <v>6749</v>
      </c>
      <c r="D1528" s="1" t="s">
        <v>6750</v>
      </c>
      <c r="E1528" s="1" t="s">
        <v>6751</v>
      </c>
      <c r="F1528" s="4" t="s">
        <v>17</v>
      </c>
      <c r="G1528" s="1" t="s">
        <v>18</v>
      </c>
      <c r="H1528" s="1" t="s">
        <v>19</v>
      </c>
      <c r="I1528" s="1" t="s">
        <v>20</v>
      </c>
      <c r="J1528" s="1" t="s">
        <v>6752</v>
      </c>
      <c r="K1528" s="1" t="s">
        <v>22</v>
      </c>
      <c r="L1528" s="1" t="str">
        <f>HYPERLINK("https://files.afu.se/Downloads/Transcripts/0%20-%20Government/USA%20-%20NASA%20Johnson/2015 01 14 - NASA Johnson - Space Station Live  Fruit Fly Lab_ZIr7XmJ0WS4 - transcript (automated).pdf","Transcript Link")</f>
        <v>Transcript Link</v>
      </c>
      <c r="M1528" s="2" t="str">
        <f>HYPERLINK("https://files.afu.se/Downloads/Transcripts/0%20-%20Government/USA%20-%20NASA%20Johnson/2015 01 14 - NASA Johnson - Space Station Live  Fruit Fly Lab_ZIr7XmJ0WS4 - transcript (automated).pdf","Transcript Link")</f>
        <v>Transcript Link</v>
      </c>
    </row>
    <row r="1529" ht="195" spans="1:13">
      <c r="A1529" s="1" t="s">
        <v>6744</v>
      </c>
      <c r="B1529" s="1" t="s">
        <v>13</v>
      </c>
      <c r="C1529" s="4" t="s">
        <v>6753</v>
      </c>
      <c r="D1529" s="1" t="s">
        <v>6754</v>
      </c>
      <c r="E1529" s="1" t="s">
        <v>6755</v>
      </c>
      <c r="F1529" s="4" t="s">
        <v>17</v>
      </c>
      <c r="G1529" s="1" t="s">
        <v>18</v>
      </c>
      <c r="H1529" s="1" t="s">
        <v>19</v>
      </c>
      <c r="I1529" s="1" t="s">
        <v>20</v>
      </c>
      <c r="J1529" s="1" t="s">
        <v>6756</v>
      </c>
      <c r="K1529" s="1" t="s">
        <v>22</v>
      </c>
      <c r="L1529" s="1" t="str">
        <f>HYPERLINK("https://files.afu.se/Downloads/Transcripts/0%20-%20Government/USA%20-%20NASA%20Johnson/2015 01 14 - NASA Johnson - Space Station Live  Responding to the Unexpected_q6uGES6CVYo - transcript (automated).pdf","Transcript Link")</f>
        <v>Transcript Link</v>
      </c>
      <c r="M1529" s="2" t="str">
        <f>HYPERLINK("https://files.afu.se/Downloads/Transcripts/0%20-%20Government/USA%20-%20NASA%20Johnson/2015 01 14 - NASA Johnson - Space Station Live  Responding to the Unexpected_q6uGES6CVYo - transcript (automated).pdf","Transcript Link")</f>
        <v>Transcript Link</v>
      </c>
    </row>
    <row r="1530" ht="225" spans="1:13">
      <c r="A1530" s="1" t="s">
        <v>6757</v>
      </c>
      <c r="B1530" s="1" t="s">
        <v>13</v>
      </c>
      <c r="C1530" s="4" t="s">
        <v>6758</v>
      </c>
      <c r="D1530" s="1" t="s">
        <v>6759</v>
      </c>
      <c r="E1530" s="1" t="s">
        <v>6760</v>
      </c>
      <c r="F1530" s="4" t="s">
        <v>17</v>
      </c>
      <c r="G1530" s="1" t="s">
        <v>18</v>
      </c>
      <c r="H1530" s="1" t="s">
        <v>19</v>
      </c>
      <c r="I1530" s="1" t="s">
        <v>20</v>
      </c>
      <c r="J1530" s="1" t="s">
        <v>6761</v>
      </c>
      <c r="K1530" s="1" t="s">
        <v>22</v>
      </c>
      <c r="L1530" s="1" t="str">
        <f>HYPERLINK("https://files.afu.se/Downloads/Transcripts/0%20-%20Government/USA%20-%20NASA%20Johnson/2015 01 11 - NASA Johnson - StationLIFE  Nutrition Jan 2015_b42WNnKVS2A - transcript (automated).pdf","Transcript Link")</f>
        <v>Transcript Link</v>
      </c>
      <c r="M1530" s="2" t="str">
        <f>HYPERLINK("https://files.afu.se/Downloads/Transcripts/0%20-%20Government/USA%20-%20NASA%20Johnson/2015 01 11 - NASA Johnson - StationLIFE  Nutrition Jan 2015_b42WNnKVS2A - transcript (automated).pdf","Transcript Link")</f>
        <v>Transcript Link</v>
      </c>
    </row>
    <row r="1531" ht="180" spans="1:13">
      <c r="A1531" s="1" t="s">
        <v>6762</v>
      </c>
      <c r="B1531" s="1" t="s">
        <v>13</v>
      </c>
      <c r="C1531" s="4" t="s">
        <v>6763</v>
      </c>
      <c r="D1531" s="1" t="s">
        <v>6764</v>
      </c>
      <c r="E1531" s="1" t="s">
        <v>5059</v>
      </c>
      <c r="F1531" s="4" t="s">
        <v>17</v>
      </c>
      <c r="G1531" s="1" t="s">
        <v>18</v>
      </c>
      <c r="H1531" s="1" t="s">
        <v>19</v>
      </c>
      <c r="I1531" s="1" t="s">
        <v>20</v>
      </c>
      <c r="J1531" s="1" t="s">
        <v>6765</v>
      </c>
      <c r="K1531" s="1" t="s">
        <v>22</v>
      </c>
      <c r="L1531" s="1" t="str">
        <f>HYPERLINK("https://files.afu.se/Downloads/Transcripts/0%20-%20Government/USA%20-%20NASA%20Johnson/2015 01 09 - NASA Johnson - Space to Ground   Flying  High  1 9 15_8G3-3gP6h98 - transcript (automated).pdf","Transcript Link")</f>
        <v>Transcript Link</v>
      </c>
      <c r="M1531" s="2" t="str">
        <f>HYPERLINK("https://files.afu.se/Downloads/Transcripts/0%20-%20Government/USA%20-%20NASA%20Johnson/2015 01 09 - NASA Johnson - Space to Ground   Flying  High  1 9 15_8G3-3gP6h98 - transcript (automated).pdf","Transcript Link")</f>
        <v>Transcript Link</v>
      </c>
    </row>
    <row r="1532" ht="180" spans="1:13">
      <c r="A1532" s="1" t="s">
        <v>6766</v>
      </c>
      <c r="B1532" s="1" t="s">
        <v>13</v>
      </c>
      <c r="C1532" s="4" t="s">
        <v>6767</v>
      </c>
      <c r="D1532" s="1" t="s">
        <v>6768</v>
      </c>
      <c r="E1532" s="1" t="s">
        <v>6769</v>
      </c>
      <c r="F1532" s="4" t="s">
        <v>17</v>
      </c>
      <c r="G1532" s="1" t="s">
        <v>18</v>
      </c>
      <c r="H1532" s="1" t="s">
        <v>19</v>
      </c>
      <c r="I1532" s="1" t="s">
        <v>20</v>
      </c>
      <c r="J1532" s="1" t="s">
        <v>6770</v>
      </c>
      <c r="K1532" s="1" t="s">
        <v>22</v>
      </c>
      <c r="L1532" s="1" t="str">
        <f>HYPERLINK("https://files.afu.se/Downloads/Transcripts/0%20-%20Government/USA%20-%20NASA%20Johnson/2015 01 07 - NASA Johnson - Space Station Live  Nutrition in Space_Zy5iLOGMiUc - transcript (automated).pdf","Transcript Link")</f>
        <v>Transcript Link</v>
      </c>
      <c r="M1532" s="2" t="str">
        <f>HYPERLINK("https://files.afu.se/Downloads/Transcripts/0%20-%20Government/USA%20-%20NASA%20Johnson/2015 01 07 - NASA Johnson - Space Station Live  Nutrition in Space_Zy5iLOGMiUc - transcript (automated).pdf","Transcript Link")</f>
        <v>Transcript Link</v>
      </c>
    </row>
    <row r="1533" ht="180" spans="1:13">
      <c r="A1533" s="1" t="s">
        <v>6771</v>
      </c>
      <c r="B1533" s="1" t="s">
        <v>13</v>
      </c>
      <c r="C1533" s="4" t="s">
        <v>6772</v>
      </c>
      <c r="D1533" s="1" t="s">
        <v>6773</v>
      </c>
      <c r="E1533" s="1" t="s">
        <v>6774</v>
      </c>
      <c r="F1533" s="4" t="s">
        <v>17</v>
      </c>
      <c r="G1533" s="1" t="s">
        <v>18</v>
      </c>
      <c r="H1533" s="1" t="s">
        <v>19</v>
      </c>
      <c r="I1533" s="1" t="s">
        <v>20</v>
      </c>
      <c r="J1533" s="1" t="s">
        <v>6775</v>
      </c>
      <c r="K1533" s="1" t="s">
        <v>22</v>
      </c>
      <c r="L1533" s="1" t="str">
        <f>HYPERLINK("https://files.afu.se/Downloads/Transcripts/0%20-%20Government/USA%20-%20NASA%20Johnson/2014 12 31 - NASA Johnson - Astronaut Terry Virts Setting up Robonaut_rveJ_STbBjw - transcript (automated).pdf","Transcript Link")</f>
        <v>Transcript Link</v>
      </c>
      <c r="M1533" s="2" t="str">
        <f>HYPERLINK("https://files.afu.se/Downloads/Transcripts/0%20-%20Government/USA%20-%20NASA%20Johnson/2014 12 31 - NASA Johnson - Astronaut Terry Virts Setting up Robonaut_rveJ_STbBjw - transcript (automated).pdf","Transcript Link")</f>
        <v>Transcript Link</v>
      </c>
    </row>
    <row r="1534" ht="180" spans="1:13">
      <c r="A1534" s="1" t="s">
        <v>6776</v>
      </c>
      <c r="B1534" s="1" t="s">
        <v>13</v>
      </c>
      <c r="C1534" s="4" t="s">
        <v>6777</v>
      </c>
      <c r="D1534" s="1" t="s">
        <v>6778</v>
      </c>
      <c r="E1534" s="1" t="s">
        <v>6779</v>
      </c>
      <c r="F1534" s="4" t="s">
        <v>17</v>
      </c>
      <c r="G1534" s="1" t="s">
        <v>18</v>
      </c>
      <c r="H1534" s="1" t="s">
        <v>19</v>
      </c>
      <c r="I1534" s="1" t="s">
        <v>20</v>
      </c>
      <c r="J1534" s="1" t="s">
        <v>6780</v>
      </c>
      <c r="K1534" s="1" t="s">
        <v>22</v>
      </c>
      <c r="L1534" s="1" t="str">
        <f>HYPERLINK("https://files.afu.se/Downloads/Transcripts/0%20-%20Government/USA%20-%20NASA%20Johnson/2014 12 30 - NASA Johnson - Expedition 42 New Year’s Message_FZ1xCAFasRA - transcript (automated).pdf","Transcript Link")</f>
        <v>Transcript Link</v>
      </c>
      <c r="M1534" s="2" t="str">
        <f>HYPERLINK("https://files.afu.se/Downloads/Transcripts/0%20-%20Government/USA%20-%20NASA%20Johnson/2014 12 30 - NASA Johnson - Expedition 42 New Year’s Message_FZ1xCAFasRA - transcript (automated).pdf","Transcript Link")</f>
        <v>Transcript Link</v>
      </c>
    </row>
    <row r="1535" ht="180" spans="1:13">
      <c r="A1535" s="1" t="s">
        <v>6781</v>
      </c>
      <c r="B1535" s="1" t="s">
        <v>13</v>
      </c>
      <c r="C1535" s="4" t="s">
        <v>6782</v>
      </c>
      <c r="D1535" s="1" t="s">
        <v>6783</v>
      </c>
      <c r="E1535" s="1" t="s">
        <v>6784</v>
      </c>
      <c r="F1535" s="4" t="s">
        <v>17</v>
      </c>
      <c r="G1535" s="1" t="s">
        <v>18</v>
      </c>
      <c r="H1535" s="1" t="s">
        <v>19</v>
      </c>
      <c r="I1535" s="1" t="s">
        <v>20</v>
      </c>
      <c r="J1535" s="1" t="s">
        <v>6785</v>
      </c>
      <c r="K1535" s="1" t="s">
        <v>22</v>
      </c>
      <c r="L1535" s="1" t="str">
        <f>HYPERLINK("https://files.afu.se/Downloads/Transcripts/0%20-%20Government/USA%20-%20NASA%20Johnson/2014 12 29 - NASA Johnson - Birthday Wishes to Space Station Commander Wilmore_RkNN1nVLhag - transcript (automated).pdf","Transcript Link")</f>
        <v>Transcript Link</v>
      </c>
      <c r="M1535" s="2" t="str">
        <f>HYPERLINK("https://files.afu.se/Downloads/Transcripts/0%20-%20Government/USA%20-%20NASA%20Johnson/2014 12 29 - NASA Johnson - Birthday Wishes to Space Station Commander Wilmore_RkNN1nVLhag - transcript (automated).pdf","Transcript Link")</f>
        <v>Transcript Link</v>
      </c>
    </row>
    <row r="1536" ht="180" spans="1:13">
      <c r="A1536" s="1" t="s">
        <v>6786</v>
      </c>
      <c r="B1536" s="1" t="s">
        <v>13</v>
      </c>
      <c r="C1536" s="4" t="s">
        <v>6787</v>
      </c>
      <c r="D1536" s="1" t="s">
        <v>6788</v>
      </c>
      <c r="E1536" s="1" t="s">
        <v>5059</v>
      </c>
      <c r="F1536" s="4" t="s">
        <v>17</v>
      </c>
      <c r="G1536" s="1" t="s">
        <v>18</v>
      </c>
      <c r="H1536" s="1" t="s">
        <v>19</v>
      </c>
      <c r="I1536" s="1" t="s">
        <v>20</v>
      </c>
      <c r="J1536" s="1" t="s">
        <v>6789</v>
      </c>
      <c r="K1536" s="1" t="s">
        <v>22</v>
      </c>
      <c r="L1536" s="1" t="str">
        <f>HYPERLINK("https://files.afu.se/Downloads/Transcripts/0%20-%20Government/USA%20-%20NASA%20Johnson/2014 12 26 - NASA Johnson - Space to Ground  2014 Off The Earth, For The Earth  12 26 2014__Oo9Hm6p3cI - transcript (automated).pdf","Transcript Link")</f>
        <v>Transcript Link</v>
      </c>
      <c r="M1536" s="2" t="str">
        <f>HYPERLINK("https://files.afu.se/Downloads/Transcripts/0%20-%20Government/USA%20-%20NASA%20Johnson/2014 12 26 - NASA Johnson - Space to Ground  2014 Off The Earth, For The Earth  12 26 2014__Oo9Hm6p3cI - transcript (automated).pdf","Transcript Link")</f>
        <v>Transcript Link</v>
      </c>
    </row>
    <row r="1537" ht="180" spans="1:13">
      <c r="A1537" s="1" t="s">
        <v>6790</v>
      </c>
      <c r="B1537" s="1" t="s">
        <v>13</v>
      </c>
      <c r="C1537" s="4" t="s">
        <v>6791</v>
      </c>
      <c r="D1537" s="1" t="s">
        <v>6792</v>
      </c>
      <c r="E1537" s="1" t="s">
        <v>6793</v>
      </c>
      <c r="F1537" s="4" t="s">
        <v>17</v>
      </c>
      <c r="G1537" s="1" t="s">
        <v>18</v>
      </c>
      <c r="H1537" s="1" t="s">
        <v>19</v>
      </c>
      <c r="I1537" s="1" t="s">
        <v>20</v>
      </c>
      <c r="J1537" s="1" t="s">
        <v>6794</v>
      </c>
      <c r="K1537" s="1" t="s">
        <v>22</v>
      </c>
      <c r="L1537" s="1" t="str">
        <f>HYPERLINK("https://files.afu.se/Downloads/Transcripts/0%20-%20Government/USA%20-%20NASA%20Johnson/2014 12 23 - NASA Johnson - Space Station Live  This is Your Brain on Microgravity_iIcMvn1g-NA - transcript (automated).pdf","Transcript Link")</f>
        <v>Transcript Link</v>
      </c>
      <c r="M1537" s="2" t="str">
        <f>HYPERLINK("https://files.afu.se/Downloads/Transcripts/0%20-%20Government/USA%20-%20NASA%20Johnson/2014 12 23 - NASA Johnson - Space Station Live  This is Your Brain on Microgravity_iIcMvn1g-NA - transcript (automated).pdf","Transcript Link")</f>
        <v>Transcript Link</v>
      </c>
    </row>
    <row r="1538" ht="240" spans="1:13">
      <c r="A1538" s="1" t="s">
        <v>6790</v>
      </c>
      <c r="B1538" s="1" t="s">
        <v>13</v>
      </c>
      <c r="C1538" s="4" t="s">
        <v>6795</v>
      </c>
      <c r="D1538" s="1" t="s">
        <v>6796</v>
      </c>
      <c r="E1538" s="1" t="s">
        <v>6797</v>
      </c>
      <c r="F1538" s="4" t="s">
        <v>17</v>
      </c>
      <c r="G1538" s="1" t="s">
        <v>18</v>
      </c>
      <c r="H1538" s="1" t="s">
        <v>19</v>
      </c>
      <c r="I1538" s="1" t="s">
        <v>20</v>
      </c>
      <c r="J1538" s="1" t="s">
        <v>6798</v>
      </c>
      <c r="K1538" s="1" t="s">
        <v>22</v>
      </c>
      <c r="L1538" s="1" t="str">
        <f>HYPERLINK("https://files.afu.se/Downloads/Transcripts/0%20-%20Government/USA%20-%20NASA%20Johnson/2014 12 23 - NASA Johnson - 93 Million Miles_0zLp1bINKW4 - transcript (automated).pdf","Transcript Link")</f>
        <v>Transcript Link</v>
      </c>
      <c r="M1538" s="2" t="str">
        <f>HYPERLINK("https://files.afu.se/Downloads/Transcripts/0%20-%20Government/USA%20-%20NASA%20Johnson/2014 12 23 - NASA Johnson - 93 Million Miles_0zLp1bINKW4 - transcript (automated).pdf","Transcript Link")</f>
        <v>Transcript Link</v>
      </c>
    </row>
    <row r="1539" ht="180" spans="1:13">
      <c r="A1539" s="1" t="s">
        <v>6799</v>
      </c>
      <c r="B1539" s="1" t="s">
        <v>13</v>
      </c>
      <c r="C1539" s="4" t="s">
        <v>6800</v>
      </c>
      <c r="D1539" s="1" t="s">
        <v>6801</v>
      </c>
      <c r="E1539" s="1" t="s">
        <v>6802</v>
      </c>
      <c r="F1539" s="4" t="s">
        <v>17</v>
      </c>
      <c r="G1539" s="1" t="s">
        <v>18</v>
      </c>
      <c r="H1539" s="1" t="s">
        <v>19</v>
      </c>
      <c r="I1539" s="1" t="s">
        <v>20</v>
      </c>
      <c r="J1539" s="1" t="s">
        <v>6803</v>
      </c>
      <c r="K1539" s="1" t="s">
        <v>22</v>
      </c>
      <c r="L1539" s="1" t="str">
        <f>HYPERLINK("https://files.afu.se/Downloads/Transcripts/0%20-%20Government/USA%20-%20NASA%20Johnson/2014 12 22 - NASA Johnson - Space Station Astronauts Say Merry Christmas and Thank You to the Troops_W8RtvWccU-E - transcript (automated).pdf","Transcript Link")</f>
        <v>Transcript Link</v>
      </c>
      <c r="M1539" s="2" t="str">
        <f>HYPERLINK("https://files.afu.se/Downloads/Transcripts/0%20-%20Government/USA%20-%20NASA%20Johnson/2014 12 22 - NASA Johnson - Space Station Astronauts Say Merry Christmas and Thank You to the Troops_W8RtvWccU-E - transcript (automated).pdf","Transcript Link")</f>
        <v>Transcript Link</v>
      </c>
    </row>
    <row r="1540" ht="225" spans="1:13">
      <c r="A1540" s="1" t="s">
        <v>6804</v>
      </c>
      <c r="B1540" s="1" t="s">
        <v>13</v>
      </c>
      <c r="C1540" s="4" t="s">
        <v>6805</v>
      </c>
      <c r="D1540" s="1" t="s">
        <v>6806</v>
      </c>
      <c r="E1540" s="1" t="s">
        <v>6807</v>
      </c>
      <c r="F1540" s="4" t="s">
        <v>17</v>
      </c>
      <c r="G1540" s="1" t="s">
        <v>18</v>
      </c>
      <c r="H1540" s="1" t="s">
        <v>19</v>
      </c>
      <c r="I1540" s="1" t="s">
        <v>20</v>
      </c>
      <c r="J1540" s="1" t="s">
        <v>6808</v>
      </c>
      <c r="K1540" s="1" t="s">
        <v>22</v>
      </c>
      <c r="L1540" s="1" t="str">
        <f>HYPERLINK("https://files.afu.se/Downloads/Transcripts/0%20-%20Government/USA%20-%20NASA%20Johnson/2014 12 19 - NASA Johnson - Astronaut’s-Eye View of NASA’s Orion Spacecraft Re-entry_MtWzuZ6WZ8E - transcript (automated).pdf","Transcript Link")</f>
        <v>Transcript Link</v>
      </c>
      <c r="M1540" s="2" t="str">
        <f>HYPERLINK("https://files.afu.se/Downloads/Transcripts/0%20-%20Government/USA%20-%20NASA%20Johnson/2014 12 19 - NASA Johnson - Astronaut’s-Eye View of NASA’s Orion Spacecraft Re-entry_MtWzuZ6WZ8E - transcript (automated).pdf","Transcript Link")</f>
        <v>Transcript Link</v>
      </c>
    </row>
    <row r="1541" ht="180" spans="1:13">
      <c r="A1541" s="1" t="s">
        <v>6804</v>
      </c>
      <c r="B1541" s="1" t="s">
        <v>13</v>
      </c>
      <c r="C1541" s="4" t="s">
        <v>6809</v>
      </c>
      <c r="D1541" s="1" t="s">
        <v>6810</v>
      </c>
      <c r="E1541" s="1" t="s">
        <v>5059</v>
      </c>
      <c r="F1541" s="4" t="s">
        <v>17</v>
      </c>
      <c r="G1541" s="1" t="s">
        <v>18</v>
      </c>
      <c r="H1541" s="1" t="s">
        <v>19</v>
      </c>
      <c r="I1541" s="1" t="s">
        <v>20</v>
      </c>
      <c r="J1541" s="1" t="s">
        <v>6811</v>
      </c>
      <c r="K1541" s="1" t="s">
        <v>22</v>
      </c>
      <c r="L1541" s="1" t="str">
        <f>HYPERLINK("https://files.afu.se/Downloads/Transcripts/0%20-%20Government/USA%20-%20NASA%20Johnson/2014 12 19 - NASA Johnson - Space to Ground  Vantage Point  12 19 14_UAApvdPJAcY - transcript (automated).pdf","Transcript Link")</f>
        <v>Transcript Link</v>
      </c>
      <c r="M1541" s="2" t="str">
        <f>HYPERLINK("https://files.afu.se/Downloads/Transcripts/0%20-%20Government/USA%20-%20NASA%20Johnson/2014 12 19 - NASA Johnson - Space to Ground  Vantage Point  12 19 14_UAApvdPJAcY - transcript (automated).pdf","Transcript Link")</f>
        <v>Transcript Link</v>
      </c>
    </row>
    <row r="1542" ht="180" spans="1:13">
      <c r="A1542" s="1" t="s">
        <v>6812</v>
      </c>
      <c r="B1542" s="1" t="s">
        <v>13</v>
      </c>
      <c r="C1542" s="4" t="s">
        <v>6813</v>
      </c>
      <c r="D1542" s="1" t="s">
        <v>6814</v>
      </c>
      <c r="E1542" s="1" t="s">
        <v>6815</v>
      </c>
      <c r="F1542" s="4" t="s">
        <v>17</v>
      </c>
      <c r="G1542" s="1" t="s">
        <v>18</v>
      </c>
      <c r="H1542" s="1" t="s">
        <v>19</v>
      </c>
      <c r="I1542" s="1" t="s">
        <v>20</v>
      </c>
      <c r="J1542" s="1" t="s">
        <v>6816</v>
      </c>
      <c r="K1542" s="1" t="s">
        <v>22</v>
      </c>
      <c r="L1542" s="1" t="str">
        <f>HYPERLINK("https://files.afu.se/Downloads/Transcripts/0%20-%20Government/USA%20-%20NASA%20Johnson/2014 12 17 - NASA Johnson - Space Station Live  Untangling Alzheimer’s Proteins on Orbit_PuF6x6S9D28 - transcript (automated).pdf","Transcript Link")</f>
        <v>Transcript Link</v>
      </c>
      <c r="M1542" s="2" t="str">
        <f>HYPERLINK("https://files.afu.se/Downloads/Transcripts/0%20-%20Government/USA%20-%20NASA%20Johnson/2014 12 17 - NASA Johnson - Space Station Live  Untangling Alzheimer’s Proteins on Orbit_PuF6x6S9D28 - transcript (automated).pdf","Transcript Link")</f>
        <v>Transcript Link</v>
      </c>
    </row>
    <row r="1543" ht="180" spans="1:13">
      <c r="A1543" s="1" t="s">
        <v>6812</v>
      </c>
      <c r="B1543" s="1" t="s">
        <v>13</v>
      </c>
      <c r="C1543" s="4" t="s">
        <v>6817</v>
      </c>
      <c r="D1543" s="1" t="s">
        <v>6818</v>
      </c>
      <c r="E1543" s="1" t="s">
        <v>6819</v>
      </c>
      <c r="F1543" s="4" t="s">
        <v>17</v>
      </c>
      <c r="G1543" s="1" t="s">
        <v>18</v>
      </c>
      <c r="H1543" s="1" t="s">
        <v>19</v>
      </c>
      <c r="I1543" s="1" t="s">
        <v>20</v>
      </c>
      <c r="J1543" s="1" t="s">
        <v>6820</v>
      </c>
      <c r="K1543" s="1" t="s">
        <v>22</v>
      </c>
      <c r="L1543" s="1" t="str">
        <f>HYPERLINK("https://files.afu.se/Downloads/Transcripts/0%20-%20Government/USA%20-%20NASA%20Johnson/2014 12 17 - NASA Johnson - Space Station Live  ISS  The Research Possibilities are Endless_Z3MGF3ASGU0 - transcript (automated).pdf","Transcript Link")</f>
        <v>Transcript Link</v>
      </c>
      <c r="M1543" s="2" t="str">
        <f>HYPERLINK("https://files.afu.se/Downloads/Transcripts/0%20-%20Government/USA%20-%20NASA%20Johnson/2014 12 17 - NASA Johnson - Space Station Live  ISS  The Research Possibilities are Endless_Z3MGF3ASGU0 - transcript (automated).pdf","Transcript Link")</f>
        <v>Transcript Link</v>
      </c>
    </row>
    <row r="1544" ht="255" spans="1:13">
      <c r="A1544" s="1" t="s">
        <v>6821</v>
      </c>
      <c r="B1544" s="1" t="s">
        <v>13</v>
      </c>
      <c r="C1544" s="4" t="s">
        <v>6822</v>
      </c>
      <c r="D1544" s="1" t="s">
        <v>6823</v>
      </c>
      <c r="E1544" s="1" t="s">
        <v>6824</v>
      </c>
      <c r="F1544" s="4" t="s">
        <v>17</v>
      </c>
      <c r="G1544" s="1" t="s">
        <v>18</v>
      </c>
      <c r="H1544" s="1" t="s">
        <v>19</v>
      </c>
      <c r="I1544" s="1" t="s">
        <v>20</v>
      </c>
      <c r="J1544" s="1" t="s">
        <v>6825</v>
      </c>
      <c r="K1544" s="1" t="s">
        <v>22</v>
      </c>
      <c r="L1544" s="1" t="str">
        <f>HYPERLINK("https://files.afu.se/Downloads/Transcripts/0%20-%20Government/USA%20-%20NASA%20Johnson/2014 12 15 - NASA Johnson - Johnson Space Center 2014 Highlights_Kqj81JN84Es - transcript (automated).pdf","Transcript Link")</f>
        <v>Transcript Link</v>
      </c>
      <c r="M1544" s="2" t="str">
        <f>HYPERLINK("https://files.afu.se/Downloads/Transcripts/0%20-%20Government/USA%20-%20NASA%20Johnson/2014 12 15 - NASA Johnson - Johnson Space Center 2014 Highlights_Kqj81JN84Es - transcript (automated).pdf","Transcript Link")</f>
        <v>Transcript Link</v>
      </c>
    </row>
    <row r="1545" ht="180" spans="1:13">
      <c r="A1545" s="1" t="s">
        <v>6826</v>
      </c>
      <c r="B1545" s="1" t="s">
        <v>13</v>
      </c>
      <c r="C1545" s="4" t="s">
        <v>6827</v>
      </c>
      <c r="D1545" s="1" t="s">
        <v>6828</v>
      </c>
      <c r="E1545" s="1" t="s">
        <v>6829</v>
      </c>
      <c r="F1545" s="4" t="s">
        <v>17</v>
      </c>
      <c r="G1545" s="1" t="s">
        <v>18</v>
      </c>
      <c r="H1545" s="1" t="s">
        <v>19</v>
      </c>
      <c r="I1545" s="1" t="s">
        <v>20</v>
      </c>
      <c r="J1545" s="1" t="s">
        <v>6830</v>
      </c>
      <c r="K1545" s="1" t="s">
        <v>22</v>
      </c>
      <c r="L1545" s="1" t="str">
        <f>HYPERLINK("https://files.afu.se/Downloads/Transcripts/0%20-%20Government/USA%20-%20NASA%20Johnson/2014 12 12 - NASA Johnson - Space Station Live  Yankee Clipper Ready to Sail Again_LCbRxZrlGso - transcript (automated).pdf","Transcript Link")</f>
        <v>Transcript Link</v>
      </c>
      <c r="M1545" s="2" t="str">
        <f>HYPERLINK("https://files.afu.se/Downloads/Transcripts/0%20-%20Government/USA%20-%20NASA%20Johnson/2014 12 12 - NASA Johnson - Space Station Live  Yankee Clipper Ready to Sail Again_LCbRxZrlGso - transcript (automated).pdf","Transcript Link")</f>
        <v>Transcript Link</v>
      </c>
    </row>
    <row r="1546" ht="180" spans="1:13">
      <c r="A1546" s="1" t="s">
        <v>6826</v>
      </c>
      <c r="B1546" s="1" t="s">
        <v>13</v>
      </c>
      <c r="C1546" s="4" t="s">
        <v>6831</v>
      </c>
      <c r="D1546" s="1" t="s">
        <v>6832</v>
      </c>
      <c r="E1546" s="1" t="s">
        <v>5059</v>
      </c>
      <c r="F1546" s="4" t="s">
        <v>17</v>
      </c>
      <c r="G1546" s="1" t="s">
        <v>18</v>
      </c>
      <c r="H1546" s="1" t="s">
        <v>19</v>
      </c>
      <c r="I1546" s="1" t="s">
        <v>20</v>
      </c>
      <c r="J1546" s="1" t="s">
        <v>6833</v>
      </c>
      <c r="K1546" s="1" t="s">
        <v>22</v>
      </c>
      <c r="L1546" s="1" t="str">
        <f>HYPERLINK("https://files.afu.se/Downloads/Transcripts/0%20-%20Government/USA%20-%20NASA%20Johnson/2014 12 12 - NASA Johnson - Space to Ground  Spacesuit Tune Up -- 12 12 14_xFPm4G3jjwc - transcript (automated).pdf","Transcript Link")</f>
        <v>Transcript Link</v>
      </c>
      <c r="M1546" s="2" t="str">
        <f>HYPERLINK("https://files.afu.se/Downloads/Transcripts/0%20-%20Government/USA%20-%20NASA%20Johnson/2014 12 12 - NASA Johnson - Space to Ground  Spacesuit Tune Up -- 12 12 14_xFPm4G3jjwc - transcript (automated).pdf","Transcript Link")</f>
        <v>Transcript Link</v>
      </c>
    </row>
    <row r="1547" ht="180" spans="1:13">
      <c r="A1547" s="1" t="s">
        <v>6834</v>
      </c>
      <c r="B1547" s="1" t="s">
        <v>13</v>
      </c>
      <c r="C1547" s="4" t="s">
        <v>6835</v>
      </c>
      <c r="D1547" s="1" t="s">
        <v>6836</v>
      </c>
      <c r="E1547" s="1" t="s">
        <v>6837</v>
      </c>
      <c r="F1547" s="4" t="s">
        <v>17</v>
      </c>
      <c r="G1547" s="1" t="s">
        <v>18</v>
      </c>
      <c r="H1547" s="1" t="s">
        <v>19</v>
      </c>
      <c r="I1547" s="1" t="s">
        <v>20</v>
      </c>
      <c r="J1547" s="1" t="s">
        <v>6838</v>
      </c>
      <c r="K1547" s="1" t="s">
        <v>22</v>
      </c>
      <c r="L1547" s="1" t="str">
        <f>HYPERLINK("https://files.afu.se/Downloads/Transcripts/0%20-%20Government/USA%20-%20NASA%20Johnson/2014 12 10 - NASA Johnson - Space Station Live  Improving Everyday Products on Earth through the ISS_tmj3z-P-V9Y - transcript (automated).pdf","Transcript Link")</f>
        <v>Transcript Link</v>
      </c>
      <c r="M1547" s="2" t="str">
        <f>HYPERLINK("https://files.afu.se/Downloads/Transcripts/0%20-%20Government/USA%20-%20NASA%20Johnson/2014 12 10 - NASA Johnson - Space Station Live  Improving Everyday Products on Earth through the ISS_tmj3z-P-V9Y - transcript (automated).pdf","Transcript Link")</f>
        <v>Transcript Link</v>
      </c>
    </row>
    <row r="1548" ht="180" spans="1:13">
      <c r="A1548" s="1" t="s">
        <v>6839</v>
      </c>
      <c r="B1548" s="1" t="s">
        <v>13</v>
      </c>
      <c r="C1548" s="4" t="s">
        <v>6840</v>
      </c>
      <c r="D1548" s="1" t="s">
        <v>4206</v>
      </c>
      <c r="E1548" s="1" t="s">
        <v>6841</v>
      </c>
      <c r="F1548" s="4" t="s">
        <v>17</v>
      </c>
      <c r="G1548" s="1" t="s">
        <v>18</v>
      </c>
      <c r="H1548" s="1" t="s">
        <v>19</v>
      </c>
      <c r="I1548" s="1" t="s">
        <v>20</v>
      </c>
      <c r="J1548" s="1" t="s">
        <v>6842</v>
      </c>
      <c r="K1548" s="1" t="s">
        <v>22</v>
      </c>
      <c r="L1548" s="1" t="str">
        <f>HYPERLINK("https://files.afu.se/Downloads/Transcripts/0%20-%20Government/USA%20-%20NASA%20Johnson/2014 12 09 - NASA Johnson - Exploring Beyond_TMQw8u4Ys0c - transcript (automated).pdf","Transcript Link")</f>
        <v>Transcript Link</v>
      </c>
      <c r="M1548" s="2" t="str">
        <f>HYPERLINK("https://files.afu.se/Downloads/Transcripts/0%20-%20Government/USA%20-%20NASA%20Johnson/2014 12 09 - NASA Johnson - Exploring Beyond_TMQw8u4Ys0c - transcript (automated).pdf","Transcript Link")</f>
        <v>Transcript Link</v>
      </c>
    </row>
    <row r="1549" ht="180" spans="1:13">
      <c r="A1549" s="1" t="s">
        <v>6839</v>
      </c>
      <c r="B1549" s="1" t="s">
        <v>13</v>
      </c>
      <c r="C1549" s="4" t="s">
        <v>6843</v>
      </c>
      <c r="D1549" s="1" t="s">
        <v>6844</v>
      </c>
      <c r="E1549" s="1" t="s">
        <v>6845</v>
      </c>
      <c r="F1549" s="4" t="s">
        <v>17</v>
      </c>
      <c r="G1549" s="1" t="s">
        <v>18</v>
      </c>
      <c r="H1549" s="1" t="s">
        <v>19</v>
      </c>
      <c r="I1549" s="1" t="s">
        <v>20</v>
      </c>
      <c r="J1549" s="1" t="s">
        <v>6846</v>
      </c>
      <c r="K1549" s="1" t="s">
        <v>22</v>
      </c>
      <c r="L1549" s="1" t="str">
        <f>HYPERLINK("https://files.afu.se/Downloads/Transcripts/0%20-%20Government/USA%20-%20NASA%20Johnson/2014 12 09 - NASA Johnson - Space Station Live  Aerosols in a CATS Eye_6-x4Z8JyKY4 - transcript (automated).pdf","Transcript Link")</f>
        <v>Transcript Link</v>
      </c>
      <c r="M1549" s="2" t="str">
        <f>HYPERLINK("https://files.afu.se/Downloads/Transcripts/0%20-%20Government/USA%20-%20NASA%20Johnson/2014 12 09 - NASA Johnson - Space Station Live  Aerosols in a CATS Eye_6-x4Z8JyKY4 - transcript (automated).pdf","Transcript Link")</f>
        <v>Transcript Link</v>
      </c>
    </row>
    <row r="1550" ht="180" spans="1:13">
      <c r="A1550" s="1" t="s">
        <v>6847</v>
      </c>
      <c r="B1550" s="1" t="s">
        <v>13</v>
      </c>
      <c r="C1550" s="4" t="s">
        <v>6848</v>
      </c>
      <c r="D1550" s="1" t="s">
        <v>6849</v>
      </c>
      <c r="E1550" s="1" t="s">
        <v>6850</v>
      </c>
      <c r="F1550" s="4" t="s">
        <v>17</v>
      </c>
      <c r="G1550" s="1" t="s">
        <v>18</v>
      </c>
      <c r="H1550" s="1" t="s">
        <v>19</v>
      </c>
      <c r="I1550" s="1" t="s">
        <v>20</v>
      </c>
      <c r="J1550" s="1" t="s">
        <v>6851</v>
      </c>
      <c r="K1550" s="1" t="s">
        <v>22</v>
      </c>
      <c r="L1550" s="1" t="str">
        <f>HYPERLINK("https://files.afu.se/Downloads/Transcripts/0%20-%20Government/USA%20-%20NASA%20Johnson/2014 12 08 - NASA Johnson - Monthly ISS Research Video Update for November 2014__lGw0MXkIss - transcript (automated).pdf","Transcript Link")</f>
        <v>Transcript Link</v>
      </c>
      <c r="M1550" s="2" t="str">
        <f>HYPERLINK("https://files.afu.se/Downloads/Transcripts/0%20-%20Government/USA%20-%20NASA%20Johnson/2014 12 08 - NASA Johnson - Monthly ISS Research Video Update for November 2014__lGw0MXkIss - transcript (automated).pdf","Transcript Link")</f>
        <v>Transcript Link</v>
      </c>
    </row>
    <row r="1551" ht="180" spans="1:13">
      <c r="A1551" s="1" t="s">
        <v>6852</v>
      </c>
      <c r="B1551" s="1" t="s">
        <v>13</v>
      </c>
      <c r="C1551" s="4" t="s">
        <v>6853</v>
      </c>
      <c r="D1551" s="1" t="s">
        <v>6854</v>
      </c>
      <c r="E1551" s="1" t="s">
        <v>5059</v>
      </c>
      <c r="F1551" s="4" t="s">
        <v>17</v>
      </c>
      <c r="G1551" s="1" t="s">
        <v>18</v>
      </c>
      <c r="H1551" s="1" t="s">
        <v>19</v>
      </c>
      <c r="I1551" s="1" t="s">
        <v>20</v>
      </c>
      <c r="J1551" s="1" t="s">
        <v>6855</v>
      </c>
      <c r="K1551" s="1" t="s">
        <v>22</v>
      </c>
      <c r="L1551" s="1" t="str">
        <f>HYPERLINK("https://files.afu.se/Downloads/Transcripts/0%20-%20Government/USA%20-%20NASA%20Johnson/2014 12 05 - NASA Johnson - Space to Ground  Out for a Spin  12 5 14_8JE8Nk96wWE - transcript (automated).pdf","Transcript Link")</f>
        <v>Transcript Link</v>
      </c>
      <c r="M1551" s="2" t="str">
        <f>HYPERLINK("https://files.afu.se/Downloads/Transcripts/0%20-%20Government/USA%20-%20NASA%20Johnson/2014 12 05 - NASA Johnson - Space to Ground  Out for a Spin  12 5 14_8JE8Nk96wWE - transcript (automated).pdf","Transcript Link")</f>
        <v>Transcript Link</v>
      </c>
    </row>
    <row r="1552" ht="180" spans="1:13">
      <c r="A1552" s="1" t="s">
        <v>6856</v>
      </c>
      <c r="B1552" s="1" t="s">
        <v>13</v>
      </c>
      <c r="C1552" s="4" t="s">
        <v>6857</v>
      </c>
      <c r="D1552" s="1" t="s">
        <v>6858</v>
      </c>
      <c r="E1552" s="1" t="s">
        <v>6859</v>
      </c>
      <c r="F1552" s="4" t="s">
        <v>17</v>
      </c>
      <c r="G1552" s="1" t="s">
        <v>18</v>
      </c>
      <c r="H1552" s="1" t="s">
        <v>19</v>
      </c>
      <c r="I1552" s="1" t="s">
        <v>20</v>
      </c>
      <c r="J1552" s="1" t="s">
        <v>6860</v>
      </c>
      <c r="K1552" s="1" t="s">
        <v>22</v>
      </c>
      <c r="L1552" s="1" t="str">
        <f>HYPERLINK("https://files.afu.se/Downloads/Transcripts/0%20-%20Government/USA%20-%20NASA%20Johnson/2014 12 03 - NASA Johnson - Orion  Versatility_jPqVGsilZGQ - transcript (automated).pdf","Transcript Link")</f>
        <v>Transcript Link</v>
      </c>
      <c r="M1552" s="2" t="str">
        <f>HYPERLINK("https://files.afu.se/Downloads/Transcripts/0%20-%20Government/USA%20-%20NASA%20Johnson/2014 12 03 - NASA Johnson - Orion  Versatility_jPqVGsilZGQ - transcript (automated).pdf","Transcript Link")</f>
        <v>Transcript Link</v>
      </c>
    </row>
    <row r="1553" ht="180" spans="1:13">
      <c r="A1553" s="1" t="s">
        <v>6856</v>
      </c>
      <c r="B1553" s="1" t="s">
        <v>13</v>
      </c>
      <c r="C1553" s="4" t="s">
        <v>6861</v>
      </c>
      <c r="D1553" s="1" t="s">
        <v>6862</v>
      </c>
      <c r="E1553" s="1" t="s">
        <v>6863</v>
      </c>
      <c r="F1553" s="4" t="s">
        <v>17</v>
      </c>
      <c r="G1553" s="1" t="s">
        <v>18</v>
      </c>
      <c r="H1553" s="1" t="s">
        <v>19</v>
      </c>
      <c r="I1553" s="1" t="s">
        <v>20</v>
      </c>
      <c r="J1553" s="1" t="s">
        <v>6864</v>
      </c>
      <c r="K1553" s="1" t="s">
        <v>22</v>
      </c>
      <c r="L1553" s="1" t="str">
        <f>HYPERLINK("https://files.afu.se/Downloads/Transcripts/0%20-%20Government/USA%20-%20NASA%20Johnson/2014 12 03 - NASA Johnson - Sesame Street Characters Send Mementos to Launch Onboard Orion_MyNutgR-BJo - transcript (automated).pdf","Transcript Link")</f>
        <v>Transcript Link</v>
      </c>
      <c r="M1553" s="2" t="str">
        <f>HYPERLINK("https://files.afu.se/Downloads/Transcripts/0%20-%20Government/USA%20-%20NASA%20Johnson/2014 12 03 - NASA Johnson - Sesame Street Characters Send Mementos to Launch Onboard Orion_MyNutgR-BJo - transcript (automated).pdf","Transcript Link")</f>
        <v>Transcript Link</v>
      </c>
    </row>
    <row r="1554" ht="180" spans="1:13">
      <c r="A1554" s="1" t="s">
        <v>6856</v>
      </c>
      <c r="B1554" s="1" t="s">
        <v>13</v>
      </c>
      <c r="C1554" s="4" t="s">
        <v>6865</v>
      </c>
      <c r="D1554" s="1" t="s">
        <v>6866</v>
      </c>
      <c r="E1554" s="1" t="s">
        <v>6867</v>
      </c>
      <c r="F1554" s="4" t="s">
        <v>17</v>
      </c>
      <c r="G1554" s="1" t="s">
        <v>18</v>
      </c>
      <c r="H1554" s="1" t="s">
        <v>19</v>
      </c>
      <c r="I1554" s="1" t="s">
        <v>20</v>
      </c>
      <c r="J1554" s="1" t="s">
        <v>6868</v>
      </c>
      <c r="K1554" s="1" t="s">
        <v>22</v>
      </c>
      <c r="L1554" s="1" t="str">
        <f>HYPERLINK("https://files.afu.se/Downloads/Transcripts/0%20-%20Government/USA%20-%20NASA%20Johnson/2014 12 03 - NASA Johnson - Space Station Live  One Day to Orion_JlM3kfxEVdg - transcript (automated).pdf","Transcript Link")</f>
        <v>Transcript Link</v>
      </c>
      <c r="M1554" s="2" t="str">
        <f>HYPERLINK("https://files.afu.se/Downloads/Transcripts/0%20-%20Government/USA%20-%20NASA%20Johnson/2014 12 03 - NASA Johnson - Space Station Live  One Day to Orion_JlM3kfxEVdg - transcript (automated).pdf","Transcript Link")</f>
        <v>Transcript Link</v>
      </c>
    </row>
    <row r="1555" ht="180" spans="1:13">
      <c r="A1555" s="1" t="s">
        <v>6869</v>
      </c>
      <c r="B1555" s="1" t="s">
        <v>13</v>
      </c>
      <c r="C1555" s="4" t="s">
        <v>6870</v>
      </c>
      <c r="D1555" s="1" t="s">
        <v>6871</v>
      </c>
      <c r="E1555" s="1" t="s">
        <v>6872</v>
      </c>
      <c r="F1555" s="4" t="s">
        <v>17</v>
      </c>
      <c r="G1555" s="1" t="s">
        <v>18</v>
      </c>
      <c r="H1555" s="1" t="s">
        <v>19</v>
      </c>
      <c r="I1555" s="1" t="s">
        <v>20</v>
      </c>
      <c r="J1555" s="1" t="s">
        <v>6873</v>
      </c>
      <c r="K1555" s="1" t="s">
        <v>22</v>
      </c>
      <c r="L1555" s="1" t="str">
        <f>HYPERLINK("https://files.afu.se/Downloads/Transcripts/0%20-%20Government/USA%20-%20NASA%20Johnson/2014 12 02 - NASA Johnson - Space Station Live  Cyclops Hits the Target_rQ9vJ5BCjUc - transcript (automated).pdf","Transcript Link")</f>
        <v>Transcript Link</v>
      </c>
      <c r="M1555" s="2" t="str">
        <f>HYPERLINK("https://files.afu.se/Downloads/Transcripts/0%20-%20Government/USA%20-%20NASA%20Johnson/2014 12 02 - NASA Johnson - Space Station Live  Cyclops Hits the Target_rQ9vJ5BCjUc - transcript (automated).pdf","Transcript Link")</f>
        <v>Transcript Link</v>
      </c>
    </row>
    <row r="1556" ht="180" spans="1:13">
      <c r="A1556" s="1" t="s">
        <v>6874</v>
      </c>
      <c r="B1556" s="1" t="s">
        <v>13</v>
      </c>
      <c r="C1556" s="4" t="s">
        <v>6875</v>
      </c>
      <c r="D1556" s="1" t="s">
        <v>6876</v>
      </c>
      <c r="E1556" s="1" t="s">
        <v>6877</v>
      </c>
      <c r="F1556" s="4" t="s">
        <v>17</v>
      </c>
      <c r="G1556" s="1" t="s">
        <v>18</v>
      </c>
      <c r="H1556" s="1" t="s">
        <v>19</v>
      </c>
      <c r="I1556" s="1" t="s">
        <v>20</v>
      </c>
      <c r="J1556" s="1" t="s">
        <v>6878</v>
      </c>
      <c r="K1556" s="1" t="s">
        <v>22</v>
      </c>
      <c r="L1556" s="1" t="str">
        <f>HYPERLINK("https://files.afu.se/Downloads/Transcripts/0%20-%20Government/USA%20-%20NASA%20Johnson/2014 12 01 - NASA Johnson - Orion  Cockpit_cM4qKfNuFX4 - transcript (automated).pdf","Transcript Link")</f>
        <v>Transcript Link</v>
      </c>
      <c r="M1556" s="2" t="str">
        <f>HYPERLINK("https://files.afu.se/Downloads/Transcripts/0%20-%20Government/USA%20-%20NASA%20Johnson/2014 12 01 - NASA Johnson - Orion  Cockpit_cM4qKfNuFX4 - transcript (automated).pdf","Transcript Link")</f>
        <v>Transcript Link</v>
      </c>
    </row>
    <row r="1557" ht="180" spans="1:13">
      <c r="A1557" s="1" t="s">
        <v>6879</v>
      </c>
      <c r="B1557" s="1" t="s">
        <v>13</v>
      </c>
      <c r="C1557" s="4" t="s">
        <v>6880</v>
      </c>
      <c r="D1557" s="1" t="s">
        <v>6881</v>
      </c>
      <c r="E1557" s="1" t="s">
        <v>6882</v>
      </c>
      <c r="F1557" s="4" t="s">
        <v>17</v>
      </c>
      <c r="G1557" s="1" t="s">
        <v>18</v>
      </c>
      <c r="H1557" s="1" t="s">
        <v>19</v>
      </c>
      <c r="I1557" s="1" t="s">
        <v>20</v>
      </c>
      <c r="J1557" s="1" t="s">
        <v>6883</v>
      </c>
      <c r="K1557" s="1" t="s">
        <v>22</v>
      </c>
      <c r="L1557" s="1" t="str">
        <f>HYPERLINK("https://files.afu.se/Downloads/Transcripts/0%20-%20Government/USA%20-%20NASA%20Johnson/2014 11 28 - NASA Johnson - Orion  I’m on Board – Walter E. Jones_QteZk_WsJ1I - transcript (automated).pdf","Transcript Link")</f>
        <v>Transcript Link</v>
      </c>
      <c r="M1557" s="2" t="str">
        <f>HYPERLINK("https://files.afu.se/Downloads/Transcripts/0%20-%20Government/USA%20-%20NASA%20Johnson/2014 11 28 - NASA Johnson - Orion  I’m on Board – Walter E. Jones_QteZk_WsJ1I - transcript (automated).pdf","Transcript Link")</f>
        <v>Transcript Link</v>
      </c>
    </row>
    <row r="1558" ht="180" spans="1:13">
      <c r="A1558" s="1" t="s">
        <v>6879</v>
      </c>
      <c r="B1558" s="1" t="s">
        <v>13</v>
      </c>
      <c r="C1558" s="4" t="s">
        <v>6884</v>
      </c>
      <c r="D1558" s="1" t="s">
        <v>6885</v>
      </c>
      <c r="E1558" s="1" t="s">
        <v>5059</v>
      </c>
      <c r="F1558" s="4" t="s">
        <v>17</v>
      </c>
      <c r="G1558" s="1" t="s">
        <v>18</v>
      </c>
      <c r="H1558" s="1" t="s">
        <v>19</v>
      </c>
      <c r="I1558" s="1" t="s">
        <v>20</v>
      </c>
      <c r="J1558" s="1" t="s">
        <v>6886</v>
      </c>
      <c r="K1558" s="1" t="s">
        <v>22</v>
      </c>
      <c r="L1558" s="1" t="str">
        <f>HYPERLINK("https://files.afu.se/Downloads/Transcripts/0%20-%20Government/USA%20-%20NASA%20Johnson/2014 11 28 - NASA Johnson - Space to Ground  ISS Thanksgiving  11 28 14_G62Mnt9bmcI - transcript (automated).pdf","Transcript Link")</f>
        <v>Transcript Link</v>
      </c>
      <c r="M1558" s="2" t="str">
        <f>HYPERLINK("https://files.afu.se/Downloads/Transcripts/0%20-%20Government/USA%20-%20NASA%20Johnson/2014 11 28 - NASA Johnson - Space to Ground  ISS Thanksgiving  11 28 14_G62Mnt9bmcI - transcript (automated).pdf","Transcript Link")</f>
        <v>Transcript Link</v>
      </c>
    </row>
    <row r="1559" ht="180" spans="1:13">
      <c r="A1559" s="1" t="s">
        <v>6887</v>
      </c>
      <c r="B1559" s="1" t="s">
        <v>13</v>
      </c>
      <c r="C1559" s="4" t="s">
        <v>6888</v>
      </c>
      <c r="D1559" s="1" t="s">
        <v>6889</v>
      </c>
      <c r="E1559" s="1" t="s">
        <v>6890</v>
      </c>
      <c r="F1559" s="4" t="s">
        <v>17</v>
      </c>
      <c r="G1559" s="1" t="s">
        <v>18</v>
      </c>
      <c r="H1559" s="1" t="s">
        <v>19</v>
      </c>
      <c r="I1559" s="1" t="s">
        <v>20</v>
      </c>
      <c r="J1559" s="1" t="s">
        <v>6891</v>
      </c>
      <c r="K1559" s="1" t="s">
        <v>22</v>
      </c>
      <c r="L1559" s="1" t="str">
        <f>HYPERLINK("https://files.afu.se/Downloads/Transcripts/0%20-%20Government/USA%20-%20NASA%20Johnson/2014 11 27 - NASA Johnson - O is for ..._foFz0aQUYps - transcript (automated).pdf","Transcript Link")</f>
        <v>Transcript Link</v>
      </c>
      <c r="M1559" s="2" t="str">
        <f>HYPERLINK("https://files.afu.se/Downloads/Transcripts/0%20-%20Government/USA%20-%20NASA%20Johnson/2014 11 27 - NASA Johnson - O is for ..._foFz0aQUYps - transcript (automated).pdf","Transcript Link")</f>
        <v>Transcript Link</v>
      </c>
    </row>
    <row r="1560" ht="180" spans="1:13">
      <c r="A1560" s="1" t="s">
        <v>6892</v>
      </c>
      <c r="B1560" s="1" t="s">
        <v>13</v>
      </c>
      <c r="C1560" s="4" t="s">
        <v>6893</v>
      </c>
      <c r="D1560" s="1" t="s">
        <v>6894</v>
      </c>
      <c r="E1560" s="1" t="s">
        <v>6895</v>
      </c>
      <c r="F1560" s="4" t="s">
        <v>17</v>
      </c>
      <c r="G1560" s="1" t="s">
        <v>18</v>
      </c>
      <c r="H1560" s="1" t="s">
        <v>19</v>
      </c>
      <c r="I1560" s="1" t="s">
        <v>20</v>
      </c>
      <c r="J1560" s="1" t="s">
        <v>6896</v>
      </c>
      <c r="K1560" s="1" t="s">
        <v>22</v>
      </c>
      <c r="L1560" s="1" t="str">
        <f>HYPERLINK("https://files.afu.se/Downloads/Transcripts/0%20-%20Government/USA%20-%20NASA%20Johnson/2014 11 26 - NASA Johnson - Space Station Live  Thanksgiving Feast on Orbit_SA-lxPubG8k - transcript (automated).pdf","Transcript Link")</f>
        <v>Transcript Link</v>
      </c>
      <c r="M1560" s="2" t="str">
        <f>HYPERLINK("https://files.afu.se/Downloads/Transcripts/0%20-%20Government/USA%20-%20NASA%20Johnson/2014 11 26 - NASA Johnson - Space Station Live  Thanksgiving Feast on Orbit_SA-lxPubG8k - transcript (automated).pdf","Transcript Link")</f>
        <v>Transcript Link</v>
      </c>
    </row>
    <row r="1561" ht="180" spans="1:13">
      <c r="A1561" s="1" t="s">
        <v>6892</v>
      </c>
      <c r="B1561" s="1" t="s">
        <v>13</v>
      </c>
      <c r="C1561" s="4" t="s">
        <v>6897</v>
      </c>
      <c r="D1561" s="1" t="s">
        <v>4202</v>
      </c>
      <c r="E1561" s="1" t="s">
        <v>6898</v>
      </c>
      <c r="F1561" s="4" t="s">
        <v>17</v>
      </c>
      <c r="G1561" s="1" t="s">
        <v>18</v>
      </c>
      <c r="H1561" s="1" t="s">
        <v>19</v>
      </c>
      <c r="I1561" s="1" t="s">
        <v>20</v>
      </c>
      <c r="J1561" s="1" t="s">
        <v>6899</v>
      </c>
      <c r="K1561" s="1" t="s">
        <v>22</v>
      </c>
      <c r="L1561" s="1" t="str">
        <f>HYPERLINK("https://files.afu.se/Downloads/Transcripts/0%20-%20Government/USA%20-%20NASA%20Johnson/2014 11 26 - NASA Johnson - Space Station Live  A Pain in the Back_2XGjhl1c6fg - transcript (automated).pdf","Transcript Link")</f>
        <v>Transcript Link</v>
      </c>
      <c r="M1561" s="2" t="str">
        <f>HYPERLINK("https://files.afu.se/Downloads/Transcripts/0%20-%20Government/USA%20-%20NASA%20Johnson/2014 11 26 - NASA Johnson - Space Station Live  A Pain in the Back_2XGjhl1c6fg - transcript (automated).pdf","Transcript Link")</f>
        <v>Transcript Link</v>
      </c>
    </row>
    <row r="1562" ht="180" spans="1:13">
      <c r="A1562" s="1" t="s">
        <v>6892</v>
      </c>
      <c r="B1562" s="1" t="s">
        <v>13</v>
      </c>
      <c r="C1562" s="4" t="s">
        <v>6900</v>
      </c>
      <c r="D1562" s="1" t="s">
        <v>6901</v>
      </c>
      <c r="E1562" s="1" t="s">
        <v>6902</v>
      </c>
      <c r="F1562" s="4" t="s">
        <v>17</v>
      </c>
      <c r="G1562" s="1" t="s">
        <v>18</v>
      </c>
      <c r="H1562" s="1" t="s">
        <v>19</v>
      </c>
      <c r="I1562" s="1" t="s">
        <v>20</v>
      </c>
      <c r="J1562" s="1" t="s">
        <v>6903</v>
      </c>
      <c r="K1562" s="1" t="s">
        <v>22</v>
      </c>
      <c r="L1562" s="1" t="str">
        <f>HYPERLINK("https://files.afu.se/Downloads/Transcripts/0%20-%20Government/USA%20-%20NASA%20Johnson/2014 11 26 - NASA Johnson - Orion’s First Flight Test on NASA TV_qZxXh0Yh5gI - transcript (automated).pdf","Transcript Link")</f>
        <v>Transcript Link</v>
      </c>
      <c r="M1562" s="2" t="str">
        <f>HYPERLINK("https://files.afu.se/Downloads/Transcripts/0%20-%20Government/USA%20-%20NASA%20Johnson/2014 11 26 - NASA Johnson - Orion’s First Flight Test on NASA TV_qZxXh0Yh5gI - transcript (automated).pdf","Transcript Link")</f>
        <v>Transcript Link</v>
      </c>
    </row>
    <row r="1563" ht="180" spans="1:13">
      <c r="A1563" s="1" t="s">
        <v>6892</v>
      </c>
      <c r="B1563" s="1" t="s">
        <v>13</v>
      </c>
      <c r="C1563" s="4" t="s">
        <v>6904</v>
      </c>
      <c r="D1563" s="1" t="s">
        <v>6905</v>
      </c>
      <c r="E1563" s="1" t="s">
        <v>6906</v>
      </c>
      <c r="F1563" s="4" t="s">
        <v>17</v>
      </c>
      <c r="G1563" s="1" t="s">
        <v>18</v>
      </c>
      <c r="H1563" s="1" t="s">
        <v>19</v>
      </c>
      <c r="I1563" s="1" t="s">
        <v>20</v>
      </c>
      <c r="J1563" s="1" t="s">
        <v>6907</v>
      </c>
      <c r="K1563" s="1" t="s">
        <v>22</v>
      </c>
      <c r="L1563" s="1" t="str">
        <f>HYPERLINK("https://files.afu.se/Downloads/Transcripts/0%20-%20Government/USA%20-%20NASA%20Johnson/2014 11 26 - NASA Johnson - Orion Rolls to the Launch Pad_wLZyqBKhDPo - transcript (automated).pdf","Transcript Link")</f>
        <v>Transcript Link</v>
      </c>
      <c r="M1563" s="2" t="str">
        <f>HYPERLINK("https://files.afu.se/Downloads/Transcripts/0%20-%20Government/USA%20-%20NASA%20Johnson/2014 11 26 - NASA Johnson - Orion Rolls to the Launch Pad_wLZyqBKhDPo - transcript (automated).pdf","Transcript Link")</f>
        <v>Transcript Link</v>
      </c>
    </row>
    <row r="1564" ht="180" spans="1:13">
      <c r="A1564" s="1" t="s">
        <v>6908</v>
      </c>
      <c r="B1564" s="1" t="s">
        <v>13</v>
      </c>
      <c r="C1564" s="4" t="s">
        <v>6909</v>
      </c>
      <c r="D1564" s="1" t="s">
        <v>6910</v>
      </c>
      <c r="E1564" s="1" t="s">
        <v>6911</v>
      </c>
      <c r="F1564" s="4" t="s">
        <v>17</v>
      </c>
      <c r="G1564" s="1" t="s">
        <v>18</v>
      </c>
      <c r="H1564" s="1" t="s">
        <v>19</v>
      </c>
      <c r="I1564" s="1" t="s">
        <v>20</v>
      </c>
      <c r="J1564" s="1" t="s">
        <v>6912</v>
      </c>
      <c r="K1564" s="1" t="s">
        <v>22</v>
      </c>
      <c r="L1564" s="1" t="str">
        <f>HYPERLINK("https://files.afu.se/Downloads/Transcripts/0%20-%20Government/USA%20-%20NASA%20Johnson/2014 11 25 - NASA Johnson - Orion  Parachutes_fAMqb77Dmzk - transcript (automated).pdf","Transcript Link")</f>
        <v>Transcript Link</v>
      </c>
      <c r="M1564" s="2" t="str">
        <f>HYPERLINK("https://files.afu.se/Downloads/Transcripts/0%20-%20Government/USA%20-%20NASA%20Johnson/2014 11 25 - NASA Johnson - Orion  Parachutes_fAMqb77Dmzk - transcript (automated).pdf","Transcript Link")</f>
        <v>Transcript Link</v>
      </c>
    </row>
    <row r="1565" ht="180" spans="1:13">
      <c r="A1565" s="1" t="s">
        <v>6913</v>
      </c>
      <c r="B1565" s="1" t="s">
        <v>13</v>
      </c>
      <c r="C1565" s="4" t="s">
        <v>6914</v>
      </c>
      <c r="D1565" s="1" t="s">
        <v>6915</v>
      </c>
      <c r="E1565" s="1" t="s">
        <v>6916</v>
      </c>
      <c r="F1565" s="4" t="s">
        <v>17</v>
      </c>
      <c r="G1565" s="1" t="s">
        <v>18</v>
      </c>
      <c r="H1565" s="1" t="s">
        <v>19</v>
      </c>
      <c r="I1565" s="1" t="s">
        <v>20</v>
      </c>
      <c r="J1565" s="1" t="s">
        <v>6917</v>
      </c>
      <c r="K1565" s="1" t="s">
        <v>22</v>
      </c>
      <c r="L1565" s="1" t="str">
        <f>HYPERLINK("https://files.afu.se/Downloads/Transcripts/0%20-%20Government/USA%20-%20NASA%20Johnson/2014 11 24 - NASA Johnson - Expedition 42 Crew Profile_KmSRAh7IElk - transcript (automated).pdf","Transcript Link")</f>
        <v>Transcript Link</v>
      </c>
      <c r="M1565" s="2" t="str">
        <f>HYPERLINK("https://files.afu.se/Downloads/Transcripts/0%20-%20Government/USA%20-%20NASA%20Johnson/2014 11 24 - NASA Johnson - Expedition 42 Crew Profile_KmSRAh7IElk - transcript (automated).pdf","Transcript Link")</f>
        <v>Transcript Link</v>
      </c>
    </row>
    <row r="1566" ht="180" spans="1:13">
      <c r="A1566" s="1" t="s">
        <v>6913</v>
      </c>
      <c r="B1566" s="1" t="s">
        <v>13</v>
      </c>
      <c r="C1566" s="4" t="s">
        <v>6918</v>
      </c>
      <c r="D1566" s="1" t="s">
        <v>6919</v>
      </c>
      <c r="E1566" s="1" t="s">
        <v>6920</v>
      </c>
      <c r="F1566" s="4" t="s">
        <v>17</v>
      </c>
      <c r="G1566" s="1" t="s">
        <v>18</v>
      </c>
      <c r="H1566" s="1" t="s">
        <v>19</v>
      </c>
      <c r="I1566" s="1" t="s">
        <v>20</v>
      </c>
      <c r="J1566" s="1" t="s">
        <v>6921</v>
      </c>
      <c r="K1566" s="1" t="s">
        <v>22</v>
      </c>
      <c r="L1566" s="1" t="str">
        <f>HYPERLINK("https://files.afu.se/Downloads/Transcripts/0%20-%20Government/USA%20-%20NASA%20Johnson/2014 11 24 - NASA Johnson - Sesame Street is  On Board  with Orion_5tguE8BEOCI - transcript (automated).pdf","Transcript Link")</f>
        <v>Transcript Link</v>
      </c>
      <c r="M1566" s="2" t="str">
        <f>HYPERLINK("https://files.afu.se/Downloads/Transcripts/0%20-%20Government/USA%20-%20NASA%20Johnson/2014 11 24 - NASA Johnson - Sesame Street is  On Board  with Orion_5tguE8BEOCI - transcript (automated).pdf","Transcript Link")</f>
        <v>Transcript Link</v>
      </c>
    </row>
    <row r="1567" ht="180" spans="1:13">
      <c r="A1567" s="1" t="s">
        <v>6913</v>
      </c>
      <c r="B1567" s="1" t="s">
        <v>13</v>
      </c>
      <c r="C1567" s="4" t="s">
        <v>6922</v>
      </c>
      <c r="D1567" s="1" t="s">
        <v>869</v>
      </c>
      <c r="E1567" s="1" t="s">
        <v>6923</v>
      </c>
      <c r="F1567" s="4" t="s">
        <v>17</v>
      </c>
      <c r="G1567" s="1" t="s">
        <v>18</v>
      </c>
      <c r="H1567" s="1" t="s">
        <v>19</v>
      </c>
      <c r="I1567" s="1" t="s">
        <v>20</v>
      </c>
      <c r="J1567" s="1" t="s">
        <v>6924</v>
      </c>
      <c r="K1567" s="1" t="s">
        <v>22</v>
      </c>
      <c r="L1567" s="1" t="str">
        <f>HYPERLINK("https://files.afu.se/Downloads/Transcripts/0%20-%20Government/USA%20-%20NASA%20Johnson/2014 11 24 - NASA Johnson - Thanksgiving Message from the International Space Station_ieR7yhigASg - transcript (automated).pdf","Transcript Link")</f>
        <v>Transcript Link</v>
      </c>
      <c r="M1567" s="2" t="str">
        <f>HYPERLINK("https://files.afu.se/Downloads/Transcripts/0%20-%20Government/USA%20-%20NASA%20Johnson/2014 11 24 - NASA Johnson - Thanksgiving Message from the International Space Station_ieR7yhigASg - transcript (automated).pdf","Transcript Link")</f>
        <v>Transcript Link</v>
      </c>
    </row>
    <row r="1568" ht="180" spans="1:13">
      <c r="A1568" s="1" t="s">
        <v>6913</v>
      </c>
      <c r="B1568" s="1" t="s">
        <v>13</v>
      </c>
      <c r="C1568" s="4" t="s">
        <v>6925</v>
      </c>
      <c r="D1568" s="1" t="s">
        <v>6926</v>
      </c>
      <c r="E1568" s="1" t="s">
        <v>6927</v>
      </c>
      <c r="F1568" s="4" t="s">
        <v>17</v>
      </c>
      <c r="G1568" s="1" t="s">
        <v>18</v>
      </c>
      <c r="H1568" s="1" t="s">
        <v>19</v>
      </c>
      <c r="I1568" s="1" t="s">
        <v>20</v>
      </c>
      <c r="J1568" s="1" t="s">
        <v>6928</v>
      </c>
      <c r="K1568" s="1" t="s">
        <v>22</v>
      </c>
      <c r="L1568" s="1" t="str">
        <f>HYPERLINK("https://files.afu.se/Downloads/Transcripts/0%20-%20Government/USA%20-%20NASA%20Johnson/2014 11 24 - NASA Johnson - New Crew Welcomed Aboard Space Station_5nSH4KzsJ2I - transcript (automated).pdf","Transcript Link")</f>
        <v>Transcript Link</v>
      </c>
      <c r="M1568" s="2" t="str">
        <f>HYPERLINK("https://files.afu.se/Downloads/Transcripts/0%20-%20Government/USA%20-%20NASA%20Johnson/2014 11 24 - NASA Johnson - New Crew Welcomed Aboard Space Station_5nSH4KzsJ2I - transcript (automated).pdf","Transcript Link")</f>
        <v>Transcript Link</v>
      </c>
    </row>
    <row r="1569" ht="180" spans="1:13">
      <c r="A1569" s="1" t="s">
        <v>6913</v>
      </c>
      <c r="B1569" s="1" t="s">
        <v>13</v>
      </c>
      <c r="C1569" s="4" t="s">
        <v>6929</v>
      </c>
      <c r="D1569" s="1" t="s">
        <v>6930</v>
      </c>
      <c r="E1569" s="1" t="s">
        <v>6931</v>
      </c>
      <c r="F1569" s="4" t="s">
        <v>17</v>
      </c>
      <c r="G1569" s="1" t="s">
        <v>18</v>
      </c>
      <c r="H1569" s="1" t="s">
        <v>19</v>
      </c>
      <c r="I1569" s="1" t="s">
        <v>20</v>
      </c>
      <c r="J1569" s="1" t="s">
        <v>6932</v>
      </c>
      <c r="K1569" s="1" t="s">
        <v>22</v>
      </c>
      <c r="L1569" s="1" t="str">
        <f>HYPERLINK("https://files.afu.se/Downloads/Transcripts/0%20-%20Government/USA%20-%20NASA%20Johnson/2014 11 24 - NASA Johnson - Expedition 42 43 Crew Docks to the Space Station_inJ18-aK-3Q - transcript (automated).pdf","Transcript Link")</f>
        <v>Transcript Link</v>
      </c>
      <c r="M1569" s="2" t="str">
        <f>HYPERLINK("https://files.afu.se/Downloads/Transcripts/0%20-%20Government/USA%20-%20NASA%20Johnson/2014 11 24 - NASA Johnson - Expedition 42 43 Crew Docks to the Space Station_inJ18-aK-3Q - transcript (automated).pdf","Transcript Link")</f>
        <v>Transcript Link</v>
      </c>
    </row>
    <row r="1570" ht="180" spans="1:13">
      <c r="A1570" s="1" t="s">
        <v>6933</v>
      </c>
      <c r="B1570" s="1" t="s">
        <v>13</v>
      </c>
      <c r="C1570" s="4" t="s">
        <v>6934</v>
      </c>
      <c r="D1570" s="1" t="s">
        <v>6935</v>
      </c>
      <c r="E1570" s="1" t="s">
        <v>6936</v>
      </c>
      <c r="F1570" s="4" t="s">
        <v>17</v>
      </c>
      <c r="G1570" s="1" t="s">
        <v>18</v>
      </c>
      <c r="H1570" s="1" t="s">
        <v>19</v>
      </c>
      <c r="I1570" s="1" t="s">
        <v>20</v>
      </c>
      <c r="J1570" s="1" t="s">
        <v>6937</v>
      </c>
      <c r="K1570" s="1" t="s">
        <v>22</v>
      </c>
      <c r="L1570" s="1" t="str">
        <f>HYPERLINK("https://files.afu.se/Downloads/Transcripts/0%20-%20Government/USA%20-%20NASA%20Johnson/2014 11 23 - NASA Johnson - Expedition 42 43 Launches to the International Space Station_UxlWfjjNUcE - transcript (automated).pdf","Transcript Link")</f>
        <v>Transcript Link</v>
      </c>
      <c r="M1570" s="2" t="str">
        <f>HYPERLINK("https://files.afu.se/Downloads/Transcripts/0%20-%20Government/USA%20-%20NASA%20Johnson/2014 11 23 - NASA Johnson - Expedition 42 43 Launches to the International Space Station_UxlWfjjNUcE - transcript (automated).pdf","Transcript Link")</f>
        <v>Transcript Link</v>
      </c>
    </row>
    <row r="1571" ht="180" spans="1:13">
      <c r="A1571" s="1" t="s">
        <v>6938</v>
      </c>
      <c r="B1571" s="1" t="s">
        <v>13</v>
      </c>
      <c r="C1571" s="4" t="s">
        <v>6939</v>
      </c>
      <c r="D1571" s="1" t="s">
        <v>6940</v>
      </c>
      <c r="E1571" s="1" t="s">
        <v>6941</v>
      </c>
      <c r="F1571" s="4" t="s">
        <v>17</v>
      </c>
      <c r="G1571" s="1" t="s">
        <v>18</v>
      </c>
      <c r="H1571" s="1" t="s">
        <v>19</v>
      </c>
      <c r="I1571" s="1" t="s">
        <v>20</v>
      </c>
      <c r="J1571" s="1" t="s">
        <v>6942</v>
      </c>
      <c r="K1571" s="1" t="s">
        <v>22</v>
      </c>
      <c r="L1571" s="1" t="str">
        <f>HYPERLINK("https://files.afu.se/Downloads/Transcripts/0%20-%20Government/USA%20-%20NASA%20Johnson/2014 11 21 - NASA Johnson - Space Station Live - Ready to Launch_1WHdQ7QOeiE - transcript (automated).pdf","Transcript Link")</f>
        <v>Transcript Link</v>
      </c>
      <c r="M1571" s="2" t="str">
        <f>HYPERLINK("https://files.afu.se/Downloads/Transcripts/0%20-%20Government/USA%20-%20NASA%20Johnson/2014 11 21 - NASA Johnson - Space Station Live - Ready to Launch_1WHdQ7QOeiE - transcript (automated).pdf","Transcript Link")</f>
        <v>Transcript Link</v>
      </c>
    </row>
    <row r="1572" ht="180" spans="1:13">
      <c r="A1572" s="1" t="s">
        <v>6938</v>
      </c>
      <c r="B1572" s="1" t="s">
        <v>13</v>
      </c>
      <c r="C1572" s="4" t="s">
        <v>6943</v>
      </c>
      <c r="D1572" s="1" t="s">
        <v>6944</v>
      </c>
      <c r="E1572" s="1" t="s">
        <v>6945</v>
      </c>
      <c r="F1572" s="4" t="s">
        <v>17</v>
      </c>
      <c r="G1572" s="1" t="s">
        <v>18</v>
      </c>
      <c r="H1572" s="1" t="s">
        <v>19</v>
      </c>
      <c r="I1572" s="1" t="s">
        <v>20</v>
      </c>
      <c r="J1572" s="1" t="s">
        <v>6946</v>
      </c>
      <c r="K1572" s="1" t="s">
        <v>22</v>
      </c>
      <c r="L1572" s="1" t="str">
        <f>HYPERLINK("https://files.afu.se/Downloads/Transcripts/0%20-%20Government/USA%20-%20NASA%20Johnson/2014 11 21 - NASA Johnson - Expedition 42 43  Soyuz Moved To Launchpad  November 21, 2014_18aES_kmF9k - transcript (automated).pdf","Transcript Link")</f>
        <v>Transcript Link</v>
      </c>
      <c r="M1572" s="2" t="str">
        <f>HYPERLINK("https://files.afu.se/Downloads/Transcripts/0%20-%20Government/USA%20-%20NASA%20Johnson/2014 11 21 - NASA Johnson - Expedition 42 43  Soyuz Moved To Launchpad  November 21, 2014_18aES_kmF9k - transcript (automated).pdf","Transcript Link")</f>
        <v>Transcript Link</v>
      </c>
    </row>
    <row r="1573" ht="180" spans="1:13">
      <c r="A1573" s="1" t="s">
        <v>6938</v>
      </c>
      <c r="B1573" s="1" t="s">
        <v>13</v>
      </c>
      <c r="C1573" s="4" t="s">
        <v>6947</v>
      </c>
      <c r="D1573" s="1" t="s">
        <v>6948</v>
      </c>
      <c r="E1573" s="1" t="s">
        <v>5059</v>
      </c>
      <c r="F1573" s="4" t="s">
        <v>17</v>
      </c>
      <c r="G1573" s="1" t="s">
        <v>18</v>
      </c>
      <c r="H1573" s="1" t="s">
        <v>19</v>
      </c>
      <c r="I1573" s="1" t="s">
        <v>20</v>
      </c>
      <c r="J1573" s="1" t="s">
        <v>6949</v>
      </c>
      <c r="K1573" s="1" t="s">
        <v>22</v>
      </c>
      <c r="L1573" s="1" t="str">
        <f>HYPERLINK("https://files.afu.se/Downloads/Transcripts/0%20-%20Government/USA%20-%20NASA%20Johnson/2014 11 21 - NASA Johnson - Space to Ground  Space Bound  11 21 14_zMYkjggNvC0 - transcript (automated).pdf","Transcript Link")</f>
        <v>Transcript Link</v>
      </c>
      <c r="M1573" s="2" t="str">
        <f>HYPERLINK("https://files.afu.se/Downloads/Transcripts/0%20-%20Government/USA%20-%20NASA%20Johnson/2014 11 21 - NASA Johnson - Space to Ground  Space Bound  11 21 14_zMYkjggNvC0 - transcript (automated).pdf","Transcript Link")</f>
        <v>Transcript Link</v>
      </c>
    </row>
    <row r="1574" ht="180" spans="1:13">
      <c r="A1574" s="1" t="s">
        <v>6950</v>
      </c>
      <c r="B1574" s="1" t="s">
        <v>13</v>
      </c>
      <c r="C1574" s="4" t="s">
        <v>6951</v>
      </c>
      <c r="D1574" s="1" t="s">
        <v>6952</v>
      </c>
      <c r="E1574" s="1" t="s">
        <v>6953</v>
      </c>
      <c r="F1574" s="4" t="s">
        <v>17</v>
      </c>
      <c r="G1574" s="1" t="s">
        <v>18</v>
      </c>
      <c r="H1574" s="1" t="s">
        <v>19</v>
      </c>
      <c r="I1574" s="1" t="s">
        <v>20</v>
      </c>
      <c r="J1574" s="1" t="s">
        <v>6954</v>
      </c>
      <c r="K1574" s="1" t="s">
        <v>22</v>
      </c>
      <c r="L1574" s="1" t="str">
        <f>HYPERLINK("https://files.afu.se/Downloads/Transcripts/0%20-%20Government/USA%20-%20NASA%20Johnson/2014 11 20 - NASA Johnson - The Expedition 42 43 Soyuz Spacecraft and Crew Are Prepared for Launch_Me0_BFPoJl4 - transcript (automated).pdf","Transcript Link")</f>
        <v>Transcript Link</v>
      </c>
      <c r="M1574" s="2" t="str">
        <f>HYPERLINK("https://files.afu.se/Downloads/Transcripts/0%20-%20Government/USA%20-%20NASA%20Johnson/2014 11 20 - NASA Johnson - The Expedition 42 43 Soyuz Spacecraft and Crew Are Prepared for Launch_Me0_BFPoJl4 - transcript (automated).pdf","Transcript Link")</f>
        <v>Transcript Link</v>
      </c>
    </row>
    <row r="1575" ht="210" spans="1:13">
      <c r="A1575" s="1" t="s">
        <v>6955</v>
      </c>
      <c r="B1575" s="1" t="s">
        <v>13</v>
      </c>
      <c r="C1575" s="4" t="s">
        <v>6956</v>
      </c>
      <c r="D1575" s="1" t="s">
        <v>6957</v>
      </c>
      <c r="E1575" s="1" t="s">
        <v>6958</v>
      </c>
      <c r="F1575" s="4" t="s">
        <v>17</v>
      </c>
      <c r="G1575" s="1" t="s">
        <v>18</v>
      </c>
      <c r="H1575" s="1" t="s">
        <v>19</v>
      </c>
      <c r="I1575" s="1" t="s">
        <v>20</v>
      </c>
      <c r="J1575" s="1" t="s">
        <v>6959</v>
      </c>
      <c r="K1575" s="1" t="s">
        <v>22</v>
      </c>
      <c r="L1575" s="1" t="str">
        <f>HYPERLINK("https://files.afu.se/Downloads/Transcripts/0%20-%20Government/USA%20-%20NASA%20Johnson/2014 11 19 - NASA Johnson - New Crew, New Plans for the International Space Station_nRahIBmnHXY - transcript (automated).pdf","Transcript Link")</f>
        <v>Transcript Link</v>
      </c>
      <c r="M1575" s="2" t="str">
        <f>HYPERLINK("https://files.afu.se/Downloads/Transcripts/0%20-%20Government/USA%20-%20NASA%20Johnson/2014 11 19 - NASA Johnson - New Crew, New Plans for the International Space Station_nRahIBmnHXY - transcript (automated).pdf","Transcript Link")</f>
        <v>Transcript Link</v>
      </c>
    </row>
    <row r="1576" ht="180" spans="1:13">
      <c r="A1576" s="1" t="s">
        <v>6955</v>
      </c>
      <c r="B1576" s="1" t="s">
        <v>13</v>
      </c>
      <c r="C1576" s="4" t="s">
        <v>6960</v>
      </c>
      <c r="D1576" s="1" t="s">
        <v>6961</v>
      </c>
      <c r="E1576" s="1" t="s">
        <v>6962</v>
      </c>
      <c r="F1576" s="4" t="s">
        <v>17</v>
      </c>
      <c r="G1576" s="1" t="s">
        <v>18</v>
      </c>
      <c r="H1576" s="1" t="s">
        <v>19</v>
      </c>
      <c r="I1576" s="1" t="s">
        <v>20</v>
      </c>
      <c r="J1576" s="1" t="s">
        <v>6963</v>
      </c>
      <c r="K1576" s="1" t="s">
        <v>22</v>
      </c>
      <c r="L1576" s="1" t="str">
        <f>HYPERLINK("https://files.afu.se/Downloads/Transcripts/0%20-%20Government/USA%20-%20NASA%20Johnson/2014 11 19 - NASA Johnson - Orion  Heat Shield_XH4VVpfr9Bs - transcript (automated).pdf","Transcript Link")</f>
        <v>Transcript Link</v>
      </c>
      <c r="M1576" s="2" t="str">
        <f>HYPERLINK("https://files.afu.se/Downloads/Transcripts/0%20-%20Government/USA%20-%20NASA%20Johnson/2014 11 19 - NASA Johnson - Orion  Heat Shield_XH4VVpfr9Bs - transcript (automated).pdf","Transcript Link")</f>
        <v>Transcript Link</v>
      </c>
    </row>
    <row r="1577" ht="180" spans="1:13">
      <c r="A1577" s="1" t="s">
        <v>6964</v>
      </c>
      <c r="B1577" s="1" t="s">
        <v>13</v>
      </c>
      <c r="C1577" s="4" t="s">
        <v>6965</v>
      </c>
      <c r="D1577" s="1" t="s">
        <v>6966</v>
      </c>
      <c r="E1577" s="1" t="s">
        <v>6967</v>
      </c>
      <c r="F1577" s="4" t="s">
        <v>17</v>
      </c>
      <c r="G1577" s="1" t="s">
        <v>18</v>
      </c>
      <c r="H1577" s="1" t="s">
        <v>19</v>
      </c>
      <c r="I1577" s="1" t="s">
        <v>20</v>
      </c>
      <c r="J1577" s="1" t="s">
        <v>6968</v>
      </c>
      <c r="K1577" s="1" t="s">
        <v>22</v>
      </c>
      <c r="L1577" s="1" t="str">
        <f>HYPERLINK("https://files.afu.se/Downloads/Transcripts/0%20-%20Government/USA%20-%20NASA%20Johnson/2014 11 18 - NASA Johnson - Expedition 42 43 Crew Prepares for Launch in Kazakhstan_ykVJQnFrcro - transcript (automated).pdf","Transcript Link")</f>
        <v>Transcript Link</v>
      </c>
      <c r="M1577" s="2" t="str">
        <f>HYPERLINK("https://files.afu.se/Downloads/Transcripts/0%20-%20Government/USA%20-%20NASA%20Johnson/2014 11 18 - NASA Johnson - Expedition 42 43 Crew Prepares for Launch in Kazakhstan_ykVJQnFrcro - transcript (automated).pdf","Transcript Link")</f>
        <v>Transcript Link</v>
      </c>
    </row>
    <row r="1578" ht="180" spans="1:13">
      <c r="A1578" s="1" t="s">
        <v>6969</v>
      </c>
      <c r="B1578" s="1" t="s">
        <v>13</v>
      </c>
      <c r="C1578" s="4" t="s">
        <v>6970</v>
      </c>
      <c r="D1578" s="1" t="s">
        <v>6971</v>
      </c>
      <c r="E1578" s="1" t="s">
        <v>6972</v>
      </c>
      <c r="F1578" s="4" t="s">
        <v>17</v>
      </c>
      <c r="G1578" s="1" t="s">
        <v>18</v>
      </c>
      <c r="H1578" s="1" t="s">
        <v>19</v>
      </c>
      <c r="I1578" s="1" t="s">
        <v>20</v>
      </c>
      <c r="J1578" s="1" t="s">
        <v>6973</v>
      </c>
      <c r="K1578" s="1" t="s">
        <v>22</v>
      </c>
      <c r="L1578" s="1" t="str">
        <f>HYPERLINK("https://files.afu.se/Downloads/Transcripts/0%20-%20Government/USA%20-%20NASA%20Johnson/2014 11 17 - NASA Johnson - Space Station Live  Setting up a Machine Shop in Space_6BAy2fiBElU - transcript (automated).pdf","Transcript Link")</f>
        <v>Transcript Link</v>
      </c>
      <c r="M1578" s="2" t="str">
        <f>HYPERLINK("https://files.afu.se/Downloads/Transcripts/0%20-%20Government/USA%20-%20NASA%20Johnson/2014 11 17 - NASA Johnson - Space Station Live  Setting up a Machine Shop in Space_6BAy2fiBElU - transcript (automated).pdf","Transcript Link")</f>
        <v>Transcript Link</v>
      </c>
    </row>
    <row r="1579" ht="180" spans="1:13">
      <c r="A1579" s="1" t="s">
        <v>6974</v>
      </c>
      <c r="B1579" s="1" t="s">
        <v>13</v>
      </c>
      <c r="C1579" s="4" t="s">
        <v>6975</v>
      </c>
      <c r="D1579" s="1" t="s">
        <v>6976</v>
      </c>
      <c r="E1579" s="1" t="s">
        <v>6977</v>
      </c>
      <c r="F1579" s="4" t="s">
        <v>17</v>
      </c>
      <c r="G1579" s="1" t="s">
        <v>18</v>
      </c>
      <c r="H1579" s="1" t="s">
        <v>19</v>
      </c>
      <c r="I1579" s="1" t="s">
        <v>20</v>
      </c>
      <c r="J1579" s="1" t="s">
        <v>6978</v>
      </c>
      <c r="K1579" s="1" t="s">
        <v>22</v>
      </c>
      <c r="L1579" s="1" t="str">
        <f>HYPERLINK("https://files.afu.se/Downloads/Transcripts/0%20-%20Government/USA%20-%20NASA%20Johnson/2014 11 14 - NASA Johnson - Space Station Live  Designing the Next Space Coffee Cup_p5ag-Uj9C7U - transcript (automated).pdf","Transcript Link")</f>
        <v>Transcript Link</v>
      </c>
      <c r="M1579" s="2" t="str">
        <f>HYPERLINK("https://files.afu.se/Downloads/Transcripts/0%20-%20Government/USA%20-%20NASA%20Johnson/2014 11 14 - NASA Johnson - Space Station Live  Designing the Next Space Coffee Cup_p5ag-Uj9C7U - transcript (automated).pdf","Transcript Link")</f>
        <v>Transcript Link</v>
      </c>
    </row>
    <row r="1580" ht="180" spans="1:13">
      <c r="A1580" s="1" t="s">
        <v>6974</v>
      </c>
      <c r="B1580" s="1" t="s">
        <v>13</v>
      </c>
      <c r="C1580" s="4" t="s">
        <v>6979</v>
      </c>
      <c r="D1580" s="1" t="s">
        <v>6980</v>
      </c>
      <c r="E1580" s="1" t="s">
        <v>6981</v>
      </c>
      <c r="F1580" s="4" t="s">
        <v>17</v>
      </c>
      <c r="G1580" s="1" t="s">
        <v>18</v>
      </c>
      <c r="H1580" s="1" t="s">
        <v>19</v>
      </c>
      <c r="I1580" s="1" t="s">
        <v>20</v>
      </c>
      <c r="J1580" s="1" t="s">
        <v>6982</v>
      </c>
      <c r="K1580" s="1" t="s">
        <v>22</v>
      </c>
      <c r="L1580" s="1" t="str">
        <f>HYPERLINK("https://files.afu.se/Downloads/Transcripts/0%20-%20Government/USA%20-%20NASA%20Johnson/2014 11 14 - NASA Johnson - Orion  I'm On Board - Lou Ferrigno_qpfo302v45Y - transcript (automated).pdf","Transcript Link")</f>
        <v>Transcript Link</v>
      </c>
      <c r="M1580" s="2" t="str">
        <f>HYPERLINK("https://files.afu.se/Downloads/Transcripts/0%20-%20Government/USA%20-%20NASA%20Johnson/2014 11 14 - NASA Johnson - Orion  I'm On Board - Lou Ferrigno_qpfo302v45Y - transcript (automated).pdf","Transcript Link")</f>
        <v>Transcript Link</v>
      </c>
    </row>
    <row r="1581" ht="180" spans="1:13">
      <c r="A1581" s="1" t="s">
        <v>6974</v>
      </c>
      <c r="B1581" s="1" t="s">
        <v>13</v>
      </c>
      <c r="C1581" s="4" t="s">
        <v>6983</v>
      </c>
      <c r="D1581" s="1" t="s">
        <v>6984</v>
      </c>
      <c r="E1581" s="1" t="s">
        <v>6985</v>
      </c>
      <c r="F1581" s="4" t="s">
        <v>17</v>
      </c>
      <c r="G1581" s="1" t="s">
        <v>18</v>
      </c>
      <c r="H1581" s="1" t="s">
        <v>19</v>
      </c>
      <c r="I1581" s="1" t="s">
        <v>20</v>
      </c>
      <c r="J1581" s="1" t="s">
        <v>6986</v>
      </c>
      <c r="K1581" s="1" t="s">
        <v>22</v>
      </c>
      <c r="L1581" s="1" t="str">
        <f>HYPERLINK("https://files.afu.se/Downloads/Transcripts/0%20-%20Government/USA%20-%20NASA%20Johnson/2014 11 14 - NASA Johnson - Space to Ground  Touchdown  11 14 14_ymxhMZF7Gqs - transcript (automated).pdf","Transcript Link")</f>
        <v>Transcript Link</v>
      </c>
      <c r="M1581" s="2" t="str">
        <f>HYPERLINK("https://files.afu.se/Downloads/Transcripts/0%20-%20Government/USA%20-%20NASA%20Johnson/2014 11 14 - NASA Johnson - Space to Ground  Touchdown  11 14 14_ymxhMZF7Gqs - transcript (automated).pdf","Transcript Link")</f>
        <v>Transcript Link</v>
      </c>
    </row>
    <row r="1582" ht="180" spans="1:13">
      <c r="A1582" s="1" t="s">
        <v>6987</v>
      </c>
      <c r="B1582" s="1" t="s">
        <v>13</v>
      </c>
      <c r="C1582" s="4" t="s">
        <v>6988</v>
      </c>
      <c r="D1582" s="1" t="s">
        <v>6989</v>
      </c>
      <c r="E1582" s="1" t="s">
        <v>6990</v>
      </c>
      <c r="F1582" s="4" t="s">
        <v>17</v>
      </c>
      <c r="G1582" s="1" t="s">
        <v>18</v>
      </c>
      <c r="H1582" s="1" t="s">
        <v>19</v>
      </c>
      <c r="I1582" s="1" t="s">
        <v>20</v>
      </c>
      <c r="J1582" s="1" t="s">
        <v>6991</v>
      </c>
      <c r="K1582" s="1" t="s">
        <v>22</v>
      </c>
      <c r="L1582" s="1" t="str">
        <f>HYPERLINK("https://files.afu.se/Downloads/Transcripts/0%20-%20Government/USA%20-%20NASA%20Johnson/2014 11 13 - NASA Johnson - Station Flight Director talks with Pennsylvania Students_LlRvaqULWCU - transcript (automated).pdf","Transcript Link")</f>
        <v>Transcript Link</v>
      </c>
      <c r="M1582" s="2" t="str">
        <f>HYPERLINK("https://files.afu.se/Downloads/Transcripts/0%20-%20Government/USA%20-%20NASA%20Johnson/2014 11 13 - NASA Johnson - Station Flight Director talks with Pennsylvania Students_LlRvaqULWCU - transcript (automated).pdf","Transcript Link")</f>
        <v>Transcript Link</v>
      </c>
    </row>
    <row r="1583" ht="180" spans="1:13">
      <c r="A1583" s="1" t="s">
        <v>6987</v>
      </c>
      <c r="B1583" s="1" t="s">
        <v>13</v>
      </c>
      <c r="C1583" s="4" t="s">
        <v>6992</v>
      </c>
      <c r="D1583" s="1" t="s">
        <v>6993</v>
      </c>
      <c r="E1583" s="1" t="s">
        <v>6994</v>
      </c>
      <c r="F1583" s="4" t="s">
        <v>17</v>
      </c>
      <c r="G1583" s="1" t="s">
        <v>18</v>
      </c>
      <c r="H1583" s="1" t="s">
        <v>19</v>
      </c>
      <c r="I1583" s="1" t="s">
        <v>20</v>
      </c>
      <c r="J1583" s="1" t="s">
        <v>6995</v>
      </c>
      <c r="K1583" s="1" t="s">
        <v>22</v>
      </c>
      <c r="L1583" s="1" t="str">
        <f>HYPERLINK("https://files.afu.se/Downloads/Transcripts/0%20-%20Government/USA%20-%20NASA%20Johnson/2014 11 13 - NASA Johnson - Flight Director Talks Exploration with South Carolina Students_k_nNirN_sPA - transcript (automated).pdf","Transcript Link")</f>
        <v>Transcript Link</v>
      </c>
      <c r="M1583" s="2" t="str">
        <f>HYPERLINK("https://files.afu.se/Downloads/Transcripts/0%20-%20Government/USA%20-%20NASA%20Johnson/2014 11 13 - NASA Johnson - Flight Director Talks Exploration with South Carolina Students_k_nNirN_sPA - transcript (automated).pdf","Transcript Link")</f>
        <v>Transcript Link</v>
      </c>
    </row>
    <row r="1584" ht="210" spans="1:13">
      <c r="A1584" s="1" t="s">
        <v>6987</v>
      </c>
      <c r="B1584" s="1" t="s">
        <v>13</v>
      </c>
      <c r="C1584" s="4" t="s">
        <v>6996</v>
      </c>
      <c r="D1584" s="1" t="s">
        <v>6997</v>
      </c>
      <c r="E1584" s="1" t="s">
        <v>6998</v>
      </c>
      <c r="F1584" s="4" t="s">
        <v>17</v>
      </c>
      <c r="G1584" s="1" t="s">
        <v>18</v>
      </c>
      <c r="H1584" s="1" t="s">
        <v>19</v>
      </c>
      <c r="I1584" s="1" t="s">
        <v>20</v>
      </c>
      <c r="J1584" s="1" t="s">
        <v>6999</v>
      </c>
      <c r="K1584" s="1" t="s">
        <v>22</v>
      </c>
      <c r="L1584" s="1" t="str">
        <f>HYPERLINK("https://files.afu.se/Downloads/Transcripts/0%20-%20Government/USA%20-%20NASA%20Johnson/2014 11 13 - NASA Johnson - Expedition 42 43 Crew Depart For Kazakhstan November 13, 2014_UaGOwk4n7S4 - transcript (automated).pdf","Transcript Link")</f>
        <v>Transcript Link</v>
      </c>
      <c r="M1584" s="2" t="str">
        <f>HYPERLINK("https://files.afu.se/Downloads/Transcripts/0%20-%20Government/USA%20-%20NASA%20Johnson/2014 11 13 - NASA Johnson - Expedition 42 43 Crew Depart For Kazakhstan November 13, 2014_UaGOwk4n7S4 - transcript (automated).pdf","Transcript Link")</f>
        <v>Transcript Link</v>
      </c>
    </row>
    <row r="1585" ht="180" spans="1:13">
      <c r="A1585" s="1" t="s">
        <v>7000</v>
      </c>
      <c r="B1585" s="1" t="s">
        <v>13</v>
      </c>
      <c r="C1585" s="4" t="s">
        <v>7001</v>
      </c>
      <c r="D1585" s="1" t="s">
        <v>7002</v>
      </c>
      <c r="E1585" s="1" t="s">
        <v>7003</v>
      </c>
      <c r="F1585" s="4" t="s">
        <v>17</v>
      </c>
      <c r="G1585" s="1" t="s">
        <v>18</v>
      </c>
      <c r="H1585" s="1" t="s">
        <v>19</v>
      </c>
      <c r="I1585" s="1" t="s">
        <v>20</v>
      </c>
      <c r="J1585" s="1" t="s">
        <v>7004</v>
      </c>
      <c r="K1585" s="1" t="s">
        <v>22</v>
      </c>
      <c r="L1585" s="1" t="str">
        <f>HYPERLINK("https://files.afu.se/Downloads/Transcripts/0%20-%20Government/USA%20-%20NASA%20Johnson/2014 11 12 - NASA Johnson - Expedition 41 Flight Engineer Reid Wiseman Returns Home Nov. 11, 2014_VBAeI136jZk - transcript (automated).pdf","Transcript Link")</f>
        <v>Transcript Link</v>
      </c>
      <c r="M1585" s="2" t="str">
        <f>HYPERLINK("https://files.afu.se/Downloads/Transcripts/0%20-%20Government/USA%20-%20NASA%20Johnson/2014 11 12 - NASA Johnson - Expedition 41 Flight Engineer Reid Wiseman Returns Home Nov. 11, 2014_VBAeI136jZk - transcript (automated).pdf","Transcript Link")</f>
        <v>Transcript Link</v>
      </c>
    </row>
    <row r="1586" ht="195" spans="1:13">
      <c r="A1586" s="1" t="s">
        <v>7005</v>
      </c>
      <c r="B1586" s="1" t="s">
        <v>13</v>
      </c>
      <c r="C1586" s="4" t="s">
        <v>7006</v>
      </c>
      <c r="D1586" s="1" t="s">
        <v>7007</v>
      </c>
      <c r="E1586" s="1" t="s">
        <v>7008</v>
      </c>
      <c r="F1586" s="4" t="s">
        <v>17</v>
      </c>
      <c r="G1586" s="1" t="s">
        <v>18</v>
      </c>
      <c r="H1586" s="1" t="s">
        <v>19</v>
      </c>
      <c r="I1586" s="1" t="s">
        <v>20</v>
      </c>
      <c r="J1586" s="1" t="s">
        <v>7009</v>
      </c>
      <c r="K1586" s="1" t="s">
        <v>22</v>
      </c>
      <c r="L1586" s="1" t="str">
        <f>HYPERLINK("https://files.afu.se/Downloads/Transcripts/0%20-%20Government/USA%20-%20NASA%20Johnson/2014 11 10 - NASA Johnson - Expedition 41 Crew Receives a Warm Welcome in Kazakhstan and Russia_ULFZAjni62s - transcript (automated).pdf","Transcript Link")</f>
        <v>Transcript Link</v>
      </c>
      <c r="M1586" s="2" t="str">
        <f>HYPERLINK("https://files.afu.se/Downloads/Transcripts/0%20-%20Government/USA%20-%20NASA%20Johnson/2014 11 10 - NASA Johnson - Expedition 41 Crew Receives a Warm Welcome in Kazakhstan and Russia_ULFZAjni62s - transcript (automated).pdf","Transcript Link")</f>
        <v>Transcript Link</v>
      </c>
    </row>
    <row r="1587" ht="180" spans="1:13">
      <c r="A1587" s="1" t="s">
        <v>7010</v>
      </c>
      <c r="B1587" s="1" t="s">
        <v>13</v>
      </c>
      <c r="C1587" s="4" t="s">
        <v>7011</v>
      </c>
      <c r="D1587" s="1" t="s">
        <v>7012</v>
      </c>
      <c r="E1587" s="1" t="s">
        <v>7013</v>
      </c>
      <c r="F1587" s="4" t="s">
        <v>17</v>
      </c>
      <c r="G1587" s="1" t="s">
        <v>18</v>
      </c>
      <c r="H1587" s="1" t="s">
        <v>19</v>
      </c>
      <c r="I1587" s="1" t="s">
        <v>20</v>
      </c>
      <c r="J1587" s="1" t="s">
        <v>7014</v>
      </c>
      <c r="K1587" s="1" t="s">
        <v>22</v>
      </c>
      <c r="L1587" s="1" t="str">
        <f>HYPERLINK("https://files.afu.se/Downloads/Transcripts/0%20-%20Government/USA%20-%20NASA%20Johnson/2014 11 07 - NASA Johnson - Expedition 42 CrewProfile Version1 November 6, 2014_YmOa9ypr7lY - transcript (automated).pdf","Transcript Link")</f>
        <v>Transcript Link</v>
      </c>
      <c r="M1587" s="2" t="str">
        <f>HYPERLINK("https://files.afu.se/Downloads/Transcripts/0%20-%20Government/USA%20-%20NASA%20Johnson/2014 11 07 - NASA Johnson - Expedition 42 CrewProfile Version1 November 6, 2014_YmOa9ypr7lY - transcript (automated).pdf","Transcript Link")</f>
        <v>Transcript Link</v>
      </c>
    </row>
    <row r="1588" ht="180" spans="1:13">
      <c r="A1588" s="1" t="s">
        <v>7010</v>
      </c>
      <c r="B1588" s="1" t="s">
        <v>13</v>
      </c>
      <c r="C1588" s="4" t="s">
        <v>7015</v>
      </c>
      <c r="D1588" s="1" t="s">
        <v>7016</v>
      </c>
      <c r="E1588" s="1" t="s">
        <v>7017</v>
      </c>
      <c r="F1588" s="4" t="s">
        <v>17</v>
      </c>
      <c r="G1588" s="1" t="s">
        <v>18</v>
      </c>
      <c r="H1588" s="1" t="s">
        <v>19</v>
      </c>
      <c r="I1588" s="1" t="s">
        <v>20</v>
      </c>
      <c r="J1588" s="1" t="s">
        <v>7018</v>
      </c>
      <c r="K1588" s="1" t="s">
        <v>22</v>
      </c>
      <c r="L1588" s="1" t="str">
        <f>HYPERLINK("https://files.afu.se/Downloads/Transcripts/0%20-%20Government/USA%20-%20NASA%20Johnson/2014 11 07 - NASA Johnson - Orion  I’m on Board – Colin Baker_JPSN4PwL1Mg - transcript (automated).pdf","Transcript Link")</f>
        <v>Transcript Link</v>
      </c>
      <c r="M1588" s="2" t="str">
        <f>HYPERLINK("https://files.afu.se/Downloads/Transcripts/0%20-%20Government/USA%20-%20NASA%20Johnson/2014 11 07 - NASA Johnson - Orion  I’m on Board – Colin Baker_JPSN4PwL1Mg - transcript (automated).pdf","Transcript Link")</f>
        <v>Transcript Link</v>
      </c>
    </row>
    <row r="1589" ht="180" spans="1:13">
      <c r="A1589" s="1" t="s">
        <v>7010</v>
      </c>
      <c r="B1589" s="1" t="s">
        <v>13</v>
      </c>
      <c r="C1589" s="4" t="s">
        <v>7019</v>
      </c>
      <c r="D1589" s="1" t="s">
        <v>7020</v>
      </c>
      <c r="E1589" s="1" t="s">
        <v>7021</v>
      </c>
      <c r="F1589" s="4" t="s">
        <v>17</v>
      </c>
      <c r="G1589" s="1" t="s">
        <v>18</v>
      </c>
      <c r="H1589" s="1" t="s">
        <v>19</v>
      </c>
      <c r="I1589" s="1" t="s">
        <v>20</v>
      </c>
      <c r="J1589" s="1" t="s">
        <v>7022</v>
      </c>
      <c r="K1589" s="1" t="s">
        <v>22</v>
      </c>
      <c r="L1589" s="1" t="str">
        <f>HYPERLINK("https://files.afu.se/Downloads/Transcripts/0%20-%20Government/USA%20-%20NASA%20Johnson/2014 11 07 - NASA Johnson - Expedition 42 43 Crew Conducts News Conference and Traditional Ceremonies in Russia_p6htXcpgWtw - transcript (automated).pdf","Transcript Link")</f>
        <v>Transcript Link</v>
      </c>
      <c r="M1589" s="2" t="str">
        <f>HYPERLINK("https://files.afu.se/Downloads/Transcripts/0%20-%20Government/USA%20-%20NASA%20Johnson/2014 11 07 - NASA Johnson - Expedition 42 43 Crew Conducts News Conference and Traditional Ceremonies in Russia_p6htXcpgWtw - transcript (automated).pdf","Transcript Link")</f>
        <v>Transcript Link</v>
      </c>
    </row>
    <row r="1590" ht="180" spans="1:13">
      <c r="A1590" s="1" t="s">
        <v>7010</v>
      </c>
      <c r="B1590" s="1" t="s">
        <v>13</v>
      </c>
      <c r="C1590" s="4" t="s">
        <v>7023</v>
      </c>
      <c r="D1590" s="1" t="s">
        <v>7024</v>
      </c>
      <c r="E1590" s="1" t="s">
        <v>7025</v>
      </c>
      <c r="F1590" s="4" t="s">
        <v>17</v>
      </c>
      <c r="G1590" s="1" t="s">
        <v>18</v>
      </c>
      <c r="H1590" s="1" t="s">
        <v>19</v>
      </c>
      <c r="I1590" s="1" t="s">
        <v>20</v>
      </c>
      <c r="J1590" s="1" t="s">
        <v>7026</v>
      </c>
      <c r="K1590" s="1" t="s">
        <v>22</v>
      </c>
      <c r="L1590" s="1" t="str">
        <f>HYPERLINK("https://files.afu.se/Downloads/Transcripts/0%20-%20Government/USA%20-%20NASA%20Johnson/2014 11 07 - NASA Johnson - Space Station Live  The Science of a New Expedition_aw0WBQubB5g - transcript (automated).pdf","Transcript Link")</f>
        <v>Transcript Link</v>
      </c>
      <c r="M1590" s="2" t="str">
        <f>HYPERLINK("https://files.afu.se/Downloads/Transcripts/0%20-%20Government/USA%20-%20NASA%20Johnson/2014 11 07 - NASA Johnson - Space Station Live  The Science of a New Expedition_aw0WBQubB5g - transcript (automated).pdf","Transcript Link")</f>
        <v>Transcript Link</v>
      </c>
    </row>
    <row r="1591" ht="180" spans="1:13">
      <c r="A1591" s="1" t="s">
        <v>7010</v>
      </c>
      <c r="B1591" s="1" t="s">
        <v>13</v>
      </c>
      <c r="C1591" s="4" t="s">
        <v>7027</v>
      </c>
      <c r="D1591" s="1" t="s">
        <v>7028</v>
      </c>
      <c r="E1591" s="1" t="s">
        <v>5059</v>
      </c>
      <c r="F1591" s="4" t="s">
        <v>17</v>
      </c>
      <c r="G1591" s="1" t="s">
        <v>18</v>
      </c>
      <c r="H1591" s="1" t="s">
        <v>19</v>
      </c>
      <c r="I1591" s="1" t="s">
        <v>20</v>
      </c>
      <c r="J1591" s="1" t="s">
        <v>7029</v>
      </c>
      <c r="K1591" s="1" t="s">
        <v>22</v>
      </c>
      <c r="L1591" s="1" t="str">
        <f>HYPERLINK("https://files.afu.se/Downloads/Transcripts/0%20-%20Government/USA%20-%20NASA%20Johnson/2014 11 07 - NASA Johnson - Space to Ground  Counting Down To Departure  11 07 14_9Tac-QmJ6Y8 - transcript (automated).pdf","Transcript Link")</f>
        <v>Transcript Link</v>
      </c>
      <c r="M1591" s="2" t="str">
        <f>HYPERLINK("https://files.afu.se/Downloads/Transcripts/0%20-%20Government/USA%20-%20NASA%20Johnson/2014 11 07 - NASA Johnson - Space to Ground  Counting Down To Departure  11 07 14_9Tac-QmJ6Y8 - transcript (automated).pdf","Transcript Link")</f>
        <v>Transcript Link</v>
      </c>
    </row>
    <row r="1592" ht="180" spans="1:13">
      <c r="A1592" s="1" t="s">
        <v>7030</v>
      </c>
      <c r="B1592" s="1" t="s">
        <v>13</v>
      </c>
      <c r="C1592" s="4" t="s">
        <v>7031</v>
      </c>
      <c r="D1592" s="1" t="s">
        <v>7032</v>
      </c>
      <c r="E1592" s="1" t="s">
        <v>7033</v>
      </c>
      <c r="F1592" s="4" t="s">
        <v>17</v>
      </c>
      <c r="G1592" s="1" t="s">
        <v>18</v>
      </c>
      <c r="H1592" s="1" t="s">
        <v>19</v>
      </c>
      <c r="I1592" s="1" t="s">
        <v>20</v>
      </c>
      <c r="J1592" s="1" t="s">
        <v>7034</v>
      </c>
      <c r="K1592" s="1" t="s">
        <v>22</v>
      </c>
      <c r="L1592" s="1" t="str">
        <f>HYPERLINK("https://files.afu.se/Downloads/Transcripts/0%20-%20Government/USA%20-%20NASA%20Johnson/2014 11 05 - NASA Johnson - Space Station Live  Deanne Bell on 3D Printing in space_64w8n53NFyA - transcript (automated).pdf","Transcript Link")</f>
        <v>Transcript Link</v>
      </c>
      <c r="M1592" s="2" t="str">
        <f>HYPERLINK("https://files.afu.se/Downloads/Transcripts/0%20-%20Government/USA%20-%20NASA%20Johnson/2014 11 05 - NASA Johnson - Space Station Live  Deanne Bell on 3D Printing in space_64w8n53NFyA - transcript (automated).pdf","Transcript Link")</f>
        <v>Transcript Link</v>
      </c>
    </row>
    <row r="1593" ht="180" spans="1:13">
      <c r="A1593" s="1" t="s">
        <v>7035</v>
      </c>
      <c r="B1593" s="1" t="s">
        <v>13</v>
      </c>
      <c r="C1593" s="4" t="s">
        <v>7036</v>
      </c>
      <c r="D1593" s="1" t="s">
        <v>7037</v>
      </c>
      <c r="E1593" s="1" t="s">
        <v>7038</v>
      </c>
      <c r="F1593" s="4" t="s">
        <v>17</v>
      </c>
      <c r="G1593" s="1" t="s">
        <v>18</v>
      </c>
      <c r="H1593" s="1" t="s">
        <v>19</v>
      </c>
      <c r="I1593" s="1" t="s">
        <v>20</v>
      </c>
      <c r="J1593" s="1" t="s">
        <v>7039</v>
      </c>
      <c r="K1593" s="1" t="s">
        <v>22</v>
      </c>
      <c r="L1593" s="1" t="str">
        <f>HYPERLINK("https://files.afu.se/Downloads/Transcripts/0%20-%20Government/USA%20-%20NASA%20Johnson/2014 11 04 - NASA Johnson - Space Station Live  Sally Ride EarthKAM_EJL6JJMF8mY - transcript (automated).pdf","Transcript Link")</f>
        <v>Transcript Link</v>
      </c>
      <c r="M1593" s="2" t="str">
        <f>HYPERLINK("https://files.afu.se/Downloads/Transcripts/0%20-%20Government/USA%20-%20NASA%20Johnson/2014 11 04 - NASA Johnson - Space Station Live  Sally Ride EarthKAM_EJL6JJMF8mY - transcript (automated).pdf","Transcript Link")</f>
        <v>Transcript Link</v>
      </c>
    </row>
    <row r="1594" ht="180" spans="1:13">
      <c r="A1594" s="1" t="s">
        <v>7040</v>
      </c>
      <c r="B1594" s="1" t="s">
        <v>13</v>
      </c>
      <c r="C1594" s="4" t="s">
        <v>7041</v>
      </c>
      <c r="D1594" s="1" t="s">
        <v>7042</v>
      </c>
      <c r="E1594" s="1" t="s">
        <v>6850</v>
      </c>
      <c r="F1594" s="4" t="s">
        <v>17</v>
      </c>
      <c r="G1594" s="1" t="s">
        <v>18</v>
      </c>
      <c r="H1594" s="1" t="s">
        <v>19</v>
      </c>
      <c r="I1594" s="1" t="s">
        <v>20</v>
      </c>
      <c r="J1594" s="1" t="s">
        <v>7043</v>
      </c>
      <c r="K1594" s="1" t="s">
        <v>22</v>
      </c>
      <c r="L1594" s="1" t="str">
        <f>HYPERLINK("https://files.afu.se/Downloads/Transcripts/0%20-%20Government/USA%20-%20NASA%20Johnson/2014 11 03 - NASA Johnson - Monthly ISS Research Video Update for October 2014_5d9ykhdHtFc - transcript (automated).pdf","Transcript Link")</f>
        <v>Transcript Link</v>
      </c>
      <c r="M1594" s="2" t="str">
        <f>HYPERLINK("https://files.afu.se/Downloads/Transcripts/0%20-%20Government/USA%20-%20NASA%20Johnson/2014 11 03 - NASA Johnson - Monthly ISS Research Video Update for October 2014_5d9ykhdHtFc - transcript (automated).pdf","Transcript Link")</f>
        <v>Transcript Link</v>
      </c>
    </row>
    <row r="1595" ht="180" spans="1:13">
      <c r="A1595" s="1" t="s">
        <v>7040</v>
      </c>
      <c r="B1595" s="1" t="s">
        <v>13</v>
      </c>
      <c r="C1595" s="4" t="s">
        <v>7044</v>
      </c>
      <c r="D1595" s="1" t="s">
        <v>7045</v>
      </c>
      <c r="E1595" s="1" t="s">
        <v>7046</v>
      </c>
      <c r="F1595" s="4" t="s">
        <v>17</v>
      </c>
      <c r="G1595" s="1" t="s">
        <v>18</v>
      </c>
      <c r="H1595" s="1" t="s">
        <v>19</v>
      </c>
      <c r="I1595" s="1" t="s">
        <v>20</v>
      </c>
      <c r="J1595" s="1" t="s">
        <v>7047</v>
      </c>
      <c r="K1595" s="1" t="s">
        <v>22</v>
      </c>
      <c r="L1595" s="1" t="str">
        <f>HYPERLINK("https://files.afu.se/Downloads/Transcripts/0%20-%20Government/USA%20-%20NASA%20Johnson/2014 11 03 - NASA Johnson - Recorded Interview  Blue Angels in Mission Control_nlCGvGoHHFE - transcript (automated).pdf","Transcript Link")</f>
        <v>Transcript Link</v>
      </c>
      <c r="M1595" s="2" t="str">
        <f>HYPERLINK("https://files.afu.se/Downloads/Transcripts/0%20-%20Government/USA%20-%20NASA%20Johnson/2014 11 03 - NASA Johnson - Recorded Interview  Blue Angels in Mission Control_nlCGvGoHHFE - transcript (automated).pdf","Transcript Link")</f>
        <v>Transcript Link</v>
      </c>
    </row>
    <row r="1596" ht="180" spans="1:13">
      <c r="A1596" s="1" t="s">
        <v>7048</v>
      </c>
      <c r="B1596" s="1" t="s">
        <v>13</v>
      </c>
      <c r="C1596" s="4" t="s">
        <v>7049</v>
      </c>
      <c r="D1596" s="1" t="s">
        <v>7050</v>
      </c>
      <c r="E1596" s="1" t="s">
        <v>7051</v>
      </c>
      <c r="F1596" s="4" t="s">
        <v>17</v>
      </c>
      <c r="G1596" s="1" t="s">
        <v>18</v>
      </c>
      <c r="H1596" s="1" t="s">
        <v>19</v>
      </c>
      <c r="I1596" s="1" t="s">
        <v>20</v>
      </c>
      <c r="J1596" s="1" t="s">
        <v>7052</v>
      </c>
      <c r="K1596" s="1" t="s">
        <v>22</v>
      </c>
      <c r="L1596" s="1" t="str">
        <f>HYPERLINK("https://files.afu.se/Downloads/Transcripts/0%20-%20Government/USA%20-%20NASA%20Johnson/2014 10 31 - NASA Johnson - Orion  I’m on Board – Austin St. John_UerzZ7Hswww - transcript (automated).pdf","Transcript Link")</f>
        <v>Transcript Link</v>
      </c>
      <c r="M1596" s="2" t="str">
        <f>HYPERLINK("https://files.afu.se/Downloads/Transcripts/0%20-%20Government/USA%20-%20NASA%20Johnson/2014 10 31 - NASA Johnson - Orion  I’m on Board – Austin St. John_UerzZ7Hswww - transcript (automated).pdf","Transcript Link")</f>
        <v>Transcript Link</v>
      </c>
    </row>
    <row r="1597" ht="180" spans="1:13">
      <c r="A1597" s="1" t="s">
        <v>7048</v>
      </c>
      <c r="B1597" s="1" t="s">
        <v>13</v>
      </c>
      <c r="C1597" s="4" t="s">
        <v>7053</v>
      </c>
      <c r="D1597" s="1" t="s">
        <v>7054</v>
      </c>
      <c r="E1597" s="1" t="s">
        <v>7055</v>
      </c>
      <c r="F1597" s="4" t="s">
        <v>17</v>
      </c>
      <c r="G1597" s="1" t="s">
        <v>18</v>
      </c>
      <c r="H1597" s="1" t="s">
        <v>19</v>
      </c>
      <c r="I1597" s="1" t="s">
        <v>20</v>
      </c>
      <c r="J1597" s="1" t="s">
        <v>7056</v>
      </c>
      <c r="K1597" s="1" t="s">
        <v>22</v>
      </c>
      <c r="L1597" s="1" t="str">
        <f>HYPERLINK("https://files.afu.se/Downloads/Transcripts/0%20-%20Government/USA%20-%20NASA%20Johnson/2014 10 31 - NASA Johnson - Expedition 42 43 Crew Undergoes Final Training Outside Moscow_7Aa_-FSR7VU - transcript (automated).pdf","Transcript Link")</f>
        <v>Transcript Link</v>
      </c>
      <c r="M1597" s="2" t="str">
        <f>HYPERLINK("https://files.afu.se/Downloads/Transcripts/0%20-%20Government/USA%20-%20NASA%20Johnson/2014 10 31 - NASA Johnson - Expedition 42 43 Crew Undergoes Final Training Outside Moscow_7Aa_-FSR7VU - transcript (automated).pdf","Transcript Link")</f>
        <v>Transcript Link</v>
      </c>
    </row>
    <row r="1598" ht="180" spans="1:13">
      <c r="A1598" s="1" t="s">
        <v>7048</v>
      </c>
      <c r="B1598" s="1" t="s">
        <v>13</v>
      </c>
      <c r="C1598" s="4" t="s">
        <v>7057</v>
      </c>
      <c r="D1598" s="1" t="s">
        <v>7058</v>
      </c>
      <c r="E1598" s="1" t="s">
        <v>5059</v>
      </c>
      <c r="F1598" s="4" t="s">
        <v>17</v>
      </c>
      <c r="G1598" s="1" t="s">
        <v>18</v>
      </c>
      <c r="H1598" s="1" t="s">
        <v>19</v>
      </c>
      <c r="I1598" s="1" t="s">
        <v>20</v>
      </c>
      <c r="J1598" s="1" t="s">
        <v>7059</v>
      </c>
      <c r="K1598" s="1" t="s">
        <v>22</v>
      </c>
      <c r="L1598" s="1" t="str">
        <f>HYPERLINK("https://files.afu.se/Downloads/Transcripts/0%20-%20Government/USA%20-%20NASA%20Johnson/2014 10 31 - NASA Johnson - Space to Ground  Supply Shipping  10 31 14_2_rXzMAYZAM - transcript (automated).pdf","Transcript Link")</f>
        <v>Transcript Link</v>
      </c>
      <c r="M1598" s="2" t="str">
        <f>HYPERLINK("https://files.afu.se/Downloads/Transcripts/0%20-%20Government/USA%20-%20NASA%20Johnson/2014 10 31 - NASA Johnson - Space to Ground  Supply Shipping  10 31 14_2_rXzMAYZAM - transcript (automated).pdf","Transcript Link")</f>
        <v>Transcript Link</v>
      </c>
    </row>
    <row r="1599" ht="180" spans="1:13">
      <c r="A1599" s="1" t="s">
        <v>7060</v>
      </c>
      <c r="B1599" s="1" t="s">
        <v>13</v>
      </c>
      <c r="C1599" s="4" t="s">
        <v>7061</v>
      </c>
      <c r="D1599" s="1" t="s">
        <v>7062</v>
      </c>
      <c r="E1599" s="1" t="s">
        <v>7063</v>
      </c>
      <c r="F1599" s="4" t="s">
        <v>17</v>
      </c>
      <c r="G1599" s="1" t="s">
        <v>18</v>
      </c>
      <c r="H1599" s="1" t="s">
        <v>19</v>
      </c>
      <c r="I1599" s="1" t="s">
        <v>20</v>
      </c>
      <c r="J1599" s="1" t="s">
        <v>7064</v>
      </c>
      <c r="K1599" s="1" t="s">
        <v>22</v>
      </c>
      <c r="L1599" s="1" t="str">
        <f>HYPERLINK("https://files.afu.se/Downloads/Transcripts/0%20-%20Government/USA%20-%20NASA%20Johnson/2014 10 30 - NASA Johnson - Space Station Live  MRI for Astronaut Vision Research_cjqqnIJTZx4 - transcript (automated).pdf","Transcript Link")</f>
        <v>Transcript Link</v>
      </c>
      <c r="M1599" s="2" t="str">
        <f>HYPERLINK("https://files.afu.se/Downloads/Transcripts/0%20-%20Government/USA%20-%20NASA%20Johnson/2014 10 30 - NASA Johnson - Space Station Live  MRI for Astronaut Vision Research_cjqqnIJTZx4 - transcript (automated).pdf","Transcript Link")</f>
        <v>Transcript Link</v>
      </c>
    </row>
    <row r="1600" ht="180" spans="1:13">
      <c r="A1600" s="1" t="s">
        <v>7065</v>
      </c>
      <c r="B1600" s="1" t="s">
        <v>13</v>
      </c>
      <c r="C1600" s="4" t="s">
        <v>7066</v>
      </c>
      <c r="D1600" s="1" t="s">
        <v>7067</v>
      </c>
      <c r="E1600" s="1" t="s">
        <v>7068</v>
      </c>
      <c r="F1600" s="4" t="s">
        <v>17</v>
      </c>
      <c r="G1600" s="1" t="s">
        <v>18</v>
      </c>
      <c r="H1600" s="1" t="s">
        <v>19</v>
      </c>
      <c r="I1600" s="1" t="s">
        <v>20</v>
      </c>
      <c r="J1600" s="1" t="s">
        <v>7069</v>
      </c>
      <c r="K1600" s="1" t="s">
        <v>22</v>
      </c>
      <c r="L1600" s="1" t="str">
        <f>HYPERLINK("https://files.afu.se/Downloads/Transcripts/0%20-%20Government/USA%20-%20NASA%20Johnson/2014 10 28 - NASA Johnson - Space Station Live  Science on Cygnus-3_jqBYRpF_4qE - transcript (automated).pdf","Transcript Link")</f>
        <v>Transcript Link</v>
      </c>
      <c r="M1600" s="2" t="str">
        <f>HYPERLINK("https://files.afu.se/Downloads/Transcripts/0%20-%20Government/USA%20-%20NASA%20Johnson/2014 10 28 - NASA Johnson - Space Station Live  Science on Cygnus-3_jqBYRpF_4qE - transcript (automated).pdf","Transcript Link")</f>
        <v>Transcript Link</v>
      </c>
    </row>
    <row r="1601" ht="180" spans="1:13">
      <c r="A1601" s="1" t="s">
        <v>7070</v>
      </c>
      <c r="B1601" s="1" t="s">
        <v>13</v>
      </c>
      <c r="C1601" s="4" t="s">
        <v>7071</v>
      </c>
      <c r="D1601" s="1" t="s">
        <v>7072</v>
      </c>
      <c r="E1601" s="1" t="s">
        <v>7073</v>
      </c>
      <c r="F1601" s="4" t="s">
        <v>17</v>
      </c>
      <c r="G1601" s="1" t="s">
        <v>18</v>
      </c>
      <c r="H1601" s="1" t="s">
        <v>19</v>
      </c>
      <c r="I1601" s="1" t="s">
        <v>20</v>
      </c>
      <c r="J1601" s="1" t="s">
        <v>7074</v>
      </c>
      <c r="K1601" s="1" t="s">
        <v>22</v>
      </c>
      <c r="L1601" s="1" t="str">
        <f>HYPERLINK("https://files.afu.se/Downloads/Transcripts/0%20-%20Government/USA%20-%20NASA%20Johnson/2014 10 27 - NASA Johnson - %23askAstro  The Book That Changed @astro_reid_0wgVfGBCME0 - transcript (automated).pdf","Transcript Link")</f>
        <v>Transcript Link</v>
      </c>
      <c r="M1601" s="2" t="str">
        <f>HYPERLINK("https://files.afu.se/Downloads/Transcripts/0%20-%20Government/USA%20-%20NASA%20Johnson/2014 10 27 - NASA Johnson - %23askAstro  The Book That Changed @astro_reid_0wgVfGBCME0 - transcript (automated).pdf","Transcript Link")</f>
        <v>Transcript Link</v>
      </c>
    </row>
    <row r="1602" ht="180" spans="1:13">
      <c r="A1602" s="1" t="s">
        <v>7070</v>
      </c>
      <c r="B1602" s="1" t="s">
        <v>13</v>
      </c>
      <c r="C1602" s="4" t="s">
        <v>7075</v>
      </c>
      <c r="D1602" s="1" t="s">
        <v>7076</v>
      </c>
      <c r="E1602" s="1" t="s">
        <v>7077</v>
      </c>
      <c r="F1602" s="4" t="s">
        <v>17</v>
      </c>
      <c r="G1602" s="1" t="s">
        <v>18</v>
      </c>
      <c r="H1602" s="1" t="s">
        <v>19</v>
      </c>
      <c r="I1602" s="1" t="s">
        <v>20</v>
      </c>
      <c r="J1602" s="1" t="s">
        <v>7078</v>
      </c>
      <c r="K1602" s="1" t="s">
        <v>22</v>
      </c>
      <c r="L1602" s="1" t="str">
        <f>HYPERLINK("https://files.afu.se/Downloads/Transcripts/0%20-%20Government/USA%20-%20NASA%20Johnson/2014 10 27 - NASA Johnson - %23askAstro  Discoveries from the Space Station_A6ssLbni4ho - transcript (automated).pdf","Transcript Link")</f>
        <v>Transcript Link</v>
      </c>
      <c r="M1602" s="2" t="str">
        <f>HYPERLINK("https://files.afu.se/Downloads/Transcripts/0%20-%20Government/USA%20-%20NASA%20Johnson/2014 10 27 - NASA Johnson - %23askAstro  Discoveries from the Space Station_A6ssLbni4ho - transcript (automated).pdf","Transcript Link")</f>
        <v>Transcript Link</v>
      </c>
    </row>
    <row r="1603" ht="180" spans="1:13">
      <c r="A1603" s="1" t="s">
        <v>7070</v>
      </c>
      <c r="B1603" s="1" t="s">
        <v>13</v>
      </c>
      <c r="C1603" s="4" t="s">
        <v>7079</v>
      </c>
      <c r="D1603" s="1" t="s">
        <v>7080</v>
      </c>
      <c r="E1603" s="1" t="s">
        <v>7077</v>
      </c>
      <c r="F1603" s="4" t="s">
        <v>17</v>
      </c>
      <c r="G1603" s="1" t="s">
        <v>18</v>
      </c>
      <c r="H1603" s="1" t="s">
        <v>19</v>
      </c>
      <c r="I1603" s="1" t="s">
        <v>20</v>
      </c>
      <c r="J1603" s="1" t="s">
        <v>7081</v>
      </c>
      <c r="K1603" s="1" t="s">
        <v>22</v>
      </c>
      <c r="L1603" s="1" t="str">
        <f>HYPERLINK("https://files.afu.se/Downloads/Transcripts/0%20-%20Government/USA%20-%20NASA%20Johnson/2014 10 27 - NASA Johnson - %23askAstro  Can You See Disneyworld from Space _jWi7W8YoEwE - transcript (automated).pdf","Transcript Link")</f>
        <v>Transcript Link</v>
      </c>
      <c r="M1603" s="2" t="str">
        <f>HYPERLINK("https://files.afu.se/Downloads/Transcripts/0%20-%20Government/USA%20-%20NASA%20Johnson/2014 10 27 - NASA Johnson - %23askAstro  Can You See Disneyworld from Space _jWi7W8YoEwE - transcript (automated).pdf","Transcript Link")</f>
        <v>Transcript Link</v>
      </c>
    </row>
    <row r="1604" ht="180" spans="1:13">
      <c r="A1604" s="1" t="s">
        <v>7070</v>
      </c>
      <c r="B1604" s="1" t="s">
        <v>13</v>
      </c>
      <c r="C1604" s="4" t="s">
        <v>7082</v>
      </c>
      <c r="D1604" s="1" t="s">
        <v>7083</v>
      </c>
      <c r="E1604" s="1" t="s">
        <v>7077</v>
      </c>
      <c r="F1604" s="4" t="s">
        <v>17</v>
      </c>
      <c r="G1604" s="1" t="s">
        <v>18</v>
      </c>
      <c r="H1604" s="1" t="s">
        <v>19</v>
      </c>
      <c r="I1604" s="1" t="s">
        <v>20</v>
      </c>
      <c r="J1604" s="1" t="s">
        <v>7084</v>
      </c>
      <c r="K1604" s="1" t="s">
        <v>22</v>
      </c>
      <c r="L1604" s="1" t="str">
        <f>HYPERLINK("https://files.afu.se/Downloads/Transcripts/0%20-%20Government/USA%20-%20NASA%20Johnson/2014 10 27 - NASA Johnson - %23askAstro  The Man-Made Feature You Cannot Miss From Space_ktPYMSm-zso - transcript (automated).pdf","Transcript Link")</f>
        <v>Transcript Link</v>
      </c>
      <c r="M1604" s="2" t="str">
        <f>HYPERLINK("https://files.afu.se/Downloads/Transcripts/0%20-%20Government/USA%20-%20NASA%20Johnson/2014 10 27 - NASA Johnson - %23askAstro  The Man-Made Feature You Cannot Miss From Space_ktPYMSm-zso - transcript (automated).pdf","Transcript Link")</f>
        <v>Transcript Link</v>
      </c>
    </row>
    <row r="1605" ht="180" spans="1:13">
      <c r="A1605" s="1" t="s">
        <v>7070</v>
      </c>
      <c r="B1605" s="1" t="s">
        <v>13</v>
      </c>
      <c r="C1605" s="4" t="s">
        <v>7085</v>
      </c>
      <c r="D1605" s="1" t="s">
        <v>7086</v>
      </c>
      <c r="E1605" s="1" t="s">
        <v>7077</v>
      </c>
      <c r="F1605" s="4" t="s">
        <v>17</v>
      </c>
      <c r="G1605" s="1" t="s">
        <v>18</v>
      </c>
      <c r="H1605" s="1" t="s">
        <v>19</v>
      </c>
      <c r="I1605" s="1" t="s">
        <v>20</v>
      </c>
      <c r="J1605" s="1" t="s">
        <v>7087</v>
      </c>
      <c r="K1605" s="1" t="s">
        <v>22</v>
      </c>
      <c r="L1605" s="1" t="str">
        <f>HYPERLINK("https://files.afu.se/Downloads/Transcripts/0%20-%20Government/USA%20-%20NASA%20Johnson/2014 10 27 - NASA Johnson - %23askAstro  A Few of My Favorite Things…_xnMMi0dMwy4 - transcript (automated).pdf","Transcript Link")</f>
        <v>Transcript Link</v>
      </c>
      <c r="M1605" s="2" t="str">
        <f>HYPERLINK("https://files.afu.se/Downloads/Transcripts/0%20-%20Government/USA%20-%20NASA%20Johnson/2014 10 27 - NASA Johnson - %23askAstro  A Few of My Favorite Things…_xnMMi0dMwy4 - transcript (automated).pdf","Transcript Link")</f>
        <v>Transcript Link</v>
      </c>
    </row>
    <row r="1606" ht="180" spans="1:13">
      <c r="A1606" s="1" t="s">
        <v>7070</v>
      </c>
      <c r="B1606" s="1" t="s">
        <v>13</v>
      </c>
      <c r="C1606" s="4" t="s">
        <v>7088</v>
      </c>
      <c r="D1606" s="1" t="s">
        <v>7089</v>
      </c>
      <c r="E1606" s="1" t="s">
        <v>7077</v>
      </c>
      <c r="F1606" s="4" t="s">
        <v>17</v>
      </c>
      <c r="G1606" s="1" t="s">
        <v>18</v>
      </c>
      <c r="H1606" s="1" t="s">
        <v>19</v>
      </c>
      <c r="I1606" s="1" t="s">
        <v>20</v>
      </c>
      <c r="J1606" s="1" t="s">
        <v>7090</v>
      </c>
      <c r="K1606" s="1" t="s">
        <v>22</v>
      </c>
      <c r="L1606" s="1" t="str">
        <f>HYPERLINK("https://files.afu.se/Downloads/Transcripts/0%20-%20Government/USA%20-%20NASA%20Johnson/2014 10 27 - NASA Johnson - %23askAstro  @astro_reid Receives Hundreds of Calls on Ham Radio_5nLFNG-Njlo - transcript (automated).pdf","Transcript Link")</f>
        <v>Transcript Link</v>
      </c>
      <c r="M1606" s="2" t="str">
        <f>HYPERLINK("https://files.afu.se/Downloads/Transcripts/0%20-%20Government/USA%20-%20NASA%20Johnson/2014 10 27 - NASA Johnson - %23askAstro  @astro_reid Receives Hundreds of Calls on Ham Radio_5nLFNG-Njlo - transcript (automated).pdf","Transcript Link")</f>
        <v>Transcript Link</v>
      </c>
    </row>
    <row r="1607" ht="180" spans="1:13">
      <c r="A1607" s="1" t="s">
        <v>7070</v>
      </c>
      <c r="B1607" s="1" t="s">
        <v>13</v>
      </c>
      <c r="C1607" s="4" t="s">
        <v>7091</v>
      </c>
      <c r="D1607" s="1" t="s">
        <v>7092</v>
      </c>
      <c r="E1607" s="1" t="s">
        <v>7077</v>
      </c>
      <c r="F1607" s="4" t="s">
        <v>17</v>
      </c>
      <c r="G1607" s="1" t="s">
        <v>18</v>
      </c>
      <c r="H1607" s="1" t="s">
        <v>19</v>
      </c>
      <c r="I1607" s="1" t="s">
        <v>20</v>
      </c>
      <c r="J1607" s="1" t="s">
        <v>7093</v>
      </c>
      <c r="K1607" s="1" t="s">
        <v>22</v>
      </c>
      <c r="L1607" s="1" t="str">
        <f>HYPERLINK("https://files.afu.se/Downloads/Transcripts/0%20-%20Government/USA%20-%20NASA%20Johnson/2014 10 27 - NASA Johnson - %23askAstro  Teachers Inspire Astronaut Reid Wiseman_5oxunXFwznw - transcript (automated).pdf","Transcript Link")</f>
        <v>Transcript Link</v>
      </c>
      <c r="M1607" s="2" t="str">
        <f>HYPERLINK("https://files.afu.se/Downloads/Transcripts/0%20-%20Government/USA%20-%20NASA%20Johnson/2014 10 27 - NASA Johnson - %23askAstro  Teachers Inspire Astronaut Reid Wiseman_5oxunXFwznw - transcript (automated).pdf","Transcript Link")</f>
        <v>Transcript Link</v>
      </c>
    </row>
    <row r="1608" ht="180" spans="1:13">
      <c r="A1608" s="1" t="s">
        <v>7070</v>
      </c>
      <c r="B1608" s="1" t="s">
        <v>13</v>
      </c>
      <c r="C1608" s="4" t="s">
        <v>7094</v>
      </c>
      <c r="D1608" s="1" t="s">
        <v>7095</v>
      </c>
      <c r="E1608" s="1" t="s">
        <v>7077</v>
      </c>
      <c r="F1608" s="4" t="s">
        <v>17</v>
      </c>
      <c r="G1608" s="1" t="s">
        <v>18</v>
      </c>
      <c r="H1608" s="1" t="s">
        <v>19</v>
      </c>
      <c r="I1608" s="1" t="s">
        <v>20</v>
      </c>
      <c r="J1608" s="1" t="s">
        <v>7096</v>
      </c>
      <c r="K1608" s="1" t="s">
        <v>22</v>
      </c>
      <c r="L1608" s="1" t="str">
        <f>HYPERLINK("https://files.afu.se/Downloads/Transcripts/0%20-%20Government/USA%20-%20NASA%20Johnson/2014 10 27 - NASA Johnson - %23askAstro  Surprises of Living in Space_R4nf3_FPUCs - transcript (automated).pdf","Transcript Link")</f>
        <v>Transcript Link</v>
      </c>
      <c r="M1608" s="2" t="str">
        <f>HYPERLINK("https://files.afu.se/Downloads/Transcripts/0%20-%20Government/USA%20-%20NASA%20Johnson/2014 10 27 - NASA Johnson - %23askAstro  Surprises of Living in Space_R4nf3_FPUCs - transcript (automated).pdf","Transcript Link")</f>
        <v>Transcript Link</v>
      </c>
    </row>
    <row r="1609" ht="180" spans="1:13">
      <c r="A1609" s="1" t="s">
        <v>7070</v>
      </c>
      <c r="B1609" s="1" t="s">
        <v>13</v>
      </c>
      <c r="C1609" s="4" t="s">
        <v>7097</v>
      </c>
      <c r="D1609" s="1" t="s">
        <v>7098</v>
      </c>
      <c r="E1609" s="1" t="s">
        <v>7077</v>
      </c>
      <c r="F1609" s="4" t="s">
        <v>17</v>
      </c>
      <c r="G1609" s="1" t="s">
        <v>18</v>
      </c>
      <c r="H1609" s="1" t="s">
        <v>19</v>
      </c>
      <c r="I1609" s="1" t="s">
        <v>20</v>
      </c>
      <c r="J1609" s="1" t="s">
        <v>7099</v>
      </c>
      <c r="K1609" s="1" t="s">
        <v>22</v>
      </c>
      <c r="L1609" s="1" t="str">
        <f>HYPERLINK("https://files.afu.se/Downloads/Transcripts/0%20-%20Government/USA%20-%20NASA%20Johnson/2014 10 27 - NASA Johnson - %23askAstro  @astro_reid on Aliens in Space_WyzTFxVw0ds - transcript (automated).pdf","Transcript Link")</f>
        <v>Transcript Link</v>
      </c>
      <c r="M1609" s="2" t="str">
        <f>HYPERLINK("https://files.afu.se/Downloads/Transcripts/0%20-%20Government/USA%20-%20NASA%20Johnson/2014 10 27 - NASA Johnson - %23askAstro  @astro_reid on Aliens in Space_WyzTFxVw0ds - transcript (automated).pdf","Transcript Link")</f>
        <v>Transcript Link</v>
      </c>
    </row>
    <row r="1610" ht="180" spans="1:13">
      <c r="A1610" s="1" t="s">
        <v>7070</v>
      </c>
      <c r="B1610" s="1" t="s">
        <v>13</v>
      </c>
      <c r="C1610" s="4" t="s">
        <v>7100</v>
      </c>
      <c r="D1610" s="1" t="s">
        <v>7101</v>
      </c>
      <c r="E1610" s="1" t="s">
        <v>7077</v>
      </c>
      <c r="F1610" s="4" t="s">
        <v>17</v>
      </c>
      <c r="G1610" s="1" t="s">
        <v>18</v>
      </c>
      <c r="H1610" s="1" t="s">
        <v>19</v>
      </c>
      <c r="I1610" s="1" t="s">
        <v>20</v>
      </c>
      <c r="J1610" s="1" t="s">
        <v>7102</v>
      </c>
      <c r="K1610" s="1" t="s">
        <v>22</v>
      </c>
      <c r="L1610" s="1" t="str">
        <f>HYPERLINK("https://files.afu.se/Downloads/Transcripts/0%20-%20Government/USA%20-%20NASA%20Johnson/2014 10 27 - NASA Johnson - %23askAstro  Should I Become a Pilot to Be an Astronaut _dXwmxNoCi68 - transcript (automated).pdf","Transcript Link")</f>
        <v>Transcript Link</v>
      </c>
      <c r="M1610" s="2" t="str">
        <f>HYPERLINK("https://files.afu.se/Downloads/Transcripts/0%20-%20Government/USA%20-%20NASA%20Johnson/2014 10 27 - NASA Johnson - %23askAstro  Should I Become a Pilot to Be an Astronaut _dXwmxNoCi68 - transcript (automated).pdf","Transcript Link")</f>
        <v>Transcript Link</v>
      </c>
    </row>
    <row r="1611" ht="180" spans="1:13">
      <c r="A1611" s="1" t="s">
        <v>7070</v>
      </c>
      <c r="B1611" s="1" t="s">
        <v>13</v>
      </c>
      <c r="C1611" s="4" t="s">
        <v>7103</v>
      </c>
      <c r="D1611" s="1" t="s">
        <v>7104</v>
      </c>
      <c r="E1611" s="1" t="s">
        <v>7077</v>
      </c>
      <c r="F1611" s="4" t="s">
        <v>17</v>
      </c>
      <c r="G1611" s="1" t="s">
        <v>18</v>
      </c>
      <c r="H1611" s="1" t="s">
        <v>19</v>
      </c>
      <c r="I1611" s="1" t="s">
        <v>20</v>
      </c>
      <c r="J1611" s="1" t="s">
        <v>7105</v>
      </c>
      <c r="K1611" s="1" t="s">
        <v>22</v>
      </c>
      <c r="L1611" s="1" t="str">
        <f>HYPERLINK("https://files.afu.se/Downloads/Transcripts/0%20-%20Government/USA%20-%20NASA%20Johnson/2014 10 27 - NASA Johnson - %23askAstro  @astro_reid’s Biggest Fear in Space_fR68TyEUr2I - transcript (automated).pdf","Transcript Link")</f>
        <v>Transcript Link</v>
      </c>
      <c r="M1611" s="2" t="str">
        <f>HYPERLINK("https://files.afu.se/Downloads/Transcripts/0%20-%20Government/USA%20-%20NASA%20Johnson/2014 10 27 - NASA Johnson - %23askAstro  @astro_reid’s Biggest Fear in Space_fR68TyEUr2I - transcript (automated).pdf","Transcript Link")</f>
        <v>Transcript Link</v>
      </c>
    </row>
    <row r="1612" ht="180" spans="1:13">
      <c r="A1612" s="1" t="s">
        <v>7070</v>
      </c>
      <c r="B1612" s="1" t="s">
        <v>13</v>
      </c>
      <c r="C1612" s="4" t="s">
        <v>7106</v>
      </c>
      <c r="D1612" s="1" t="s">
        <v>7107</v>
      </c>
      <c r="E1612" s="1" t="s">
        <v>7077</v>
      </c>
      <c r="F1612" s="4" t="s">
        <v>17</v>
      </c>
      <c r="G1612" s="1" t="s">
        <v>18</v>
      </c>
      <c r="H1612" s="1" t="s">
        <v>19</v>
      </c>
      <c r="I1612" s="1" t="s">
        <v>20</v>
      </c>
      <c r="J1612" s="1" t="s">
        <v>7108</v>
      </c>
      <c r="K1612" s="1" t="s">
        <v>22</v>
      </c>
      <c r="L1612" s="1" t="str">
        <f>HYPERLINK("https://files.afu.se/Downloads/Transcripts/0%20-%20Government/USA%20-%20NASA%20Johnson/2014 10 27 - NASA Johnson - %23askAstro  Pursue Your Dreams_mxTAw0LOj3I - transcript (automated).pdf","Transcript Link")</f>
        <v>Transcript Link</v>
      </c>
      <c r="M1612" s="2" t="str">
        <f>HYPERLINK("https://files.afu.se/Downloads/Transcripts/0%20-%20Government/USA%20-%20NASA%20Johnson/2014 10 27 - NASA Johnson - %23askAstro  Pursue Your Dreams_mxTAw0LOj3I - transcript (automated).pdf","Transcript Link")</f>
        <v>Transcript Link</v>
      </c>
    </row>
    <row r="1613" ht="180" spans="1:13">
      <c r="A1613" s="1" t="s">
        <v>7070</v>
      </c>
      <c r="B1613" s="1" t="s">
        <v>13</v>
      </c>
      <c r="C1613" s="4" t="s">
        <v>7109</v>
      </c>
      <c r="D1613" s="1" t="s">
        <v>7110</v>
      </c>
      <c r="E1613" s="1" t="s">
        <v>7077</v>
      </c>
      <c r="F1613" s="4" t="s">
        <v>17</v>
      </c>
      <c r="G1613" s="1" t="s">
        <v>18</v>
      </c>
      <c r="H1613" s="1" t="s">
        <v>19</v>
      </c>
      <c r="I1613" s="1" t="s">
        <v>20</v>
      </c>
      <c r="J1613" s="1" t="s">
        <v>7111</v>
      </c>
      <c r="K1613" s="1" t="s">
        <v>22</v>
      </c>
      <c r="L1613" s="1" t="str">
        <f>HYPERLINK("https://files.afu.se/Downloads/Transcripts/0%20-%20Government/USA%20-%20NASA%20Johnson/2014 10 27 - NASA Johnson - %23askAstro  How to Be an Astronaut_xYVF_TD-mKs - transcript (automated).pdf","Transcript Link")</f>
        <v>Transcript Link</v>
      </c>
      <c r="M1613" s="2" t="str">
        <f>HYPERLINK("https://files.afu.se/Downloads/Transcripts/0%20-%20Government/USA%20-%20NASA%20Johnson/2014 10 27 - NASA Johnson - %23askAstro  How to Be an Astronaut_xYVF_TD-mKs - transcript (automated).pdf","Transcript Link")</f>
        <v>Transcript Link</v>
      </c>
    </row>
    <row r="1614" ht="180" spans="1:13">
      <c r="A1614" s="1" t="s">
        <v>7070</v>
      </c>
      <c r="B1614" s="1" t="s">
        <v>13</v>
      </c>
      <c r="C1614" s="4" t="s">
        <v>7112</v>
      </c>
      <c r="D1614" s="1" t="s">
        <v>7113</v>
      </c>
      <c r="E1614" s="1" t="s">
        <v>7114</v>
      </c>
      <c r="F1614" s="4" t="s">
        <v>17</v>
      </c>
      <c r="G1614" s="1" t="s">
        <v>18</v>
      </c>
      <c r="H1614" s="1" t="s">
        <v>19</v>
      </c>
      <c r="I1614" s="1" t="s">
        <v>20</v>
      </c>
      <c r="J1614" s="1" t="s">
        <v>7115</v>
      </c>
      <c r="K1614" s="1" t="s">
        <v>22</v>
      </c>
      <c r="L1614" s="1" t="str">
        <f>HYPERLINK("https://files.afu.se/Downloads/Transcripts/0%20-%20Government/USA%20-%20NASA%20Johnson/2014 10 27 - NASA Johnson - Space Station Live  Countdown to Orb-3 Launch_gux0bynbo-I - transcript (automated).pdf","Transcript Link")</f>
        <v>Transcript Link</v>
      </c>
      <c r="M1614" s="2" t="str">
        <f>HYPERLINK("https://files.afu.se/Downloads/Transcripts/0%20-%20Government/USA%20-%20NASA%20Johnson/2014 10 27 - NASA Johnson - Space Station Live  Countdown to Orb-3 Launch_gux0bynbo-I - transcript (automated).pdf","Transcript Link")</f>
        <v>Transcript Link</v>
      </c>
    </row>
    <row r="1615" ht="180" spans="1:13">
      <c r="A1615" s="1" t="s">
        <v>7070</v>
      </c>
      <c r="B1615" s="1" t="s">
        <v>13</v>
      </c>
      <c r="C1615" s="4" t="s">
        <v>7116</v>
      </c>
      <c r="D1615" s="1" t="s">
        <v>7117</v>
      </c>
      <c r="E1615" s="1" t="s">
        <v>7118</v>
      </c>
      <c r="F1615" s="4" t="s">
        <v>17</v>
      </c>
      <c r="G1615" s="1" t="s">
        <v>18</v>
      </c>
      <c r="H1615" s="1" t="s">
        <v>19</v>
      </c>
      <c r="I1615" s="1" t="s">
        <v>20</v>
      </c>
      <c r="J1615" s="1" t="s">
        <v>7119</v>
      </c>
      <c r="K1615" s="1" t="s">
        <v>22</v>
      </c>
      <c r="L1615" s="1" t="str">
        <f>HYPERLINK("https://files.afu.se/Downloads/Transcripts/0%20-%20Government/USA%20-%20NASA%20Johnson/2014 10 27 - NASA Johnson - Space Station LIve  GPS Experiment on SCAN Testbed_o0vpGOYLlZ4 - transcript (automated).pdf","Transcript Link")</f>
        <v>Transcript Link</v>
      </c>
      <c r="M1615" s="2" t="str">
        <f>HYPERLINK("https://files.afu.se/Downloads/Transcripts/0%20-%20Government/USA%20-%20NASA%20Johnson/2014 10 27 - NASA Johnson - Space Station LIve  GPS Experiment on SCAN Testbed_o0vpGOYLlZ4 - transcript (automated).pdf","Transcript Link")</f>
        <v>Transcript Link</v>
      </c>
    </row>
    <row r="1616" ht="180" spans="1:13">
      <c r="A1616" s="1" t="s">
        <v>7120</v>
      </c>
      <c r="B1616" s="1" t="s">
        <v>13</v>
      </c>
      <c r="C1616" s="4" t="s">
        <v>7121</v>
      </c>
      <c r="D1616" s="1" t="s">
        <v>7122</v>
      </c>
      <c r="E1616" s="1" t="s">
        <v>7123</v>
      </c>
      <c r="F1616" s="4" t="s">
        <v>17</v>
      </c>
      <c r="G1616" s="1" t="s">
        <v>18</v>
      </c>
      <c r="H1616" s="1" t="s">
        <v>19</v>
      </c>
      <c r="I1616" s="1" t="s">
        <v>20</v>
      </c>
      <c r="J1616" s="1" t="s">
        <v>7124</v>
      </c>
      <c r="K1616" s="1" t="s">
        <v>22</v>
      </c>
      <c r="L1616" s="1" t="str">
        <f>HYPERLINK("https://files.afu.se/Downloads/Transcripts/0%20-%20Government/USA%20-%20NASA%20Johnson/2014 10 24 - NASA Johnson - Orion  I’m on Board – John Barrowman_G0p4-DlYh0s - transcript (automated).pdf","Transcript Link")</f>
        <v>Transcript Link</v>
      </c>
      <c r="M1616" s="2" t="str">
        <f>HYPERLINK("https://files.afu.se/Downloads/Transcripts/0%20-%20Government/USA%20-%20NASA%20Johnson/2014 10 24 - NASA Johnson - Orion  I’m on Board – John Barrowman_G0p4-DlYh0s - transcript (automated).pdf","Transcript Link")</f>
        <v>Transcript Link</v>
      </c>
    </row>
    <row r="1617" ht="180" spans="1:13">
      <c r="A1617" s="1" t="s">
        <v>7120</v>
      </c>
      <c r="B1617" s="1" t="s">
        <v>13</v>
      </c>
      <c r="C1617" s="4" t="s">
        <v>7125</v>
      </c>
      <c r="D1617" s="1" t="s">
        <v>7126</v>
      </c>
      <c r="E1617" s="1" t="s">
        <v>5059</v>
      </c>
      <c r="F1617" s="4" t="s">
        <v>17</v>
      </c>
      <c r="G1617" s="1" t="s">
        <v>18</v>
      </c>
      <c r="H1617" s="1" t="s">
        <v>19</v>
      </c>
      <c r="I1617" s="1" t="s">
        <v>20</v>
      </c>
      <c r="J1617" s="1" t="s">
        <v>7127</v>
      </c>
      <c r="K1617" s="1" t="s">
        <v>22</v>
      </c>
      <c r="L1617" s="1" t="str">
        <f>HYPERLINK("https://files.afu.se/Downloads/Transcripts/0%20-%20Government/USA%20-%20NASA%20Johnson/2014 10 24 - NASA Johnson - Space to Ground  Spacewalks Continue  10 24 14_1G82bXHR9Mw - transcript (automated).pdf","Transcript Link")</f>
        <v>Transcript Link</v>
      </c>
      <c r="M1617" s="2" t="str">
        <f>HYPERLINK("https://files.afu.se/Downloads/Transcripts/0%20-%20Government/USA%20-%20NASA%20Johnson/2014 10 24 - NASA Johnson - Space to Ground  Spacewalks Continue  10 24 14_1G82bXHR9Mw - transcript (automated).pdf","Transcript Link")</f>
        <v>Transcript Link</v>
      </c>
    </row>
    <row r="1618" ht="180" spans="1:13">
      <c r="A1618" s="1" t="s">
        <v>7128</v>
      </c>
      <c r="B1618" s="1" t="s">
        <v>13</v>
      </c>
      <c r="C1618" s="4" t="s">
        <v>7129</v>
      </c>
      <c r="D1618" s="1" t="s">
        <v>7130</v>
      </c>
      <c r="E1618" s="1" t="s">
        <v>7131</v>
      </c>
      <c r="F1618" s="4" t="s">
        <v>17</v>
      </c>
      <c r="G1618" s="1" t="s">
        <v>18</v>
      </c>
      <c r="H1618" s="1" t="s">
        <v>19</v>
      </c>
      <c r="I1618" s="1" t="s">
        <v>20</v>
      </c>
      <c r="J1618" s="1" t="s">
        <v>7132</v>
      </c>
      <c r="K1618" s="1" t="s">
        <v>22</v>
      </c>
      <c r="L1618" s="1" t="str">
        <f>HYPERLINK("https://files.afu.se/Downloads/Transcripts/0%20-%20Government/USA%20-%20NASA%20Johnson/2014 10 22 - NASA Johnson - Space Station Live  Student Spaceflight Experiment Program_1X3C9Riawms - transcript (automated).pdf","Transcript Link")</f>
        <v>Transcript Link</v>
      </c>
      <c r="M1618" s="2" t="str">
        <f>HYPERLINK("https://files.afu.se/Downloads/Transcripts/0%20-%20Government/USA%20-%20NASA%20Johnson/2014 10 22 - NASA Johnson - Space Station Live  Student Spaceflight Experiment Program_1X3C9Riawms - transcript (automated).pdf","Transcript Link")</f>
        <v>Transcript Link</v>
      </c>
    </row>
    <row r="1619" ht="180" spans="1:13">
      <c r="A1619" s="1" t="s">
        <v>7133</v>
      </c>
      <c r="B1619" s="1" t="s">
        <v>13</v>
      </c>
      <c r="C1619" s="4" t="s">
        <v>7134</v>
      </c>
      <c r="D1619" s="1" t="s">
        <v>7135</v>
      </c>
      <c r="E1619" s="1" t="s">
        <v>7136</v>
      </c>
      <c r="F1619" s="4" t="s">
        <v>17</v>
      </c>
      <c r="G1619" s="1" t="s">
        <v>18</v>
      </c>
      <c r="H1619" s="1" t="s">
        <v>19</v>
      </c>
      <c r="I1619" s="1" t="s">
        <v>20</v>
      </c>
      <c r="J1619" s="1" t="s">
        <v>7137</v>
      </c>
      <c r="K1619" s="1" t="s">
        <v>22</v>
      </c>
      <c r="L1619" s="1" t="str">
        <f>HYPERLINK("https://files.afu.se/Downloads/Transcripts/0%20-%20Government/USA%20-%20NASA%20Johnson/2014 10 17 - NASA Johnson - Tasks for Third Spacewalk of Expedition 41_l9GD3wcbPyw - transcript (automated).pdf","Transcript Link")</f>
        <v>Transcript Link</v>
      </c>
      <c r="M1619" s="2" t="str">
        <f>HYPERLINK("https://files.afu.se/Downloads/Transcripts/0%20-%20Government/USA%20-%20NASA%20Johnson/2014 10 17 - NASA Johnson - Tasks for Third Spacewalk of Expedition 41_l9GD3wcbPyw - transcript (automated).pdf","Transcript Link")</f>
        <v>Transcript Link</v>
      </c>
    </row>
    <row r="1620" ht="180" spans="1:13">
      <c r="A1620" s="1" t="s">
        <v>7133</v>
      </c>
      <c r="B1620" s="1" t="s">
        <v>13</v>
      </c>
      <c r="C1620" s="4" t="s">
        <v>7138</v>
      </c>
      <c r="D1620" s="1" t="s">
        <v>7139</v>
      </c>
      <c r="E1620" s="1" t="s">
        <v>7140</v>
      </c>
      <c r="F1620" s="4" t="s">
        <v>17</v>
      </c>
      <c r="G1620" s="1" t="s">
        <v>18</v>
      </c>
      <c r="H1620" s="1" t="s">
        <v>19</v>
      </c>
      <c r="I1620" s="1" t="s">
        <v>20</v>
      </c>
      <c r="J1620" s="1" t="s">
        <v>7141</v>
      </c>
      <c r="K1620" s="1" t="s">
        <v>22</v>
      </c>
      <c r="L1620" s="1" t="str">
        <f>HYPERLINK("https://files.afu.se/Downloads/Transcripts/0%20-%20Government/USA%20-%20NASA%20Johnson/2014 10 17 - NASA Johnson - Orion  I’m on Board – Erin Gray_rgBCcmOha8w - transcript (automated).pdf","Transcript Link")</f>
        <v>Transcript Link</v>
      </c>
      <c r="M1620" s="2" t="str">
        <f>HYPERLINK("https://files.afu.se/Downloads/Transcripts/0%20-%20Government/USA%20-%20NASA%20Johnson/2014 10 17 - NASA Johnson - Orion  I’m on Board – Erin Gray_rgBCcmOha8w - transcript (automated).pdf","Transcript Link")</f>
        <v>Transcript Link</v>
      </c>
    </row>
    <row r="1621" ht="180" spans="1:13">
      <c r="A1621" s="1" t="s">
        <v>7133</v>
      </c>
      <c r="B1621" s="1" t="s">
        <v>13</v>
      </c>
      <c r="C1621" s="4" t="s">
        <v>7142</v>
      </c>
      <c r="D1621" s="1" t="s">
        <v>7143</v>
      </c>
      <c r="E1621" s="1" t="s">
        <v>5059</v>
      </c>
      <c r="F1621" s="4" t="s">
        <v>17</v>
      </c>
      <c r="G1621" s="1" t="s">
        <v>18</v>
      </c>
      <c r="H1621" s="1" t="s">
        <v>19</v>
      </c>
      <c r="I1621" s="1" t="s">
        <v>20</v>
      </c>
      <c r="J1621" s="1" t="s">
        <v>7144</v>
      </c>
      <c r="K1621" s="1" t="s">
        <v>22</v>
      </c>
      <c r="L1621" s="1" t="str">
        <f>HYPERLINK("https://files.afu.se/Downloads/Transcripts/0%20-%20Government/USA%20-%20NASA%20Johnson/2014 10 17 - NASA Johnson - Space to Ground  Out the Door  10 17 14_isEGcax2YSQ - transcript (automated).pdf","Transcript Link")</f>
        <v>Transcript Link</v>
      </c>
      <c r="M1621" s="2" t="str">
        <f>HYPERLINK("https://files.afu.se/Downloads/Transcripts/0%20-%20Government/USA%20-%20NASA%20Johnson/2014 10 17 - NASA Johnson - Space to Ground  Out the Door  10 17 14_isEGcax2YSQ - transcript (automated).pdf","Transcript Link")</f>
        <v>Transcript Link</v>
      </c>
    </row>
    <row r="1622" ht="180" spans="1:13">
      <c r="A1622" s="1" t="s">
        <v>7145</v>
      </c>
      <c r="B1622" s="1" t="s">
        <v>13</v>
      </c>
      <c r="C1622" s="4" t="s">
        <v>7146</v>
      </c>
      <c r="D1622" s="1" t="s">
        <v>7147</v>
      </c>
      <c r="E1622" s="1" t="s">
        <v>7148</v>
      </c>
      <c r="F1622" s="4" t="s">
        <v>17</v>
      </c>
      <c r="G1622" s="1" t="s">
        <v>18</v>
      </c>
      <c r="H1622" s="1" t="s">
        <v>19</v>
      </c>
      <c r="I1622" s="1" t="s">
        <v>20</v>
      </c>
      <c r="J1622" s="1" t="s">
        <v>7149</v>
      </c>
      <c r="K1622" s="1" t="s">
        <v>22</v>
      </c>
      <c r="L1622" s="1" t="str">
        <f>HYPERLINK("https://files.afu.se/Downloads/Transcripts/0%20-%20Government/USA%20-%20NASA%20Johnson/2014 10 16 - NASA Johnson - Space Station Live  Clean Air, Fresh Water on Orbit_fxKcYPxL6Jw - transcript (automated).pdf","Transcript Link")</f>
        <v>Transcript Link</v>
      </c>
      <c r="M1622" s="2" t="str">
        <f>HYPERLINK("https://files.afu.se/Downloads/Transcripts/0%20-%20Government/USA%20-%20NASA%20Johnson/2014 10 16 - NASA Johnson - Space Station Live  Clean Air, Fresh Water on Orbit_fxKcYPxL6Jw - transcript (automated).pdf","Transcript Link")</f>
        <v>Transcript Link</v>
      </c>
    </row>
    <row r="1623" ht="180" spans="1:13">
      <c r="A1623" s="1" t="s">
        <v>7145</v>
      </c>
      <c r="B1623" s="1" t="s">
        <v>13</v>
      </c>
      <c r="C1623" s="4" t="s">
        <v>7150</v>
      </c>
      <c r="D1623" s="1" t="s">
        <v>7151</v>
      </c>
      <c r="E1623" s="1" t="s">
        <v>7152</v>
      </c>
      <c r="F1623" s="4" t="s">
        <v>17</v>
      </c>
      <c r="G1623" s="1" t="s">
        <v>18</v>
      </c>
      <c r="H1623" s="1" t="s">
        <v>19</v>
      </c>
      <c r="I1623" s="1" t="s">
        <v>20</v>
      </c>
      <c r="J1623" s="1" t="s">
        <v>7153</v>
      </c>
      <c r="K1623" s="1" t="s">
        <v>22</v>
      </c>
      <c r="L1623" s="1" t="str">
        <f>HYPERLINK("https://files.afu.se/Downloads/Transcripts/0%20-%20Government/USA%20-%20NASA%20Johnson/2014 10 16 - NASA Johnson - Space Station Live  Ultrasound Imaging Eyes on Orbit_1OHRmzCP6HQ - transcript (automated).pdf","Transcript Link")</f>
        <v>Transcript Link</v>
      </c>
      <c r="M1623" s="2" t="str">
        <f>HYPERLINK("https://files.afu.se/Downloads/Transcripts/0%20-%20Government/USA%20-%20NASA%20Johnson/2014 10 16 - NASA Johnson - Space Station Live  Ultrasound Imaging Eyes on Orbit_1OHRmzCP6HQ - transcript (automated).pdf","Transcript Link")</f>
        <v>Transcript Link</v>
      </c>
    </row>
    <row r="1624" ht="180" spans="1:13">
      <c r="A1624" s="1" t="s">
        <v>7154</v>
      </c>
      <c r="B1624" s="1" t="s">
        <v>13</v>
      </c>
      <c r="C1624" s="4" t="s">
        <v>7155</v>
      </c>
      <c r="D1624" s="1" t="s">
        <v>7156</v>
      </c>
      <c r="E1624" s="1" t="s">
        <v>7157</v>
      </c>
      <c r="F1624" s="4" t="s">
        <v>17</v>
      </c>
      <c r="G1624" s="1" t="s">
        <v>18</v>
      </c>
      <c r="H1624" s="1" t="s">
        <v>19</v>
      </c>
      <c r="I1624" s="1" t="s">
        <v>20</v>
      </c>
      <c r="J1624" s="1" t="s">
        <v>7158</v>
      </c>
      <c r="K1624" s="1" t="s">
        <v>22</v>
      </c>
      <c r="L1624" s="1" t="str">
        <f>HYPERLINK("https://files.afu.se/Downloads/Transcripts/0%20-%20Government/USA%20-%20NASA%20Johnson/2014 10 14 - NASA Johnson - Space Station Live  Smart Phones Controlling Smart Spheres_a3oVdB8Jx7c - transcript (automated).pdf","Transcript Link")</f>
        <v>Transcript Link</v>
      </c>
      <c r="M1624" s="2" t="str">
        <f>HYPERLINK("https://files.afu.se/Downloads/Transcripts/0%20-%20Government/USA%20-%20NASA%20Johnson/2014 10 14 - NASA Johnson - Space Station Live  Smart Phones Controlling Smart Spheres_a3oVdB8Jx7c - transcript (automated).pdf","Transcript Link")</f>
        <v>Transcript Link</v>
      </c>
    </row>
    <row r="1625" ht="180" spans="1:13">
      <c r="A1625" s="1" t="s">
        <v>7159</v>
      </c>
      <c r="B1625" s="1" t="s">
        <v>13</v>
      </c>
      <c r="C1625" s="4" t="s">
        <v>7160</v>
      </c>
      <c r="D1625" s="1" t="s">
        <v>7161</v>
      </c>
      <c r="E1625" s="1" t="s">
        <v>7162</v>
      </c>
      <c r="F1625" s="4" t="s">
        <v>17</v>
      </c>
      <c r="G1625" s="1" t="s">
        <v>18</v>
      </c>
      <c r="H1625" s="1" t="s">
        <v>19</v>
      </c>
      <c r="I1625" s="1" t="s">
        <v>20</v>
      </c>
      <c r="J1625" s="1" t="s">
        <v>7163</v>
      </c>
      <c r="K1625" s="1" t="s">
        <v>22</v>
      </c>
      <c r="L1625" s="1" t="str">
        <f>HYPERLINK("https://files.afu.se/Downloads/Transcripts/0%20-%20Government/USA%20-%20NASA%20Johnson/2014 10 10 - NASA Johnson - Orion  I’m on Board – Nichelle Nichols_gNAyBekeVyw - transcript (automated).pdf","Transcript Link")</f>
        <v>Transcript Link</v>
      </c>
      <c r="M1625" s="2" t="str">
        <f>HYPERLINK("https://files.afu.se/Downloads/Transcripts/0%20-%20Government/USA%20-%20NASA%20Johnson/2014 10 10 - NASA Johnson - Orion  I’m on Board – Nichelle Nichols_gNAyBekeVyw - transcript (automated).pdf","Transcript Link")</f>
        <v>Transcript Link</v>
      </c>
    </row>
    <row r="1626" ht="180" spans="1:13">
      <c r="A1626" s="1" t="s">
        <v>7159</v>
      </c>
      <c r="B1626" s="1" t="s">
        <v>13</v>
      </c>
      <c r="C1626" s="4" t="s">
        <v>7164</v>
      </c>
      <c r="D1626" s="1" t="s">
        <v>7165</v>
      </c>
      <c r="E1626" s="1" t="s">
        <v>7166</v>
      </c>
      <c r="F1626" s="4" t="s">
        <v>17</v>
      </c>
      <c r="G1626" s="1" t="s">
        <v>18</v>
      </c>
      <c r="H1626" s="1" t="s">
        <v>19</v>
      </c>
      <c r="I1626" s="1" t="s">
        <v>20</v>
      </c>
      <c r="J1626" s="1" t="s">
        <v>7167</v>
      </c>
      <c r="K1626" s="1" t="s">
        <v>22</v>
      </c>
      <c r="L1626" s="1" t="str">
        <f>HYPERLINK("https://files.afu.se/Downloads/Transcripts/0%20-%20Government/USA%20-%20NASA%20Johnson/2014 10 10 - NASA Johnson - Tasks for Second Expedition 41 U.S. Spacewalk_Cf6fRjgVzyM - transcript (automated).pdf","Transcript Link")</f>
        <v>Transcript Link</v>
      </c>
      <c r="M1626" s="2" t="str">
        <f>HYPERLINK("https://files.afu.se/Downloads/Transcripts/0%20-%20Government/USA%20-%20NASA%20Johnson/2014 10 10 - NASA Johnson - Tasks for Second Expedition 41 U.S. Spacewalk_Cf6fRjgVzyM - transcript (automated).pdf","Transcript Link")</f>
        <v>Transcript Link</v>
      </c>
    </row>
    <row r="1627" ht="180" spans="1:13">
      <c r="A1627" s="1" t="s">
        <v>7159</v>
      </c>
      <c r="B1627" s="1" t="s">
        <v>13</v>
      </c>
      <c r="C1627" s="4" t="s">
        <v>7168</v>
      </c>
      <c r="D1627" s="1" t="s">
        <v>7169</v>
      </c>
      <c r="E1627" s="1" t="s">
        <v>7170</v>
      </c>
      <c r="F1627" s="4" t="s">
        <v>17</v>
      </c>
      <c r="G1627" s="1" t="s">
        <v>18</v>
      </c>
      <c r="H1627" s="1" t="s">
        <v>19</v>
      </c>
      <c r="I1627" s="1" t="s">
        <v>20</v>
      </c>
      <c r="J1627" s="1" t="s">
        <v>7171</v>
      </c>
      <c r="K1627" s="1" t="s">
        <v>22</v>
      </c>
      <c r="L1627" s="1" t="str">
        <f>HYPERLINK("https://files.afu.se/Downloads/Transcripts/0%20-%20Government/USA%20-%20NASA%20Johnson/2014 10 10 - NASA Johnson - Space Station Live  Alex Kanelakos Talks about Oct. 15 U.S. Spacewalk_AIrIhDj96CQ - transcript (automated).pdf","Transcript Link")</f>
        <v>Transcript Link</v>
      </c>
      <c r="M1627" s="2" t="str">
        <f>HYPERLINK("https://files.afu.se/Downloads/Transcripts/0%20-%20Government/USA%20-%20NASA%20Johnson/2014 10 10 - NASA Johnson - Space Station Live  Alex Kanelakos Talks about Oct. 15 U.S. Spacewalk_AIrIhDj96CQ - transcript (automated).pdf","Transcript Link")</f>
        <v>Transcript Link</v>
      </c>
    </row>
    <row r="1628" ht="180" spans="1:13">
      <c r="A1628" s="1" t="s">
        <v>7159</v>
      </c>
      <c r="B1628" s="1" t="s">
        <v>13</v>
      </c>
      <c r="C1628" s="4" t="s">
        <v>7172</v>
      </c>
      <c r="D1628" s="1" t="s">
        <v>7173</v>
      </c>
      <c r="E1628" s="1" t="s">
        <v>5059</v>
      </c>
      <c r="F1628" s="4" t="s">
        <v>17</v>
      </c>
      <c r="G1628" s="1" t="s">
        <v>18</v>
      </c>
      <c r="H1628" s="1" t="s">
        <v>19</v>
      </c>
      <c r="I1628" s="1" t="s">
        <v>20</v>
      </c>
      <c r="J1628" s="1" t="s">
        <v>7174</v>
      </c>
      <c r="K1628" s="1" t="s">
        <v>22</v>
      </c>
      <c r="L1628" s="1" t="str">
        <f>HYPERLINK("https://files.afu.se/Downloads/Transcripts/0%20-%20Government/USA%20-%20NASA%20Johnson/2014 10 10 - NASA Johnson - Space to Ground  Out and About  10 10 14_3rQQO6xINnU - transcript (automated).pdf","Transcript Link")</f>
        <v>Transcript Link</v>
      </c>
      <c r="M1628" s="2" t="str">
        <f>HYPERLINK("https://files.afu.se/Downloads/Transcripts/0%20-%20Government/USA%20-%20NASA%20Johnson/2014 10 10 - NASA Johnson - Space to Ground  Out and About  10 10 14_3rQQO6xINnU - transcript (automated).pdf","Transcript Link")</f>
        <v>Transcript Link</v>
      </c>
    </row>
    <row r="1629" ht="180" spans="1:13">
      <c r="A1629" s="1" t="s">
        <v>7175</v>
      </c>
      <c r="B1629" s="1" t="s">
        <v>13</v>
      </c>
      <c r="C1629" s="4" t="s">
        <v>7176</v>
      </c>
      <c r="D1629" s="1" t="s">
        <v>7177</v>
      </c>
      <c r="E1629" s="1" t="s">
        <v>7178</v>
      </c>
      <c r="F1629" s="4" t="s">
        <v>17</v>
      </c>
      <c r="G1629" s="1" t="s">
        <v>18</v>
      </c>
      <c r="H1629" s="1" t="s">
        <v>19</v>
      </c>
      <c r="I1629" s="1" t="s">
        <v>20</v>
      </c>
      <c r="J1629" s="1" t="s">
        <v>7179</v>
      </c>
      <c r="K1629" s="1" t="s">
        <v>22</v>
      </c>
      <c r="L1629" s="1" t="str">
        <f>HYPERLINK("https://files.afu.se/Downloads/Transcripts/0%20-%20Government/USA%20-%20NASA%20Johnson/2014 10 09 - NASA Johnson - Space Station Live  Checking Your Eyes in Space_lzlDaiFHfzk - transcript (automated).pdf","Transcript Link")</f>
        <v>Transcript Link</v>
      </c>
      <c r="M1629" s="2" t="str">
        <f>HYPERLINK("https://files.afu.se/Downloads/Transcripts/0%20-%20Government/USA%20-%20NASA%20Johnson/2014 10 09 - NASA Johnson - Space Station Live  Checking Your Eyes in Space_lzlDaiFHfzk - transcript (automated).pdf","Transcript Link")</f>
        <v>Transcript Link</v>
      </c>
    </row>
    <row r="1630" ht="180" spans="1:13">
      <c r="A1630" s="1" t="s">
        <v>7175</v>
      </c>
      <c r="B1630" s="1" t="s">
        <v>13</v>
      </c>
      <c r="C1630" s="4" t="s">
        <v>7180</v>
      </c>
      <c r="D1630" s="1" t="s">
        <v>7181</v>
      </c>
      <c r="E1630" s="1" t="s">
        <v>6850</v>
      </c>
      <c r="F1630" s="4" t="s">
        <v>17</v>
      </c>
      <c r="G1630" s="1" t="s">
        <v>18</v>
      </c>
      <c r="H1630" s="1" t="s">
        <v>19</v>
      </c>
      <c r="I1630" s="1" t="s">
        <v>20</v>
      </c>
      <c r="J1630" s="1" t="s">
        <v>7182</v>
      </c>
      <c r="K1630" s="1" t="s">
        <v>22</v>
      </c>
      <c r="L1630" s="1" t="str">
        <f>HYPERLINK("https://files.afu.se/Downloads/Transcripts/0%20-%20Government/USA%20-%20NASA%20Johnson/2014 10 09 - NASA Johnson - Monthly ISS Research Video Update for September 2014_IeA41Uyazdg - transcript (automated).pdf","Transcript Link")</f>
        <v>Transcript Link</v>
      </c>
      <c r="M1630" s="2" t="str">
        <f>HYPERLINK("https://files.afu.se/Downloads/Transcripts/0%20-%20Government/USA%20-%20NASA%20Johnson/2014 10 09 - NASA Johnson - Monthly ISS Research Video Update for September 2014_IeA41Uyazdg - transcript (automated).pdf","Transcript Link")</f>
        <v>Transcript Link</v>
      </c>
    </row>
    <row r="1631" ht="180" spans="1:13">
      <c r="A1631" s="1" t="s">
        <v>7183</v>
      </c>
      <c r="B1631" s="1" t="s">
        <v>13</v>
      </c>
      <c r="C1631" s="4" t="s">
        <v>7184</v>
      </c>
      <c r="D1631" s="1" t="s">
        <v>7185</v>
      </c>
      <c r="E1631" s="1" t="s">
        <v>7186</v>
      </c>
      <c r="F1631" s="4" t="s">
        <v>17</v>
      </c>
      <c r="G1631" s="1" t="s">
        <v>18</v>
      </c>
      <c r="H1631" s="1" t="s">
        <v>19</v>
      </c>
      <c r="I1631" s="1" t="s">
        <v>20</v>
      </c>
      <c r="J1631" s="1" t="s">
        <v>7187</v>
      </c>
      <c r="K1631" s="1" t="s">
        <v>22</v>
      </c>
      <c r="L1631" s="1" t="str">
        <f>HYPERLINK("https://files.afu.se/Downloads/Transcripts/0%20-%20Government/USA%20-%20NASA%20Johnson/2014 10 08 - NASA Johnson - Space Station Live  Satellites on the Station_G5ZiTblKME0 - transcript (automated).pdf","Transcript Link")</f>
        <v>Transcript Link</v>
      </c>
      <c r="M1631" s="2" t="str">
        <f>HYPERLINK("https://files.afu.se/Downloads/Transcripts/0%20-%20Government/USA%20-%20NASA%20Johnson/2014 10 08 - NASA Johnson - Space Station Live  Satellites on the Station_G5ZiTblKME0 - transcript (automated).pdf","Transcript Link")</f>
        <v>Transcript Link</v>
      </c>
    </row>
    <row r="1632" ht="180" spans="1:13">
      <c r="A1632" s="1" t="s">
        <v>7183</v>
      </c>
      <c r="B1632" s="1" t="s">
        <v>13</v>
      </c>
      <c r="C1632" s="4" t="s">
        <v>7188</v>
      </c>
      <c r="D1632" s="1" t="s">
        <v>7189</v>
      </c>
      <c r="E1632" s="1" t="s">
        <v>7190</v>
      </c>
      <c r="F1632" s="4" t="s">
        <v>17</v>
      </c>
      <c r="G1632" s="1" t="s">
        <v>18</v>
      </c>
      <c r="H1632" s="1" t="s">
        <v>19</v>
      </c>
      <c r="I1632" s="1" t="s">
        <v>20</v>
      </c>
      <c r="J1632" s="1" t="s">
        <v>7191</v>
      </c>
      <c r="K1632" s="1" t="s">
        <v>22</v>
      </c>
      <c r="L1632" s="1" t="str">
        <f>HYPERLINK("https://files.afu.se/Downloads/Transcripts/0%20-%20Government/USA%20-%20NASA%20Johnson/2014 10 08 - NASA Johnson - Orion  Trial By Fire_KyZqSWWKmHQ - transcript (automated).pdf","Transcript Link")</f>
        <v>Transcript Link</v>
      </c>
      <c r="M1632" s="2" t="str">
        <f>HYPERLINK("https://files.afu.se/Downloads/Transcripts/0%20-%20Government/USA%20-%20NASA%20Johnson/2014 10 08 - NASA Johnson - Orion  Trial By Fire_KyZqSWWKmHQ - transcript (automated).pdf","Transcript Link")</f>
        <v>Transcript Link</v>
      </c>
    </row>
    <row r="1633" ht="180" spans="1:13">
      <c r="A1633" s="1" t="s">
        <v>7192</v>
      </c>
      <c r="B1633" s="1" t="s">
        <v>13</v>
      </c>
      <c r="C1633" s="4" t="s">
        <v>7193</v>
      </c>
      <c r="D1633" s="1" t="s">
        <v>7194</v>
      </c>
      <c r="E1633" s="1" t="s">
        <v>7195</v>
      </c>
      <c r="F1633" s="4" t="s">
        <v>17</v>
      </c>
      <c r="G1633" s="1" t="s">
        <v>18</v>
      </c>
      <c r="H1633" s="1" t="s">
        <v>19</v>
      </c>
      <c r="I1633" s="1" t="s">
        <v>20</v>
      </c>
      <c r="J1633" s="1" t="s">
        <v>7196</v>
      </c>
      <c r="K1633" s="1" t="s">
        <v>22</v>
      </c>
      <c r="L1633" s="1" t="str">
        <f>HYPERLINK("https://files.afu.se/Downloads/Transcripts/0%20-%20Government/USA%20-%20NASA%20Johnson/2014 10 04 - NASA Johnson - Tasks for First Spacewalk of Expedition 41_qoH0EEP1GTM - transcript (automated).pdf","Transcript Link")</f>
        <v>Transcript Link</v>
      </c>
      <c r="M1633" s="2" t="str">
        <f>HYPERLINK("https://files.afu.se/Downloads/Transcripts/0%20-%20Government/USA%20-%20NASA%20Johnson/2014 10 04 - NASA Johnson - Tasks for First Spacewalk of Expedition 41_qoH0EEP1GTM - transcript (automated).pdf","Transcript Link")</f>
        <v>Transcript Link</v>
      </c>
    </row>
    <row r="1634" ht="180" spans="1:13">
      <c r="A1634" s="1" t="s">
        <v>7192</v>
      </c>
      <c r="B1634" s="1" t="s">
        <v>13</v>
      </c>
      <c r="C1634" s="4" t="s">
        <v>7197</v>
      </c>
      <c r="D1634" s="1" t="s">
        <v>7198</v>
      </c>
      <c r="E1634" s="1" t="s">
        <v>7199</v>
      </c>
      <c r="F1634" s="4" t="s">
        <v>17</v>
      </c>
      <c r="G1634" s="1" t="s">
        <v>18</v>
      </c>
      <c r="H1634" s="1" t="s">
        <v>19</v>
      </c>
      <c r="I1634" s="1" t="s">
        <v>20</v>
      </c>
      <c r="J1634" s="1" t="s">
        <v>7200</v>
      </c>
      <c r="K1634" s="1" t="s">
        <v>22</v>
      </c>
      <c r="L1634" s="1" t="str">
        <f>HYPERLINK("https://files.afu.se/Downloads/Transcripts/0%20-%20Government/USA%20-%20NASA%20Johnson/2014 10 04 - NASA Johnson - Space Station Live  Transmitting Data from Space with Lasers_Cb6z7ThvQL0 - transcript (automated).pdf","Transcript Link")</f>
        <v>Transcript Link</v>
      </c>
      <c r="M1634" s="2" t="str">
        <f>HYPERLINK("https://files.afu.se/Downloads/Transcripts/0%20-%20Government/USA%20-%20NASA%20Johnson/2014 10 04 - NASA Johnson - Space Station Live  Transmitting Data from Space with Lasers_Cb6z7ThvQL0 - transcript (automated).pdf","Transcript Link")</f>
        <v>Transcript Link</v>
      </c>
    </row>
    <row r="1635" ht="195" spans="1:13">
      <c r="A1635" s="1" t="s">
        <v>7201</v>
      </c>
      <c r="B1635" s="1" t="s">
        <v>13</v>
      </c>
      <c r="C1635" s="4" t="s">
        <v>7202</v>
      </c>
      <c r="D1635" s="1" t="s">
        <v>7203</v>
      </c>
      <c r="E1635" s="1" t="s">
        <v>7204</v>
      </c>
      <c r="F1635" s="4" t="s">
        <v>17</v>
      </c>
      <c r="G1635" s="1" t="s">
        <v>18</v>
      </c>
      <c r="H1635" s="1" t="s">
        <v>19</v>
      </c>
      <c r="I1635" s="1" t="s">
        <v>20</v>
      </c>
      <c r="J1635" s="1" t="s">
        <v>7205</v>
      </c>
      <c r="K1635" s="1" t="s">
        <v>22</v>
      </c>
      <c r="L1635" s="1" t="str">
        <f>HYPERLINK("https://files.afu.se/Downloads/Transcripts/0%20-%20Government/USA%20-%20NASA%20Johnson/2014 10 03 - NASA Johnson - Astronaut Scott Kelly Speaks Out Against Bullying_UpgjEm5aH3U - transcript (automated).pdf","Transcript Link")</f>
        <v>Transcript Link</v>
      </c>
      <c r="M1635" s="2" t="str">
        <f>HYPERLINK("https://files.afu.se/Downloads/Transcripts/0%20-%20Government/USA%20-%20NASA%20Johnson/2014 10 03 - NASA Johnson - Astronaut Scott Kelly Speaks Out Against Bullying_UpgjEm5aH3U - transcript (automated).pdf","Transcript Link")</f>
        <v>Transcript Link</v>
      </c>
    </row>
    <row r="1636" ht="180" spans="1:13">
      <c r="A1636" s="1" t="s">
        <v>7201</v>
      </c>
      <c r="B1636" s="1" t="s">
        <v>13</v>
      </c>
      <c r="C1636" s="4" t="s">
        <v>7206</v>
      </c>
      <c r="D1636" s="1" t="s">
        <v>7207</v>
      </c>
      <c r="E1636" s="1" t="s">
        <v>5059</v>
      </c>
      <c r="F1636" s="4" t="s">
        <v>17</v>
      </c>
      <c r="G1636" s="1" t="s">
        <v>18</v>
      </c>
      <c r="H1636" s="1" t="s">
        <v>19</v>
      </c>
      <c r="I1636" s="1" t="s">
        <v>20</v>
      </c>
      <c r="J1636" s="1" t="s">
        <v>7208</v>
      </c>
      <c r="K1636" s="1" t="s">
        <v>22</v>
      </c>
      <c r="L1636" s="1" t="str">
        <f>HYPERLINK("https://files.afu.se/Downloads/Transcripts/0%20-%20Government/USA%20-%20NASA%20Johnson/2014 10 03 - NASA Johnson - Space to Ground  Unpacking  10 3 14_TX0879xb2DU - transcript (automated).pdf","Transcript Link")</f>
        <v>Transcript Link</v>
      </c>
      <c r="M1636" s="2" t="str">
        <f>HYPERLINK("https://files.afu.se/Downloads/Transcripts/0%20-%20Government/USA%20-%20NASA%20Johnson/2014 10 03 - NASA Johnson - Space to Ground  Unpacking  10 3 14_TX0879xb2DU - transcript (automated).pdf","Transcript Link")</f>
        <v>Transcript Link</v>
      </c>
    </row>
    <row r="1637" ht="180" spans="1:13">
      <c r="A1637" s="1" t="s">
        <v>7209</v>
      </c>
      <c r="B1637" s="1" t="s">
        <v>13</v>
      </c>
      <c r="C1637" s="4" t="s">
        <v>7210</v>
      </c>
      <c r="D1637" s="1" t="s">
        <v>7211</v>
      </c>
      <c r="E1637" s="1" t="s">
        <v>7212</v>
      </c>
      <c r="F1637" s="4" t="s">
        <v>17</v>
      </c>
      <c r="G1637" s="1" t="s">
        <v>18</v>
      </c>
      <c r="H1637" s="1" t="s">
        <v>19</v>
      </c>
      <c r="I1637" s="1" t="s">
        <v>20</v>
      </c>
      <c r="J1637" s="1" t="s">
        <v>7213</v>
      </c>
      <c r="K1637" s="1" t="s">
        <v>22</v>
      </c>
      <c r="L1637" s="1" t="str">
        <f>HYPERLINK("https://files.afu.se/Downloads/Transcripts/0%20-%20Government/USA%20-%20NASA%20Johnson/2014 10 01 - NASA Johnson - Interview with Barry Wilmore  Expedition 41 42 Crew Member_Ebhi5h8uzl8 - transcript (automated).pdf","Transcript Link")</f>
        <v>Transcript Link</v>
      </c>
      <c r="M1637" s="2" t="str">
        <f>HYPERLINK("https://files.afu.se/Downloads/Transcripts/0%20-%20Government/USA%20-%20NASA%20Johnson/2014 10 01 - NASA Johnson - Interview with Barry Wilmore  Expedition 41 42 Crew Member_Ebhi5h8uzl8 - transcript (automated).pdf","Transcript Link")</f>
        <v>Transcript Link</v>
      </c>
    </row>
    <row r="1638" ht="180" spans="1:13">
      <c r="A1638" s="1" t="s">
        <v>7209</v>
      </c>
      <c r="B1638" s="1" t="s">
        <v>13</v>
      </c>
      <c r="C1638" s="4" t="s">
        <v>7214</v>
      </c>
      <c r="D1638" s="1" t="s">
        <v>7215</v>
      </c>
      <c r="E1638" s="1" t="s">
        <v>7216</v>
      </c>
      <c r="F1638" s="4" t="s">
        <v>17</v>
      </c>
      <c r="G1638" s="1" t="s">
        <v>18</v>
      </c>
      <c r="H1638" s="1" t="s">
        <v>19</v>
      </c>
      <c r="I1638" s="1" t="s">
        <v>20</v>
      </c>
      <c r="J1638" s="1" t="s">
        <v>7217</v>
      </c>
      <c r="K1638" s="1" t="s">
        <v>22</v>
      </c>
      <c r="L1638" s="1" t="str">
        <f>HYPERLINK("https://files.afu.se/Downloads/Transcripts/0%20-%20Government/USA%20-%20NASA%20Johnson/2014 10 01 - NASA Johnson - Interview with Scott Kelly  One Year Crew Member_SDgyQSyb2Qo - transcript (automated).pdf","Transcript Link")</f>
        <v>Transcript Link</v>
      </c>
      <c r="M1638" s="2" t="str">
        <f>HYPERLINK("https://files.afu.se/Downloads/Transcripts/0%20-%20Government/USA%20-%20NASA%20Johnson/2014 10 01 - NASA Johnson - Interview with Scott Kelly  One Year Crew Member_SDgyQSyb2Qo - transcript (automated).pdf","Transcript Link")</f>
        <v>Transcript Link</v>
      </c>
    </row>
    <row r="1639" ht="180" spans="1:13">
      <c r="A1639" s="1" t="s">
        <v>7209</v>
      </c>
      <c r="B1639" s="1" t="s">
        <v>13</v>
      </c>
      <c r="C1639" s="4" t="s">
        <v>7218</v>
      </c>
      <c r="D1639" s="1" t="s">
        <v>7219</v>
      </c>
      <c r="E1639" s="1" t="s">
        <v>7220</v>
      </c>
      <c r="F1639" s="4" t="s">
        <v>17</v>
      </c>
      <c r="G1639" s="1" t="s">
        <v>18</v>
      </c>
      <c r="H1639" s="1" t="s">
        <v>19</v>
      </c>
      <c r="I1639" s="1" t="s">
        <v>20</v>
      </c>
      <c r="J1639" s="1" t="s">
        <v>7221</v>
      </c>
      <c r="K1639" s="1" t="s">
        <v>22</v>
      </c>
      <c r="L1639" s="1" t="str">
        <f>HYPERLINK("https://files.afu.se/Downloads/Transcripts/0%20-%20Government/USA%20-%20NASA%20Johnson/2014 10 01 - NASA Johnson - Space Station Live  Research Delivered on Dragon Installed on Station_4pNY24rXBCI - transcript (automated).pdf","Transcript Link")</f>
        <v>Transcript Link</v>
      </c>
      <c r="M1639" s="2" t="str">
        <f>HYPERLINK("https://files.afu.se/Downloads/Transcripts/0%20-%20Government/USA%20-%20NASA%20Johnson/2014 10 01 - NASA Johnson - Space Station Live  Research Delivered on Dragon Installed on Station_4pNY24rXBCI - transcript (automated).pdf","Transcript Link")</f>
        <v>Transcript Link</v>
      </c>
    </row>
    <row r="1640" ht="180" spans="1:13">
      <c r="A1640" s="1" t="s">
        <v>7222</v>
      </c>
      <c r="B1640" s="1" t="s">
        <v>13</v>
      </c>
      <c r="C1640" s="4" t="s">
        <v>7223</v>
      </c>
      <c r="D1640" s="1" t="s">
        <v>7224</v>
      </c>
      <c r="E1640" s="1" t="s">
        <v>5059</v>
      </c>
      <c r="F1640" s="4" t="s">
        <v>17</v>
      </c>
      <c r="G1640" s="1" t="s">
        <v>18</v>
      </c>
      <c r="H1640" s="1" t="s">
        <v>19</v>
      </c>
      <c r="I1640" s="1" t="s">
        <v>20</v>
      </c>
      <c r="J1640" s="1" t="s">
        <v>7225</v>
      </c>
      <c r="K1640" s="1" t="s">
        <v>22</v>
      </c>
      <c r="L1640" s="1" t="str">
        <f>HYPERLINK("https://files.afu.se/Downloads/Transcripts/0%20-%20Government/USA%20-%20NASA%20Johnson/2014 09 26 - NASA Johnson - Space to Ground  New Arrivals  9 26 2014_5AGbFs5ERlI - transcript (automated).pdf","Transcript Link")</f>
        <v>Transcript Link</v>
      </c>
      <c r="M1640" s="2" t="str">
        <f>HYPERLINK("https://files.afu.se/Downloads/Transcripts/0%20-%20Government/USA%20-%20NASA%20Johnson/2014 09 26 - NASA Johnson - Space to Ground  New Arrivals  9 26 2014_5AGbFs5ERlI - transcript (automated).pdf","Transcript Link")</f>
        <v>Transcript Link</v>
      </c>
    </row>
    <row r="1641" ht="180" spans="1:13">
      <c r="A1641" s="1" t="s">
        <v>7222</v>
      </c>
      <c r="B1641" s="1" t="s">
        <v>13</v>
      </c>
      <c r="C1641" s="4" t="s">
        <v>7226</v>
      </c>
      <c r="D1641" s="1" t="s">
        <v>7227</v>
      </c>
      <c r="E1641" s="1" t="s">
        <v>7228</v>
      </c>
      <c r="F1641" s="4" t="s">
        <v>17</v>
      </c>
      <c r="G1641" s="1" t="s">
        <v>18</v>
      </c>
      <c r="H1641" s="1" t="s">
        <v>19</v>
      </c>
      <c r="I1641" s="1" t="s">
        <v>20</v>
      </c>
      <c r="J1641" s="1" t="s">
        <v>7229</v>
      </c>
      <c r="K1641" s="1" t="s">
        <v>22</v>
      </c>
      <c r="L1641" s="1" t="str">
        <f>HYPERLINK("https://files.afu.se/Downloads/Transcripts/0%20-%20Government/USA%20-%20NASA%20Johnson/2014 09 26 - NASA Johnson - Expedition 41 Hatch Opening_2WHio97W4wE - transcript (automated).pdf","Transcript Link")</f>
        <v>Transcript Link</v>
      </c>
      <c r="M1641" s="2" t="str">
        <f>HYPERLINK("https://files.afu.se/Downloads/Transcripts/0%20-%20Government/USA%20-%20NASA%20Johnson/2014 09 26 - NASA Johnson - Expedition 41 Hatch Opening_2WHio97W4wE - transcript (automated).pdf","Transcript Link")</f>
        <v>Transcript Link</v>
      </c>
    </row>
    <row r="1642" ht="180" spans="1:13">
      <c r="A1642" s="1" t="s">
        <v>7222</v>
      </c>
      <c r="B1642" s="1" t="s">
        <v>13</v>
      </c>
      <c r="C1642" s="4" t="s">
        <v>7230</v>
      </c>
      <c r="D1642" s="1" t="s">
        <v>7231</v>
      </c>
      <c r="E1642" s="1" t="s">
        <v>7232</v>
      </c>
      <c r="F1642" s="4" t="s">
        <v>17</v>
      </c>
      <c r="G1642" s="1" t="s">
        <v>18</v>
      </c>
      <c r="H1642" s="1" t="s">
        <v>19</v>
      </c>
      <c r="I1642" s="1" t="s">
        <v>20</v>
      </c>
      <c r="J1642" s="1" t="s">
        <v>7233</v>
      </c>
      <c r="K1642" s="1" t="s">
        <v>22</v>
      </c>
      <c r="L1642" s="1" t="str">
        <f>HYPERLINK("https://files.afu.se/Downloads/Transcripts/0%20-%20Government/USA%20-%20NASA%20Johnson/2014 09 26 - NASA Johnson - Expedition 41 Docks to International Space Station_uvUcXwctK7g - transcript (automated).pdf","Transcript Link")</f>
        <v>Transcript Link</v>
      </c>
      <c r="M1642" s="2" t="str">
        <f>HYPERLINK("https://files.afu.se/Downloads/Transcripts/0%20-%20Government/USA%20-%20NASA%20Johnson/2014 09 26 - NASA Johnson - Expedition 41 Docks to International Space Station_uvUcXwctK7g - transcript (automated).pdf","Transcript Link")</f>
        <v>Transcript Link</v>
      </c>
    </row>
    <row r="1643" ht="180" spans="1:13">
      <c r="A1643" s="1" t="s">
        <v>7234</v>
      </c>
      <c r="B1643" s="1" t="s">
        <v>13</v>
      </c>
      <c r="C1643" s="4" t="s">
        <v>7235</v>
      </c>
      <c r="D1643" s="1" t="s">
        <v>7236</v>
      </c>
      <c r="E1643" s="1" t="s">
        <v>7237</v>
      </c>
      <c r="F1643" s="4" t="s">
        <v>17</v>
      </c>
      <c r="G1643" s="1" t="s">
        <v>18</v>
      </c>
      <c r="H1643" s="1" t="s">
        <v>19</v>
      </c>
      <c r="I1643" s="1" t="s">
        <v>20</v>
      </c>
      <c r="J1643" s="1" t="s">
        <v>7238</v>
      </c>
      <c r="K1643" s="1" t="s">
        <v>22</v>
      </c>
      <c r="L1643" s="1" t="str">
        <f>HYPERLINK("https://files.afu.se/Downloads/Transcripts/0%20-%20Government/USA%20-%20NASA%20Johnson/2014 09 25 - NASA Johnson - Expedition 41 Launches_BYN5RGRa9_E - transcript (automated).pdf","Transcript Link")</f>
        <v>Transcript Link</v>
      </c>
      <c r="M1643" s="2" t="str">
        <f>HYPERLINK("https://files.afu.se/Downloads/Transcripts/0%20-%20Government/USA%20-%20NASA%20Johnson/2014 09 25 - NASA Johnson - Expedition 41 Launches_BYN5RGRa9_E - transcript (automated).pdf","Transcript Link")</f>
        <v>Transcript Link</v>
      </c>
    </row>
    <row r="1644" ht="180" spans="1:13">
      <c r="A1644" s="1" t="s">
        <v>7239</v>
      </c>
      <c r="B1644" s="1" t="s">
        <v>13</v>
      </c>
      <c r="C1644" s="4" t="s">
        <v>7240</v>
      </c>
      <c r="D1644" s="1" t="s">
        <v>7241</v>
      </c>
      <c r="E1644" s="1" t="s">
        <v>7242</v>
      </c>
      <c r="F1644" s="4" t="s">
        <v>17</v>
      </c>
      <c r="G1644" s="1" t="s">
        <v>18</v>
      </c>
      <c r="H1644" s="1" t="s">
        <v>19</v>
      </c>
      <c r="I1644" s="1" t="s">
        <v>20</v>
      </c>
      <c r="J1644" s="1" t="s">
        <v>7243</v>
      </c>
      <c r="K1644" s="1" t="s">
        <v>22</v>
      </c>
      <c r="L1644" s="1" t="str">
        <f>HYPERLINK("https://files.afu.se/Downloads/Transcripts/0%20-%20Government/USA%20-%20NASA%20Johnson/2014 09 24 - NASA Johnson - Space Station Live  Seedling Growth-2 Experiment_lnVque_-f7U - transcript (automated).pdf","Transcript Link")</f>
        <v>Transcript Link</v>
      </c>
      <c r="M1644" s="2" t="str">
        <f>HYPERLINK("https://files.afu.se/Downloads/Transcripts/0%20-%20Government/USA%20-%20NASA%20Johnson/2014 09 24 - NASA Johnson - Space Station Live  Seedling Growth-2 Experiment_lnVque_-f7U - transcript (automated).pdf","Transcript Link")</f>
        <v>Transcript Link</v>
      </c>
    </row>
    <row r="1645" ht="180" spans="1:13">
      <c r="A1645" s="1" t="s">
        <v>7244</v>
      </c>
      <c r="B1645" s="1" t="s">
        <v>13</v>
      </c>
      <c r="C1645" s="4" t="s">
        <v>7245</v>
      </c>
      <c r="D1645" s="1" t="s">
        <v>7246</v>
      </c>
      <c r="E1645" s="1" t="s">
        <v>7247</v>
      </c>
      <c r="F1645" s="4" t="s">
        <v>17</v>
      </c>
      <c r="G1645" s="1" t="s">
        <v>18</v>
      </c>
      <c r="H1645" s="1" t="s">
        <v>19</v>
      </c>
      <c r="I1645" s="1" t="s">
        <v>20</v>
      </c>
      <c r="J1645" s="1" t="s">
        <v>7248</v>
      </c>
      <c r="K1645" s="1" t="s">
        <v>22</v>
      </c>
      <c r="L1645" s="1" t="str">
        <f>HYPERLINK("https://files.afu.se/Downloads/Transcripts/0%20-%20Government/USA%20-%20NASA%20Johnson/2014 09 23 - NASA Johnson - Expedition 41 42 Soyuz TMA-14M Roll Out_P-ZEMPVBEI0 - transcript (automated).pdf","Transcript Link")</f>
        <v>Transcript Link</v>
      </c>
      <c r="M1645" s="2" t="str">
        <f>HYPERLINK("https://files.afu.se/Downloads/Transcripts/0%20-%20Government/USA%20-%20NASA%20Johnson/2014 09 23 - NASA Johnson - Expedition 41 42 Soyuz TMA-14M Roll Out_P-ZEMPVBEI0 - transcript (automated).pdf","Transcript Link")</f>
        <v>Transcript Link</v>
      </c>
    </row>
    <row r="1646" ht="360" spans="1:13">
      <c r="A1646" s="1" t="s">
        <v>7249</v>
      </c>
      <c r="B1646" s="1" t="s">
        <v>13</v>
      </c>
      <c r="C1646" s="4" t="s">
        <v>7250</v>
      </c>
      <c r="D1646" s="1" t="s">
        <v>7251</v>
      </c>
      <c r="E1646" s="1" t="s">
        <v>7252</v>
      </c>
      <c r="F1646" s="4" t="s">
        <v>17</v>
      </c>
      <c r="G1646" s="1" t="s">
        <v>18</v>
      </c>
      <c r="H1646" s="1" t="s">
        <v>19</v>
      </c>
      <c r="I1646" s="1" t="s">
        <v>20</v>
      </c>
      <c r="J1646" s="1" t="s">
        <v>7253</v>
      </c>
      <c r="K1646" s="1" t="s">
        <v>22</v>
      </c>
      <c r="L1646" s="1" t="str">
        <f>HYPERLINK("https://files.afu.se/Downloads/Transcripts/0%20-%20Government/USA%20-%20NASA%20Johnson/2014 09 22 - NASA Johnson - Flash Infrared Thermography &amp; NASA Technology Licensing Opportunities_PQYXTaBur34 - transcript (automated).pdf","Transcript Link")</f>
        <v>Transcript Link</v>
      </c>
      <c r="M1646" s="2" t="str">
        <f>HYPERLINK("https://files.afu.se/Downloads/Transcripts/0%20-%20Government/USA%20-%20NASA%20Johnson/2014 09 22 - NASA Johnson - Flash Infrared Thermography &amp; NASA Technology Licensing Opportunities_PQYXTaBur34 - transcript (automated).pdf","Transcript Link")</f>
        <v>Transcript Link</v>
      </c>
    </row>
    <row r="1647" ht="180" spans="1:13">
      <c r="A1647" s="1" t="s">
        <v>7249</v>
      </c>
      <c r="B1647" s="1" t="s">
        <v>13</v>
      </c>
      <c r="C1647" s="4" t="s">
        <v>7254</v>
      </c>
      <c r="D1647" s="1" t="s">
        <v>7255</v>
      </c>
      <c r="E1647" s="1" t="s">
        <v>7256</v>
      </c>
      <c r="F1647" s="4" t="s">
        <v>17</v>
      </c>
      <c r="G1647" s="1" t="s">
        <v>18</v>
      </c>
      <c r="H1647" s="1" t="s">
        <v>19</v>
      </c>
      <c r="I1647" s="1" t="s">
        <v>20</v>
      </c>
      <c r="J1647" s="1" t="s">
        <v>7257</v>
      </c>
      <c r="K1647" s="1" t="s">
        <v>22</v>
      </c>
      <c r="L1647" s="1" t="str">
        <f>HYPERLINK("https://files.afu.se/Downloads/Transcripts/0%20-%20Government/USA%20-%20NASA%20Johnson/2014 09 22 - NASA Johnson - Exp 41 42 Mission Overview_W35gHSMijEA - transcript (automated).pdf","Transcript Link")</f>
        <v>Transcript Link</v>
      </c>
      <c r="M1647" s="2" t="str">
        <f>HYPERLINK("https://files.afu.se/Downloads/Transcripts/0%20-%20Government/USA%20-%20NASA%20Johnson/2014 09 22 - NASA Johnson - Exp 41 42 Mission Overview_W35gHSMijEA - transcript (automated).pdf","Transcript Link")</f>
        <v>Transcript Link</v>
      </c>
    </row>
    <row r="1648" ht="180" spans="1:13">
      <c r="A1648" s="1" t="s">
        <v>7249</v>
      </c>
      <c r="B1648" s="1" t="s">
        <v>13</v>
      </c>
      <c r="C1648" s="4" t="s">
        <v>7258</v>
      </c>
      <c r="D1648" s="1" t="s">
        <v>7259</v>
      </c>
      <c r="E1648" s="1" t="s">
        <v>7260</v>
      </c>
      <c r="F1648" s="4" t="s">
        <v>17</v>
      </c>
      <c r="G1648" s="1" t="s">
        <v>18</v>
      </c>
      <c r="H1648" s="1" t="s">
        <v>19</v>
      </c>
      <c r="I1648" s="1" t="s">
        <v>20</v>
      </c>
      <c r="J1648" s="1" t="s">
        <v>7261</v>
      </c>
      <c r="K1648" s="1" t="s">
        <v>22</v>
      </c>
      <c r="L1648" s="1" t="str">
        <f>HYPERLINK("https://files.afu.se/Downloads/Transcripts/0%20-%20Government/USA%20-%20NASA%20Johnson/2014 09 22 - NASA Johnson - Expedition 41 Soyuz Prepared for Launch to Station__FoJWCavo9s - transcript (automated).pdf","Transcript Link")</f>
        <v>Transcript Link</v>
      </c>
      <c r="M1648" s="2" t="str">
        <f>HYPERLINK("https://files.afu.se/Downloads/Transcripts/0%20-%20Government/USA%20-%20NASA%20Johnson/2014 09 22 - NASA Johnson - Expedition 41 Soyuz Prepared for Launch to Station__FoJWCavo9s - transcript (automated).pdf","Transcript Link")</f>
        <v>Transcript Link</v>
      </c>
    </row>
    <row r="1649" ht="409.5" spans="1:13">
      <c r="A1649" s="1" t="s">
        <v>7249</v>
      </c>
      <c r="B1649" s="1" t="s">
        <v>13</v>
      </c>
      <c r="C1649" s="4" t="s">
        <v>7262</v>
      </c>
      <c r="D1649" s="1" t="s">
        <v>7263</v>
      </c>
      <c r="E1649" s="1" t="s">
        <v>7264</v>
      </c>
      <c r="F1649" s="4" t="s">
        <v>17</v>
      </c>
      <c r="G1649" s="1" t="s">
        <v>18</v>
      </c>
      <c r="H1649" s="1" t="s">
        <v>19</v>
      </c>
      <c r="I1649" s="1" t="s">
        <v>20</v>
      </c>
      <c r="J1649" s="1" t="s">
        <v>7265</v>
      </c>
      <c r="K1649" s="1" t="s">
        <v>22</v>
      </c>
      <c r="L1649" s="1" t="str">
        <f>HYPERLINK("https://files.afu.se/Downloads/Transcripts/0%20-%20Government/USA%20-%20NASA%20Johnson/2014 09 22 - NASA Johnson - Butch Wilmore – Building Dreams_hnoue1s9H6A - transcript (automated).pdf","Transcript Link")</f>
        <v>Transcript Link</v>
      </c>
      <c r="M1649" s="2" t="str">
        <f>HYPERLINK("https://files.afu.se/Downloads/Transcripts/0%20-%20Government/USA%20-%20NASA%20Johnson/2014 09 22 - NASA Johnson - Butch Wilmore – Building Dreams_hnoue1s9H6A - transcript (automated).pdf","Transcript Link")</f>
        <v>Transcript Link</v>
      </c>
    </row>
    <row r="1650" ht="180" spans="1:13">
      <c r="A1650" s="1" t="s">
        <v>7266</v>
      </c>
      <c r="B1650" s="1" t="s">
        <v>13</v>
      </c>
      <c r="C1650" s="4" t="s">
        <v>7267</v>
      </c>
      <c r="D1650" s="1" t="s">
        <v>7268</v>
      </c>
      <c r="E1650" s="1" t="s">
        <v>7269</v>
      </c>
      <c r="F1650" s="4" t="s">
        <v>17</v>
      </c>
      <c r="G1650" s="1" t="s">
        <v>18</v>
      </c>
      <c r="H1650" s="1" t="s">
        <v>19</v>
      </c>
      <c r="I1650" s="1" t="s">
        <v>20</v>
      </c>
      <c r="J1650" s="1" t="s">
        <v>7270</v>
      </c>
      <c r="K1650" s="1" t="s">
        <v>22</v>
      </c>
      <c r="L1650" s="1" t="str">
        <f>HYPERLINK("https://files.afu.se/Downloads/Transcripts/0%20-%20Government/USA%20-%20NASA%20Johnson/2014 09 19 - NASA Johnson - Space Station Live  Processing Payloads for SpaceX Dragon_qwaH6hJU3rc - transcript (automated).pdf","Transcript Link")</f>
        <v>Transcript Link</v>
      </c>
      <c r="M1650" s="2" t="str">
        <f>HYPERLINK("https://files.afu.se/Downloads/Transcripts/0%20-%20Government/USA%20-%20NASA%20Johnson/2014 09 19 - NASA Johnson - Space Station Live  Processing Payloads for SpaceX Dragon_qwaH6hJU3rc - transcript (automated).pdf","Transcript Link")</f>
        <v>Transcript Link</v>
      </c>
    </row>
    <row r="1651" ht="180" spans="1:13">
      <c r="A1651" s="1" t="s">
        <v>7266</v>
      </c>
      <c r="B1651" s="1" t="s">
        <v>13</v>
      </c>
      <c r="C1651" s="4" t="s">
        <v>7271</v>
      </c>
      <c r="D1651" s="1" t="s">
        <v>7272</v>
      </c>
      <c r="E1651" s="1" t="s">
        <v>7273</v>
      </c>
      <c r="F1651" s="4" t="s">
        <v>17</v>
      </c>
      <c r="G1651" s="1" t="s">
        <v>18</v>
      </c>
      <c r="H1651" s="1" t="s">
        <v>19</v>
      </c>
      <c r="I1651" s="1" t="s">
        <v>20</v>
      </c>
      <c r="J1651" s="1" t="s">
        <v>7274</v>
      </c>
      <c r="K1651" s="1" t="s">
        <v>22</v>
      </c>
      <c r="L1651" s="1" t="str">
        <f>HYPERLINK("https://files.afu.se/Downloads/Transcripts/0%20-%20Government/USA%20-%20NASA%20Johnson/2014 09 19 - NASA Johnson - Meet the Expedition 42 43 Crew_TyKlyV40vrk - transcript (automated).pdf","Transcript Link")</f>
        <v>Transcript Link</v>
      </c>
      <c r="M1651" s="2" t="str">
        <f>HYPERLINK("https://files.afu.se/Downloads/Transcripts/0%20-%20Government/USA%20-%20NASA%20Johnson/2014 09 19 - NASA Johnson - Meet the Expedition 42 43 Crew_TyKlyV40vrk - transcript (automated).pdf","Transcript Link")</f>
        <v>Transcript Link</v>
      </c>
    </row>
    <row r="1652" ht="180" spans="1:13">
      <c r="A1652" s="1" t="s">
        <v>7266</v>
      </c>
      <c r="B1652" s="1" t="s">
        <v>13</v>
      </c>
      <c r="C1652" s="4" t="s">
        <v>7275</v>
      </c>
      <c r="D1652" s="1" t="s">
        <v>7276</v>
      </c>
      <c r="E1652" s="1" t="s">
        <v>5059</v>
      </c>
      <c r="F1652" s="4" t="s">
        <v>17</v>
      </c>
      <c r="G1652" s="1" t="s">
        <v>18</v>
      </c>
      <c r="H1652" s="1" t="s">
        <v>19</v>
      </c>
      <c r="I1652" s="1" t="s">
        <v>20</v>
      </c>
      <c r="J1652" s="1" t="s">
        <v>7277</v>
      </c>
      <c r="K1652" s="1" t="s">
        <v>22</v>
      </c>
      <c r="L1652" s="1" t="str">
        <f>HYPERLINK("https://files.afu.se/Downloads/Transcripts/0%20-%20Government/USA%20-%20NASA%20Johnson/2014 09 19 - NASA Johnson - Space to Ground  Preparing for Liftoff  9 19 14_JDXHQDuDwsI - transcript (automated).pdf","Transcript Link")</f>
        <v>Transcript Link</v>
      </c>
      <c r="M1652" s="2" t="str">
        <f>HYPERLINK("https://files.afu.se/Downloads/Transcripts/0%20-%20Government/USA%20-%20NASA%20Johnson/2014 09 19 - NASA Johnson - Space to Ground  Preparing for Liftoff  9 19 14_JDXHQDuDwsI - transcript (automated).pdf","Transcript Link")</f>
        <v>Transcript Link</v>
      </c>
    </row>
    <row r="1653" ht="180" spans="1:13">
      <c r="A1653" s="1" t="s">
        <v>7278</v>
      </c>
      <c r="B1653" s="1" t="s">
        <v>13</v>
      </c>
      <c r="C1653" s="4" t="s">
        <v>7279</v>
      </c>
      <c r="D1653" s="1" t="s">
        <v>7280</v>
      </c>
      <c r="E1653" s="1" t="s">
        <v>7281</v>
      </c>
      <c r="F1653" s="4" t="s">
        <v>17</v>
      </c>
      <c r="G1653" s="1" t="s">
        <v>18</v>
      </c>
      <c r="H1653" s="1" t="s">
        <v>19</v>
      </c>
      <c r="I1653" s="1" t="s">
        <v>20</v>
      </c>
      <c r="J1653" s="1" t="s">
        <v>7282</v>
      </c>
      <c r="K1653" s="1" t="s">
        <v>22</v>
      </c>
      <c r="L1653" s="1" t="str">
        <f>HYPERLINK("https://files.afu.se/Downloads/Transcripts/0%20-%20Government/USA%20-%20NASA%20Johnson/2014 09 17 - NASA Johnson - Space Station Live  Fruit Flies in Space_1C_ol4KZkRU - transcript (automated).pdf","Transcript Link")</f>
        <v>Transcript Link</v>
      </c>
      <c r="M1653" s="2" t="str">
        <f>HYPERLINK("https://files.afu.se/Downloads/Transcripts/0%20-%20Government/USA%20-%20NASA%20Johnson/2014 09 17 - NASA Johnson - Space Station Live  Fruit Flies in Space_1C_ol4KZkRU - transcript (automated).pdf","Transcript Link")</f>
        <v>Transcript Link</v>
      </c>
    </row>
    <row r="1654" ht="180" spans="1:13">
      <c r="A1654" s="1" t="s">
        <v>7278</v>
      </c>
      <c r="B1654" s="1" t="s">
        <v>13</v>
      </c>
      <c r="C1654" s="4" t="s">
        <v>7283</v>
      </c>
      <c r="D1654" s="1" t="s">
        <v>7284</v>
      </c>
      <c r="E1654" s="1" t="s">
        <v>7285</v>
      </c>
      <c r="F1654" s="4" t="s">
        <v>17</v>
      </c>
      <c r="G1654" s="1" t="s">
        <v>18</v>
      </c>
      <c r="H1654" s="1" t="s">
        <v>19</v>
      </c>
      <c r="I1654" s="1" t="s">
        <v>20</v>
      </c>
      <c r="J1654" s="1" t="s">
        <v>7286</v>
      </c>
      <c r="K1654" s="1" t="s">
        <v>22</v>
      </c>
      <c r="L1654" s="1" t="str">
        <f>HYPERLINK("https://files.afu.se/Downloads/Transcripts/0%20-%20Government/USA%20-%20NASA%20Johnson/2014 09 17 - NASA Johnson - Expedition 41 42 Prelaunch Activities in Kazakhstan_jrNslz6boeg - transcript (automated).pdf","Transcript Link")</f>
        <v>Transcript Link</v>
      </c>
      <c r="M1654" s="2" t="str">
        <f>HYPERLINK("https://files.afu.se/Downloads/Transcripts/0%20-%20Government/USA%20-%20NASA%20Johnson/2014 09 17 - NASA Johnson - Expedition 41 42 Prelaunch Activities in Kazakhstan_jrNslz6boeg - transcript (automated).pdf","Transcript Link")</f>
        <v>Transcript Link</v>
      </c>
    </row>
    <row r="1655" ht="180" spans="1:13">
      <c r="A1655" s="1" t="s">
        <v>7278</v>
      </c>
      <c r="B1655" s="1" t="s">
        <v>13</v>
      </c>
      <c r="C1655" s="4" t="s">
        <v>7287</v>
      </c>
      <c r="D1655" s="1" t="s">
        <v>7288</v>
      </c>
      <c r="E1655" s="1" t="s">
        <v>7289</v>
      </c>
      <c r="F1655" s="4" t="s">
        <v>17</v>
      </c>
      <c r="G1655" s="1" t="s">
        <v>18</v>
      </c>
      <c r="H1655" s="1" t="s">
        <v>19</v>
      </c>
      <c r="I1655" s="1" t="s">
        <v>20</v>
      </c>
      <c r="J1655" s="1" t="s">
        <v>7290</v>
      </c>
      <c r="K1655" s="1" t="s">
        <v>22</v>
      </c>
      <c r="L1655" s="1" t="str">
        <f>HYPERLINK("https://files.afu.se/Downloads/Transcripts/0%20-%20Government/USA%20-%20NASA%20Johnson/2014 09 17 - NASA Johnson - Space Station Live  Micro-8 Yeast Study_Fxl0QPxEMSU - transcript (automated).pdf","Transcript Link")</f>
        <v>Transcript Link</v>
      </c>
      <c r="M1655" s="2" t="str">
        <f>HYPERLINK("https://files.afu.se/Downloads/Transcripts/0%20-%20Government/USA%20-%20NASA%20Johnson/2014 09 17 - NASA Johnson - Space Station Live  Micro-8 Yeast Study_Fxl0QPxEMSU - transcript (automated).pdf","Transcript Link")</f>
        <v>Transcript Link</v>
      </c>
    </row>
    <row r="1656" ht="180" spans="1:13">
      <c r="A1656" s="1" t="s">
        <v>7291</v>
      </c>
      <c r="B1656" s="1" t="s">
        <v>13</v>
      </c>
      <c r="C1656" s="4" t="s">
        <v>7292</v>
      </c>
      <c r="D1656" s="1" t="s">
        <v>7293</v>
      </c>
      <c r="E1656" s="1" t="s">
        <v>7294</v>
      </c>
      <c r="F1656" s="4" t="s">
        <v>17</v>
      </c>
      <c r="G1656" s="1" t="s">
        <v>18</v>
      </c>
      <c r="H1656" s="1" t="s">
        <v>19</v>
      </c>
      <c r="I1656" s="1" t="s">
        <v>20</v>
      </c>
      <c r="J1656" s="1" t="s">
        <v>7295</v>
      </c>
      <c r="K1656" s="1" t="s">
        <v>22</v>
      </c>
      <c r="L1656" s="1" t="str">
        <f>HYPERLINK("https://files.afu.se/Downloads/Transcripts/0%20-%20Government/USA%20-%20NASA%20Johnson/2014 09 16 - NASA Johnson - Expedition 41 Crew Profile  Barry Wilmore_Anf1Ef5rc04 - transcript (automated).pdf","Transcript Link")</f>
        <v>Transcript Link</v>
      </c>
      <c r="M1656" s="2" t="str">
        <f>HYPERLINK("https://files.afu.se/Downloads/Transcripts/0%20-%20Government/USA%20-%20NASA%20Johnson/2014 09 16 - NASA Johnson - Expedition 41 Crew Profile  Barry Wilmore_Anf1Ef5rc04 - transcript (automated).pdf","Transcript Link")</f>
        <v>Transcript Link</v>
      </c>
    </row>
    <row r="1657" ht="180" spans="1:13">
      <c r="A1657" s="1" t="s">
        <v>7291</v>
      </c>
      <c r="B1657" s="1" t="s">
        <v>13</v>
      </c>
      <c r="C1657" s="4" t="s">
        <v>7296</v>
      </c>
      <c r="D1657" s="1" t="s">
        <v>7297</v>
      </c>
      <c r="E1657" s="1" t="s">
        <v>7298</v>
      </c>
      <c r="F1657" s="4" t="s">
        <v>17</v>
      </c>
      <c r="G1657" s="1" t="s">
        <v>18</v>
      </c>
      <c r="H1657" s="1" t="s">
        <v>19</v>
      </c>
      <c r="I1657" s="1" t="s">
        <v>20</v>
      </c>
      <c r="J1657" s="1" t="s">
        <v>7299</v>
      </c>
      <c r="K1657" s="1" t="s">
        <v>22</v>
      </c>
      <c r="L1657" s="1" t="str">
        <f>HYPERLINK("https://files.afu.se/Downloads/Transcripts/0%20-%20Government/USA%20-%20NASA%20Johnson/2014 09 16 - NASA Johnson - Expedition 41 Crew Profile  Elena Serova_D1aFkm_xDoE - transcript (automated).pdf","Transcript Link")</f>
        <v>Transcript Link</v>
      </c>
      <c r="M1657" s="2" t="str">
        <f>HYPERLINK("https://files.afu.se/Downloads/Transcripts/0%20-%20Government/USA%20-%20NASA%20Johnson/2014 09 16 - NASA Johnson - Expedition 41 Crew Profile  Elena Serova_D1aFkm_xDoE - transcript (automated).pdf","Transcript Link")</f>
        <v>Transcript Link</v>
      </c>
    </row>
    <row r="1658" ht="180" spans="1:13">
      <c r="A1658" s="1" t="s">
        <v>7291</v>
      </c>
      <c r="B1658" s="1" t="s">
        <v>13</v>
      </c>
      <c r="C1658" s="4" t="s">
        <v>7300</v>
      </c>
      <c r="D1658" s="1" t="s">
        <v>7301</v>
      </c>
      <c r="E1658" s="1" t="s">
        <v>7302</v>
      </c>
      <c r="F1658" s="4" t="s">
        <v>17</v>
      </c>
      <c r="G1658" s="1" t="s">
        <v>18</v>
      </c>
      <c r="H1658" s="1" t="s">
        <v>19</v>
      </c>
      <c r="I1658" s="1" t="s">
        <v>20</v>
      </c>
      <c r="J1658" s="1" t="s">
        <v>7303</v>
      </c>
      <c r="K1658" s="1" t="s">
        <v>22</v>
      </c>
      <c r="L1658" s="1" t="str">
        <f>HYPERLINK("https://files.afu.se/Downloads/Transcripts/0%20-%20Government/USA%20-%20NASA%20Johnson/2014 09 16 - NASA Johnson - Expedition 41 Crew Profile  Alexander Samokutyaev_WhbL1GfpsUs - transcript (automated).pdf","Transcript Link")</f>
        <v>Transcript Link</v>
      </c>
      <c r="M1658" s="2" t="str">
        <f>HYPERLINK("https://files.afu.se/Downloads/Transcripts/0%20-%20Government/USA%20-%20NASA%20Johnson/2014 09 16 - NASA Johnson - Expedition 41 Crew Profile  Alexander Samokutyaev_WhbL1GfpsUs - transcript (automated).pdf","Transcript Link")</f>
        <v>Transcript Link</v>
      </c>
    </row>
    <row r="1659" ht="180" spans="1:13">
      <c r="A1659" s="1" t="s">
        <v>7291</v>
      </c>
      <c r="B1659" s="1" t="s">
        <v>13</v>
      </c>
      <c r="C1659" s="4" t="s">
        <v>7304</v>
      </c>
      <c r="D1659" s="1" t="s">
        <v>7305</v>
      </c>
      <c r="E1659" s="1" t="s">
        <v>7306</v>
      </c>
      <c r="F1659" s="4" t="s">
        <v>17</v>
      </c>
      <c r="G1659" s="1" t="s">
        <v>18</v>
      </c>
      <c r="H1659" s="1" t="s">
        <v>19</v>
      </c>
      <c r="I1659" s="1" t="s">
        <v>20</v>
      </c>
      <c r="J1659" s="1" t="s">
        <v>7307</v>
      </c>
      <c r="K1659" s="1" t="s">
        <v>22</v>
      </c>
      <c r="L1659" s="1" t="str">
        <f>HYPERLINK("https://files.afu.se/Downloads/Transcripts/0%20-%20Government/USA%20-%20NASA%20Johnson/2014 09 16 - NASA Johnson - Expedition 41 Crew Profile, Version 1_ovD2HZ_H4IU - transcript (automated).pdf","Transcript Link")</f>
        <v>Transcript Link</v>
      </c>
      <c r="M1659" s="2" t="str">
        <f>HYPERLINK("https://files.afu.se/Downloads/Transcripts/0%20-%20Government/USA%20-%20NASA%20Johnson/2014 09 16 - NASA Johnson - Expedition 41 Crew Profile, Version 1_ovD2HZ_H4IU - transcript (automated).pdf","Transcript Link")</f>
        <v>Transcript Link</v>
      </c>
    </row>
    <row r="1660" ht="180" spans="1:13">
      <c r="A1660" s="1" t="s">
        <v>7308</v>
      </c>
      <c r="B1660" s="1" t="s">
        <v>13</v>
      </c>
      <c r="C1660" s="4" t="s">
        <v>7309</v>
      </c>
      <c r="D1660" s="1" t="s">
        <v>7310</v>
      </c>
      <c r="E1660" s="1" t="s">
        <v>7311</v>
      </c>
      <c r="F1660" s="4" t="s">
        <v>17</v>
      </c>
      <c r="G1660" s="1" t="s">
        <v>18</v>
      </c>
      <c r="H1660" s="1" t="s">
        <v>19</v>
      </c>
      <c r="I1660" s="1" t="s">
        <v>20</v>
      </c>
      <c r="J1660" s="1" t="s">
        <v>7312</v>
      </c>
      <c r="K1660" s="1" t="s">
        <v>22</v>
      </c>
      <c r="L1660" s="1" t="str">
        <f>HYPERLINK("https://files.afu.se/Downloads/Transcripts/0%20-%20Government/USA%20-%20NASA%20Johnson/2014 09 15 - NASA Johnson - Space Station Live  Rodent Research Project__ji6oPgj2VY - transcript (automated).pdf","Transcript Link")</f>
        <v>Transcript Link</v>
      </c>
      <c r="M1660" s="2" t="str">
        <f>HYPERLINK("https://files.afu.se/Downloads/Transcripts/0%20-%20Government/USA%20-%20NASA%20Johnson/2014 09 15 - NASA Johnson - Space Station Live  Rodent Research Project__ji6oPgj2VY - transcript (automated).pdf","Transcript Link")</f>
        <v>Transcript Link</v>
      </c>
    </row>
    <row r="1661" ht="180" spans="1:13">
      <c r="A1661" s="1" t="s">
        <v>7313</v>
      </c>
      <c r="B1661" s="1" t="s">
        <v>13</v>
      </c>
      <c r="C1661" s="4" t="s">
        <v>7314</v>
      </c>
      <c r="D1661" s="1" t="s">
        <v>7315</v>
      </c>
      <c r="E1661" s="1" t="s">
        <v>7316</v>
      </c>
      <c r="F1661" s="4" t="s">
        <v>17</v>
      </c>
      <c r="G1661" s="1" t="s">
        <v>18</v>
      </c>
      <c r="H1661" s="1" t="s">
        <v>19</v>
      </c>
      <c r="I1661" s="1" t="s">
        <v>20</v>
      </c>
      <c r="J1661" s="1" t="s">
        <v>7317</v>
      </c>
      <c r="K1661" s="1" t="s">
        <v>22</v>
      </c>
      <c r="L1661" s="1" t="str">
        <f>HYPERLINK("https://files.afu.se/Downloads/Transcripts/0%20-%20Government/USA%20-%20NASA%20Johnson/2014 09 12 - NASA Johnson - Space Station Live  Model Organisms and Rodent Research Hardware_hHHfLZ2tqU8 - transcript (automated).pdf","Transcript Link")</f>
        <v>Transcript Link</v>
      </c>
      <c r="M1661" s="2" t="str">
        <f>HYPERLINK("https://files.afu.se/Downloads/Transcripts/0%20-%20Government/USA%20-%20NASA%20Johnson/2014 09 12 - NASA Johnson - Space Station Live  Model Organisms and Rodent Research Hardware_hHHfLZ2tqU8 - transcript (automated).pdf","Transcript Link")</f>
        <v>Transcript Link</v>
      </c>
    </row>
    <row r="1662" ht="240" spans="1:13">
      <c r="A1662" s="1" t="s">
        <v>7313</v>
      </c>
      <c r="B1662" s="1" t="s">
        <v>13</v>
      </c>
      <c r="C1662" s="4" t="s">
        <v>7318</v>
      </c>
      <c r="D1662" s="1" t="s">
        <v>7319</v>
      </c>
      <c r="E1662" s="1" t="s">
        <v>7320</v>
      </c>
      <c r="F1662" s="4" t="s">
        <v>17</v>
      </c>
      <c r="G1662" s="1" t="s">
        <v>18</v>
      </c>
      <c r="H1662" s="1" t="s">
        <v>19</v>
      </c>
      <c r="I1662" s="1" t="s">
        <v>20</v>
      </c>
      <c r="J1662" s="1" t="s">
        <v>7321</v>
      </c>
      <c r="K1662" s="1" t="s">
        <v>22</v>
      </c>
      <c r="L1662" s="1" t="str">
        <f>HYPERLINK("https://files.afu.se/Downloads/Transcripts/0%20-%20Government/USA%20-%20NASA%20Johnson/2014 09 12 - NASA Johnson - Expedition 41 42 Crew Departs for Kazakh Launch Site_KbKPSEli2i0 - transcript (automated).pdf","Transcript Link")</f>
        <v>Transcript Link</v>
      </c>
      <c r="M1662" s="2" t="str">
        <f>HYPERLINK("https://files.afu.se/Downloads/Transcripts/0%20-%20Government/USA%20-%20NASA%20Johnson/2014 09 12 - NASA Johnson - Expedition 41 42 Crew Departs for Kazakh Launch Site_KbKPSEli2i0 - transcript (automated).pdf","Transcript Link")</f>
        <v>Transcript Link</v>
      </c>
    </row>
    <row r="1663" ht="180" spans="1:13">
      <c r="A1663" s="1" t="s">
        <v>7313</v>
      </c>
      <c r="B1663" s="1" t="s">
        <v>13</v>
      </c>
      <c r="C1663" s="4" t="s">
        <v>7322</v>
      </c>
      <c r="D1663" s="1" t="s">
        <v>7323</v>
      </c>
      <c r="E1663" s="1" t="s">
        <v>5059</v>
      </c>
      <c r="F1663" s="4" t="s">
        <v>17</v>
      </c>
      <c r="G1663" s="1" t="s">
        <v>18</v>
      </c>
      <c r="H1663" s="1" t="s">
        <v>19</v>
      </c>
      <c r="I1663" s="1" t="s">
        <v>20</v>
      </c>
      <c r="J1663" s="1" t="s">
        <v>7324</v>
      </c>
      <c r="K1663" s="1" t="s">
        <v>22</v>
      </c>
      <c r="L1663" s="1" t="str">
        <f>HYPERLINK("https://files.afu.se/Downloads/Transcripts/0%20-%20Government/USA%20-%20NASA%20Johnson/2014 09 12 - NASA Johnson - Space to Ground  Home Sweet Earth  9 12 14_-e8idObe74U - transcript (automated).pdf","Transcript Link")</f>
        <v>Transcript Link</v>
      </c>
      <c r="M1663" s="2" t="str">
        <f>HYPERLINK("https://files.afu.se/Downloads/Transcripts/0%20-%20Government/USA%20-%20NASA%20Johnson/2014 09 12 - NASA Johnson - Space to Ground  Home Sweet Earth  9 12 14_-e8idObe74U - transcript (automated).pdf","Transcript Link")</f>
        <v>Transcript Link</v>
      </c>
    </row>
    <row r="1664" ht="180" spans="1:13">
      <c r="A1664" s="1" t="s">
        <v>7325</v>
      </c>
      <c r="B1664" s="1" t="s">
        <v>13</v>
      </c>
      <c r="C1664" s="4" t="s">
        <v>7326</v>
      </c>
      <c r="D1664" s="1" t="s">
        <v>7327</v>
      </c>
      <c r="E1664" s="1" t="s">
        <v>7328</v>
      </c>
      <c r="F1664" s="4" t="s">
        <v>17</v>
      </c>
      <c r="G1664" s="1" t="s">
        <v>18</v>
      </c>
      <c r="H1664" s="1" t="s">
        <v>19</v>
      </c>
      <c r="I1664" s="1" t="s">
        <v>20</v>
      </c>
      <c r="J1664" s="1" t="s">
        <v>7329</v>
      </c>
      <c r="K1664" s="1" t="s">
        <v>22</v>
      </c>
      <c r="L1664" s="1" t="str">
        <f>HYPERLINK("https://files.afu.se/Downloads/Transcripts/0%20-%20Government/USA%20-%20NASA%20Johnson/2014 09 11 - NASA Johnson - Expedition 40 Post-Landing Activities_WtdRNDiqaXE - transcript (automated).pdf","Transcript Link")</f>
        <v>Transcript Link</v>
      </c>
      <c r="M1664" s="2" t="str">
        <f>HYPERLINK("https://files.afu.se/Downloads/Transcripts/0%20-%20Government/USA%20-%20NASA%20Johnson/2014 09 11 - NASA Johnson - Expedition 40 Post-Landing Activities_WtdRNDiqaXE - transcript (automated).pdf","Transcript Link")</f>
        <v>Transcript Link</v>
      </c>
    </row>
    <row r="1665" ht="195" spans="1:13">
      <c r="A1665" s="1" t="s">
        <v>7330</v>
      </c>
      <c r="B1665" s="1" t="s">
        <v>13</v>
      </c>
      <c r="C1665" s="4" t="s">
        <v>7331</v>
      </c>
      <c r="D1665" s="1" t="s">
        <v>7332</v>
      </c>
      <c r="E1665" s="1" t="s">
        <v>7333</v>
      </c>
      <c r="F1665" s="4" t="s">
        <v>17</v>
      </c>
      <c r="G1665" s="1" t="s">
        <v>18</v>
      </c>
      <c r="H1665" s="1" t="s">
        <v>19</v>
      </c>
      <c r="I1665" s="1" t="s">
        <v>20</v>
      </c>
      <c r="J1665" s="1" t="s">
        <v>7334</v>
      </c>
      <c r="K1665" s="1" t="s">
        <v>22</v>
      </c>
      <c r="L1665" s="1" t="str">
        <f>HYPERLINK("https://files.afu.se/Downloads/Transcripts/0%20-%20Government/USA%20-%20NASA%20Johnson/2014 09 10 - NASA Johnson - Expedition 40 Undocks Ending Mission_ih9jPaZct1w - transcript (automated).pdf","Transcript Link")</f>
        <v>Transcript Link</v>
      </c>
      <c r="M1665" s="2" t="str">
        <f>HYPERLINK("https://files.afu.se/Downloads/Transcripts/0%20-%20Government/USA%20-%20NASA%20Johnson/2014 09 10 - NASA Johnson - Expedition 40 Undocks Ending Mission_ih9jPaZct1w - transcript (automated).pdf","Transcript Link")</f>
        <v>Transcript Link</v>
      </c>
    </row>
    <row r="1666" ht="180" spans="1:13">
      <c r="A1666" s="1" t="s">
        <v>7330</v>
      </c>
      <c r="B1666" s="1" t="s">
        <v>13</v>
      </c>
      <c r="C1666" s="4" t="s">
        <v>7335</v>
      </c>
      <c r="D1666" s="1" t="s">
        <v>7336</v>
      </c>
      <c r="E1666" s="1" t="s">
        <v>7337</v>
      </c>
      <c r="F1666" s="4" t="s">
        <v>17</v>
      </c>
      <c r="G1666" s="1" t="s">
        <v>18</v>
      </c>
      <c r="H1666" s="1" t="s">
        <v>19</v>
      </c>
      <c r="I1666" s="1" t="s">
        <v>20</v>
      </c>
      <c r="J1666" s="1" t="s">
        <v>7338</v>
      </c>
      <c r="K1666" s="1" t="s">
        <v>22</v>
      </c>
      <c r="L1666" s="1" t="str">
        <f>HYPERLINK("https://files.afu.se/Downloads/Transcripts/0%20-%20Government/USA%20-%20NASA%20Johnson/2014 09 10 - NASA Johnson - Station Trio Boards Soyuz for Trip Back to Earth_HQEIy_6mAo4 - transcript (automated).pdf","Transcript Link")</f>
        <v>Transcript Link</v>
      </c>
      <c r="M1666" s="2" t="str">
        <f>HYPERLINK("https://files.afu.se/Downloads/Transcripts/0%20-%20Government/USA%20-%20NASA%20Johnson/2014 09 10 - NASA Johnson - Station Trio Boards Soyuz for Trip Back to Earth_HQEIy_6mAo4 - transcript (automated).pdf","Transcript Link")</f>
        <v>Transcript Link</v>
      </c>
    </row>
    <row r="1667" ht="180" spans="1:13">
      <c r="A1667" s="1" t="s">
        <v>7330</v>
      </c>
      <c r="B1667" s="1" t="s">
        <v>13</v>
      </c>
      <c r="C1667" s="4" t="s">
        <v>7339</v>
      </c>
      <c r="D1667" s="1" t="s">
        <v>7340</v>
      </c>
      <c r="E1667" s="1" t="s">
        <v>7341</v>
      </c>
      <c r="F1667" s="4" t="s">
        <v>17</v>
      </c>
      <c r="G1667" s="1" t="s">
        <v>18</v>
      </c>
      <c r="H1667" s="1" t="s">
        <v>19</v>
      </c>
      <c r="I1667" s="1" t="s">
        <v>20</v>
      </c>
      <c r="J1667" s="1" t="s">
        <v>7342</v>
      </c>
      <c r="K1667" s="1" t="s">
        <v>22</v>
      </c>
      <c r="L1667" s="1" t="str">
        <f>HYPERLINK("https://files.afu.se/Downloads/Transcripts/0%20-%20Government/USA%20-%20NASA%20Johnson/2014 09 10 - NASA Johnson - Capillary Flow Experiments on Space Station_3lwy8xxJxKo - transcript (automated).pdf","Transcript Link")</f>
        <v>Transcript Link</v>
      </c>
      <c r="M1667" s="2" t="str">
        <f>HYPERLINK("https://files.afu.se/Downloads/Transcripts/0%20-%20Government/USA%20-%20NASA%20Johnson/2014 09 10 - NASA Johnson - Capillary Flow Experiments on Space Station_3lwy8xxJxKo - transcript (automated).pdf","Transcript Link")</f>
        <v>Transcript Link</v>
      </c>
    </row>
    <row r="1668" ht="180" spans="1:13">
      <c r="A1668" s="1" t="s">
        <v>7343</v>
      </c>
      <c r="B1668" s="1" t="s">
        <v>13</v>
      </c>
      <c r="C1668" s="4" t="s">
        <v>7344</v>
      </c>
      <c r="D1668" s="1" t="s">
        <v>7345</v>
      </c>
      <c r="E1668" s="1" t="s">
        <v>7346</v>
      </c>
      <c r="F1668" s="4" t="s">
        <v>17</v>
      </c>
      <c r="G1668" s="1" t="s">
        <v>18</v>
      </c>
      <c r="H1668" s="1" t="s">
        <v>19</v>
      </c>
      <c r="I1668" s="1" t="s">
        <v>20</v>
      </c>
      <c r="J1668" s="1" t="s">
        <v>7347</v>
      </c>
      <c r="K1668" s="1" t="s">
        <v>22</v>
      </c>
      <c r="L1668" s="1" t="str">
        <f>HYPERLINK("https://files.afu.se/Downloads/Transcripts/0%20-%20Government/USA%20-%20NASA%20Johnson/2014 09 09 - NASA Johnson - Expedition 40 41 Change of Command Aboard Station_Y-NhhPMTfAc - transcript (automated).pdf","Transcript Link")</f>
        <v>Transcript Link</v>
      </c>
      <c r="M1668" s="2" t="str">
        <f>HYPERLINK("https://files.afu.se/Downloads/Transcripts/0%20-%20Government/USA%20-%20NASA%20Johnson/2014 09 09 - NASA Johnson - Expedition 40 41 Change of Command Aboard Station_Y-NhhPMTfAc - transcript (automated).pdf","Transcript Link")</f>
        <v>Transcript Link</v>
      </c>
    </row>
    <row r="1669" ht="180" spans="1:13">
      <c r="A1669" s="1" t="s">
        <v>7343</v>
      </c>
      <c r="B1669" s="1" t="s">
        <v>13</v>
      </c>
      <c r="C1669" s="4" t="s">
        <v>7348</v>
      </c>
      <c r="D1669" s="1" t="s">
        <v>7349</v>
      </c>
      <c r="E1669" s="1" t="s">
        <v>7350</v>
      </c>
      <c r="F1669" s="4" t="s">
        <v>17</v>
      </c>
      <c r="G1669" s="1" t="s">
        <v>18</v>
      </c>
      <c r="H1669" s="1" t="s">
        <v>19</v>
      </c>
      <c r="I1669" s="1" t="s">
        <v>20</v>
      </c>
      <c r="J1669" s="1" t="s">
        <v>7351</v>
      </c>
      <c r="K1669" s="1" t="s">
        <v>22</v>
      </c>
      <c r="L1669" s="1" t="str">
        <f>HYPERLINK("https://files.afu.se/Downloads/Transcripts/0%20-%20Government/USA%20-%20NASA%20Johnson/2014 09 09 - NASA Johnson - Space Station Live  Expedition 40 Science Wrap Up_o3_ljJlkkXo - transcript (automated).pdf","Transcript Link")</f>
        <v>Transcript Link</v>
      </c>
      <c r="M1669" s="2" t="str">
        <f>HYPERLINK("https://files.afu.se/Downloads/Transcripts/0%20-%20Government/USA%20-%20NASA%20Johnson/2014 09 09 - NASA Johnson - Space Station Live  Expedition 40 Science Wrap Up_o3_ljJlkkXo - transcript (automated).pdf","Transcript Link")</f>
        <v>Transcript Link</v>
      </c>
    </row>
    <row r="1670" ht="180" spans="1:13">
      <c r="A1670" s="1" t="s">
        <v>7343</v>
      </c>
      <c r="B1670" s="1" t="s">
        <v>13</v>
      </c>
      <c r="C1670" s="4" t="s">
        <v>7352</v>
      </c>
      <c r="D1670" s="1" t="s">
        <v>7353</v>
      </c>
      <c r="E1670" s="1" t="s">
        <v>7354</v>
      </c>
      <c r="F1670" s="4" t="s">
        <v>17</v>
      </c>
      <c r="G1670" s="1" t="s">
        <v>18</v>
      </c>
      <c r="H1670" s="1" t="s">
        <v>19</v>
      </c>
      <c r="I1670" s="1" t="s">
        <v>20</v>
      </c>
      <c r="J1670" s="1" t="s">
        <v>7355</v>
      </c>
      <c r="K1670" s="1" t="s">
        <v>22</v>
      </c>
      <c r="L1670" s="1" t="str">
        <f>HYPERLINK("https://files.afu.se/Downloads/Transcripts/0%20-%20Government/USA%20-%20NASA%20Johnson/2014 09 09 - NASA Johnson - NASA High School Aerospace Scholars Program 2014 - Week 6, Blue Team_xyAwdmUzxus - transcript (automated).pdf","Transcript Link")</f>
        <v>Transcript Link</v>
      </c>
      <c r="M1670" s="2" t="str">
        <f>HYPERLINK("https://files.afu.se/Downloads/Transcripts/0%20-%20Government/USA%20-%20NASA%20Johnson/2014 09 09 - NASA Johnson - NASA High School Aerospace Scholars Program 2014 - Week 6, Blue Team_xyAwdmUzxus - transcript (automated).pdf","Transcript Link")</f>
        <v>Transcript Link</v>
      </c>
    </row>
    <row r="1671" ht="180" spans="1:13">
      <c r="A1671" s="1" t="s">
        <v>7343</v>
      </c>
      <c r="B1671" s="1" t="s">
        <v>13</v>
      </c>
      <c r="C1671" s="4" t="s">
        <v>7356</v>
      </c>
      <c r="D1671" s="1" t="s">
        <v>7357</v>
      </c>
      <c r="E1671" s="1" t="s">
        <v>7354</v>
      </c>
      <c r="F1671" s="4" t="s">
        <v>17</v>
      </c>
      <c r="G1671" s="1" t="s">
        <v>18</v>
      </c>
      <c r="H1671" s="1" t="s">
        <v>19</v>
      </c>
      <c r="I1671" s="1" t="s">
        <v>20</v>
      </c>
      <c r="J1671" s="1" t="s">
        <v>7358</v>
      </c>
      <c r="K1671" s="1" t="s">
        <v>22</v>
      </c>
      <c r="L1671" s="1" t="str">
        <f>HYPERLINK("https://files.afu.se/Downloads/Transcripts/0%20-%20Government/USA%20-%20NASA%20Johnson/2014 09 09 - NASA Johnson - NASA High School Aerospace Scholars Program 2014 - Week 2, Gray Team_2KAFV-aEAns - transcript (automated).pdf","Transcript Link")</f>
        <v>Transcript Link</v>
      </c>
      <c r="M1671" s="2" t="str">
        <f>HYPERLINK("https://files.afu.se/Downloads/Transcripts/0%20-%20Government/USA%20-%20NASA%20Johnson/2014 09 09 - NASA Johnson - NASA High School Aerospace Scholars Program 2014 - Week 2, Gray Team_2KAFV-aEAns - transcript (automated).pdf","Transcript Link")</f>
        <v>Transcript Link</v>
      </c>
    </row>
    <row r="1672" ht="180" spans="1:13">
      <c r="A1672" s="1" t="s">
        <v>7343</v>
      </c>
      <c r="B1672" s="1" t="s">
        <v>13</v>
      </c>
      <c r="C1672" s="4" t="s">
        <v>7359</v>
      </c>
      <c r="D1672" s="1" t="s">
        <v>7360</v>
      </c>
      <c r="E1672" s="1" t="s">
        <v>7354</v>
      </c>
      <c r="F1672" s="4" t="s">
        <v>17</v>
      </c>
      <c r="G1672" s="1" t="s">
        <v>18</v>
      </c>
      <c r="H1672" s="1" t="s">
        <v>19</v>
      </c>
      <c r="I1672" s="1" t="s">
        <v>20</v>
      </c>
      <c r="J1672" s="1" t="s">
        <v>7361</v>
      </c>
      <c r="K1672" s="1" t="s">
        <v>22</v>
      </c>
      <c r="L1672" s="1" t="str">
        <f>HYPERLINK("https://files.afu.se/Downloads/Transcripts/0%20-%20Government/USA%20-%20NASA%20Johnson/2014 09 09 - NASA Johnson - NASA High School Aerospace Scholars Program 2014 - Week 5, White Team_4XF048cJl6s - transcript (automated).pdf","Transcript Link")</f>
        <v>Transcript Link</v>
      </c>
      <c r="M1672" s="2" t="str">
        <f>HYPERLINK("https://files.afu.se/Downloads/Transcripts/0%20-%20Government/USA%20-%20NASA%20Johnson/2014 09 09 - NASA Johnson - NASA High School Aerospace Scholars Program 2014 - Week 5, White Team_4XF048cJl6s - transcript (automated).pdf","Transcript Link")</f>
        <v>Transcript Link</v>
      </c>
    </row>
    <row r="1673" ht="180" spans="1:13">
      <c r="A1673" s="1" t="s">
        <v>7343</v>
      </c>
      <c r="B1673" s="1" t="s">
        <v>13</v>
      </c>
      <c r="C1673" s="4" t="s">
        <v>7362</v>
      </c>
      <c r="D1673" s="1" t="s">
        <v>7363</v>
      </c>
      <c r="E1673" s="1" t="s">
        <v>7354</v>
      </c>
      <c r="F1673" s="4" t="s">
        <v>17</v>
      </c>
      <c r="G1673" s="1" t="s">
        <v>18</v>
      </c>
      <c r="H1673" s="1" t="s">
        <v>19</v>
      </c>
      <c r="I1673" s="1" t="s">
        <v>20</v>
      </c>
      <c r="J1673" s="1" t="s">
        <v>7364</v>
      </c>
      <c r="K1673" s="1" t="s">
        <v>22</v>
      </c>
      <c r="L1673" s="1" t="str">
        <f>HYPERLINK("https://files.afu.se/Downloads/Transcripts/0%20-%20Government/USA%20-%20NASA%20Johnson/2014 09 09 - NASA Johnson - NASA High School Aerospace Scholars Program 2014 - Week 6, White Team_76jJAbNvUYw - transcript (automated).pdf","Transcript Link")</f>
        <v>Transcript Link</v>
      </c>
      <c r="M1673" s="2" t="str">
        <f>HYPERLINK("https://files.afu.se/Downloads/Transcripts/0%20-%20Government/USA%20-%20NASA%20Johnson/2014 09 09 - NASA Johnson - NASA High School Aerospace Scholars Program 2014 - Week 6, White Team_76jJAbNvUYw - transcript (automated).pdf","Transcript Link")</f>
        <v>Transcript Link</v>
      </c>
    </row>
    <row r="1674" ht="180" spans="1:13">
      <c r="A1674" s="1" t="s">
        <v>7343</v>
      </c>
      <c r="B1674" s="1" t="s">
        <v>13</v>
      </c>
      <c r="C1674" s="4" t="s">
        <v>7365</v>
      </c>
      <c r="D1674" s="1" t="s">
        <v>7366</v>
      </c>
      <c r="E1674" s="1" t="s">
        <v>7354</v>
      </c>
      <c r="F1674" s="4" t="s">
        <v>17</v>
      </c>
      <c r="G1674" s="1" t="s">
        <v>18</v>
      </c>
      <c r="H1674" s="1" t="s">
        <v>19</v>
      </c>
      <c r="I1674" s="1" t="s">
        <v>20</v>
      </c>
      <c r="J1674" s="1" t="s">
        <v>7367</v>
      </c>
      <c r="K1674" s="1" t="s">
        <v>22</v>
      </c>
      <c r="L1674" s="1" t="str">
        <f>HYPERLINK("https://files.afu.se/Downloads/Transcripts/0%20-%20Government/USA%20-%20NASA%20Johnson/2014 09 09 - NASA Johnson - NASA High School Aerospace Scholars Program 2014 - Week 1, Blue Team_AnqBAshgWE0 - transcript (automated).pdf","Transcript Link")</f>
        <v>Transcript Link</v>
      </c>
      <c r="M1674" s="2" t="str">
        <f>HYPERLINK("https://files.afu.se/Downloads/Transcripts/0%20-%20Government/USA%20-%20NASA%20Johnson/2014 09 09 - NASA Johnson - NASA High School Aerospace Scholars Program 2014 - Week 1, Blue Team_AnqBAshgWE0 - transcript (automated).pdf","Transcript Link")</f>
        <v>Transcript Link</v>
      </c>
    </row>
    <row r="1675" ht="180" spans="1:13">
      <c r="A1675" s="1" t="s">
        <v>7343</v>
      </c>
      <c r="B1675" s="1" t="s">
        <v>13</v>
      </c>
      <c r="C1675" s="4" t="s">
        <v>7368</v>
      </c>
      <c r="D1675" s="1" t="s">
        <v>7369</v>
      </c>
      <c r="E1675" s="1" t="s">
        <v>7354</v>
      </c>
      <c r="F1675" s="4" t="s">
        <v>17</v>
      </c>
      <c r="G1675" s="1" t="s">
        <v>18</v>
      </c>
      <c r="H1675" s="1" t="s">
        <v>19</v>
      </c>
      <c r="I1675" s="1" t="s">
        <v>20</v>
      </c>
      <c r="J1675" s="1" t="s">
        <v>7370</v>
      </c>
      <c r="K1675" s="1" t="s">
        <v>22</v>
      </c>
      <c r="L1675" s="1" t="str">
        <f>HYPERLINK("https://files.afu.se/Downloads/Transcripts/0%20-%20Government/USA%20-%20NASA%20Johnson/2014 09 09 - NASA Johnson - NASA High School Aerospace Scholars Program 2014 - Week 4, Gray Team_D4UJfh5TASw - transcript (automated).pdf","Transcript Link")</f>
        <v>Transcript Link</v>
      </c>
      <c r="M1675" s="2" t="str">
        <f>HYPERLINK("https://files.afu.se/Downloads/Transcripts/0%20-%20Government/USA%20-%20NASA%20Johnson/2014 09 09 - NASA Johnson - NASA High School Aerospace Scholars Program 2014 - Week 4, Gray Team_D4UJfh5TASw - transcript (automated).pdf","Transcript Link")</f>
        <v>Transcript Link</v>
      </c>
    </row>
    <row r="1676" ht="180" spans="1:13">
      <c r="A1676" s="1" t="s">
        <v>7343</v>
      </c>
      <c r="B1676" s="1" t="s">
        <v>13</v>
      </c>
      <c r="C1676" s="4" t="s">
        <v>7371</v>
      </c>
      <c r="D1676" s="1" t="s">
        <v>7372</v>
      </c>
      <c r="E1676" s="1" t="s">
        <v>7354</v>
      </c>
      <c r="F1676" s="4" t="s">
        <v>17</v>
      </c>
      <c r="G1676" s="1" t="s">
        <v>18</v>
      </c>
      <c r="H1676" s="1" t="s">
        <v>19</v>
      </c>
      <c r="I1676" s="1" t="s">
        <v>20</v>
      </c>
      <c r="J1676" s="1" t="s">
        <v>7373</v>
      </c>
      <c r="K1676" s="1" t="s">
        <v>22</v>
      </c>
      <c r="L1676" s="1" t="str">
        <f>HYPERLINK("https://files.afu.se/Downloads/Transcripts/0%20-%20Government/USA%20-%20NASA%20Johnson/2014 09 09 - NASA Johnson - NASA High School Aerospace Scholars Program 2014 - Week 6, Gray Team_IjJMm0iWZCE - transcript (automated).pdf","Transcript Link")</f>
        <v>Transcript Link</v>
      </c>
      <c r="M1676" s="2" t="str">
        <f>HYPERLINK("https://files.afu.se/Downloads/Transcripts/0%20-%20Government/USA%20-%20NASA%20Johnson/2014 09 09 - NASA Johnson - NASA High School Aerospace Scholars Program 2014 - Week 6, Gray Team_IjJMm0iWZCE - transcript (automated).pdf","Transcript Link")</f>
        <v>Transcript Link</v>
      </c>
    </row>
    <row r="1677" ht="180" spans="1:13">
      <c r="A1677" s="1" t="s">
        <v>7343</v>
      </c>
      <c r="B1677" s="1" t="s">
        <v>13</v>
      </c>
      <c r="C1677" s="4" t="s">
        <v>7374</v>
      </c>
      <c r="D1677" s="1" t="s">
        <v>7375</v>
      </c>
      <c r="E1677" s="1" t="s">
        <v>7354</v>
      </c>
      <c r="F1677" s="4" t="s">
        <v>17</v>
      </c>
      <c r="G1677" s="1" t="s">
        <v>18</v>
      </c>
      <c r="H1677" s="1" t="s">
        <v>19</v>
      </c>
      <c r="I1677" s="1" t="s">
        <v>20</v>
      </c>
      <c r="J1677" s="1" t="s">
        <v>7376</v>
      </c>
      <c r="K1677" s="1" t="s">
        <v>22</v>
      </c>
      <c r="L1677" s="1" t="str">
        <f>HYPERLINK("https://files.afu.se/Downloads/Transcripts/0%20-%20Government/USA%20-%20NASA%20Johnson/2014 09 09 - NASA Johnson - NASA High School Aerospace Scholars Program 2014 - Week 3, Gray Team_JV9_ZjKML84 - transcript (automated).pdf","Transcript Link")</f>
        <v>Transcript Link</v>
      </c>
      <c r="M1677" s="2" t="str">
        <f>HYPERLINK("https://files.afu.se/Downloads/Transcripts/0%20-%20Government/USA%20-%20NASA%20Johnson/2014 09 09 - NASA Johnson - NASA High School Aerospace Scholars Program 2014 - Week 3, Gray Team_JV9_ZjKML84 - transcript (automated).pdf","Transcript Link")</f>
        <v>Transcript Link</v>
      </c>
    </row>
    <row r="1678" ht="180" spans="1:13">
      <c r="A1678" s="1" t="s">
        <v>7343</v>
      </c>
      <c r="B1678" s="1" t="s">
        <v>13</v>
      </c>
      <c r="C1678" s="4" t="s">
        <v>7377</v>
      </c>
      <c r="D1678" s="1" t="s">
        <v>7378</v>
      </c>
      <c r="E1678" s="1" t="s">
        <v>7354</v>
      </c>
      <c r="F1678" s="4" t="s">
        <v>17</v>
      </c>
      <c r="G1678" s="1" t="s">
        <v>18</v>
      </c>
      <c r="H1678" s="1" t="s">
        <v>19</v>
      </c>
      <c r="I1678" s="1" t="s">
        <v>20</v>
      </c>
      <c r="J1678" s="1" t="s">
        <v>7379</v>
      </c>
      <c r="K1678" s="1" t="s">
        <v>22</v>
      </c>
      <c r="L1678" s="1" t="str">
        <f>HYPERLINK("https://files.afu.se/Downloads/Transcripts/0%20-%20Government/USA%20-%20NASA%20Johnson/2014 09 09 - NASA Johnson - NASA High School Aerospace Scholars Program 2014 - Week 5, Red Team_LGzkzZcWje0 - transcript (automated).pdf","Transcript Link")</f>
        <v>Transcript Link</v>
      </c>
      <c r="M1678" s="2" t="str">
        <f>HYPERLINK("https://files.afu.se/Downloads/Transcripts/0%20-%20Government/USA%20-%20NASA%20Johnson/2014 09 09 - NASA Johnson - NASA High School Aerospace Scholars Program 2014 - Week 5, Red Team_LGzkzZcWje0 - transcript (automated).pdf","Transcript Link")</f>
        <v>Transcript Link</v>
      </c>
    </row>
    <row r="1679" ht="180" spans="1:13">
      <c r="A1679" s="1" t="s">
        <v>7343</v>
      </c>
      <c r="B1679" s="1" t="s">
        <v>13</v>
      </c>
      <c r="C1679" s="4" t="s">
        <v>7380</v>
      </c>
      <c r="D1679" s="1" t="s">
        <v>7381</v>
      </c>
      <c r="E1679" s="1" t="s">
        <v>7354</v>
      </c>
      <c r="F1679" s="4" t="s">
        <v>17</v>
      </c>
      <c r="G1679" s="1" t="s">
        <v>18</v>
      </c>
      <c r="H1679" s="1" t="s">
        <v>19</v>
      </c>
      <c r="I1679" s="1" t="s">
        <v>20</v>
      </c>
      <c r="J1679" s="1" t="s">
        <v>7382</v>
      </c>
      <c r="K1679" s="1" t="s">
        <v>22</v>
      </c>
      <c r="L1679" s="1" t="str">
        <f>HYPERLINK("https://files.afu.se/Downloads/Transcripts/0%20-%20Government/USA%20-%20NASA%20Johnson/2014 09 09 - NASA Johnson - NASA High School Aerospace Scholars Program 2014 - Week 4, Red Team_TtrM8F_yBkA - transcript (automated).pdf","Transcript Link")</f>
        <v>Transcript Link</v>
      </c>
      <c r="M1679" s="2" t="str">
        <f>HYPERLINK("https://files.afu.se/Downloads/Transcripts/0%20-%20Government/USA%20-%20NASA%20Johnson/2014 09 09 - NASA Johnson - NASA High School Aerospace Scholars Program 2014 - Week 4, Red Team_TtrM8F_yBkA - transcript (automated).pdf","Transcript Link")</f>
        <v>Transcript Link</v>
      </c>
    </row>
    <row r="1680" ht="180" spans="1:13">
      <c r="A1680" s="1" t="s">
        <v>7343</v>
      </c>
      <c r="B1680" s="1" t="s">
        <v>13</v>
      </c>
      <c r="C1680" s="4" t="s">
        <v>7383</v>
      </c>
      <c r="D1680" s="1" t="s">
        <v>7384</v>
      </c>
      <c r="E1680" s="1" t="s">
        <v>7354</v>
      </c>
      <c r="F1680" s="4" t="s">
        <v>17</v>
      </c>
      <c r="G1680" s="1" t="s">
        <v>18</v>
      </c>
      <c r="H1680" s="1" t="s">
        <v>19</v>
      </c>
      <c r="I1680" s="1" t="s">
        <v>20</v>
      </c>
      <c r="J1680" s="1" t="s">
        <v>7385</v>
      </c>
      <c r="K1680" s="1" t="s">
        <v>22</v>
      </c>
      <c r="L1680" s="1" t="str">
        <f>HYPERLINK("https://files.afu.se/Downloads/Transcripts/0%20-%20Government/USA%20-%20NASA%20Johnson/2014 09 09 - NASA Johnson - NASA High School Aerospace Scholars Program 2014 - Week 3, Blue Team_VpFV-ga3yoU - transcript (automated).pdf","Transcript Link")</f>
        <v>Transcript Link</v>
      </c>
      <c r="M1680" s="2" t="str">
        <f>HYPERLINK("https://files.afu.se/Downloads/Transcripts/0%20-%20Government/USA%20-%20NASA%20Johnson/2014 09 09 - NASA Johnson - NASA High School Aerospace Scholars Program 2014 - Week 3, Blue Team_VpFV-ga3yoU - transcript (automated).pdf","Transcript Link")</f>
        <v>Transcript Link</v>
      </c>
    </row>
    <row r="1681" ht="180" spans="1:13">
      <c r="A1681" s="1" t="s">
        <v>7343</v>
      </c>
      <c r="B1681" s="1" t="s">
        <v>13</v>
      </c>
      <c r="C1681" s="4" t="s">
        <v>7386</v>
      </c>
      <c r="D1681" s="1" t="s">
        <v>7387</v>
      </c>
      <c r="E1681" s="1" t="s">
        <v>7354</v>
      </c>
      <c r="F1681" s="4" t="s">
        <v>17</v>
      </c>
      <c r="G1681" s="1" t="s">
        <v>18</v>
      </c>
      <c r="H1681" s="1" t="s">
        <v>19</v>
      </c>
      <c r="I1681" s="1" t="s">
        <v>20</v>
      </c>
      <c r="J1681" s="1" t="s">
        <v>7388</v>
      </c>
      <c r="K1681" s="1" t="s">
        <v>22</v>
      </c>
      <c r="L1681" s="1" t="str">
        <f>HYPERLINK("https://files.afu.se/Downloads/Transcripts/0%20-%20Government/USA%20-%20NASA%20Johnson/2014 09 09 - NASA Johnson - NASA High School Aerospace Scholars Program 2014 - Week 3, Red Team_Wuu0uoqtdMk - transcript (automated).pdf","Transcript Link")</f>
        <v>Transcript Link</v>
      </c>
      <c r="M1681" s="2" t="str">
        <f>HYPERLINK("https://files.afu.se/Downloads/Transcripts/0%20-%20Government/USA%20-%20NASA%20Johnson/2014 09 09 - NASA Johnson - NASA High School Aerospace Scholars Program 2014 - Week 3, Red Team_Wuu0uoqtdMk - transcript (automated).pdf","Transcript Link")</f>
        <v>Transcript Link</v>
      </c>
    </row>
    <row r="1682" ht="180" spans="1:13">
      <c r="A1682" s="1" t="s">
        <v>7343</v>
      </c>
      <c r="B1682" s="1" t="s">
        <v>13</v>
      </c>
      <c r="C1682" s="4" t="s">
        <v>7389</v>
      </c>
      <c r="D1682" s="1" t="s">
        <v>7390</v>
      </c>
      <c r="E1682" s="1" t="s">
        <v>7354</v>
      </c>
      <c r="F1682" s="4" t="s">
        <v>17</v>
      </c>
      <c r="G1682" s="1" t="s">
        <v>18</v>
      </c>
      <c r="H1682" s="1" t="s">
        <v>19</v>
      </c>
      <c r="I1682" s="1" t="s">
        <v>20</v>
      </c>
      <c r="J1682" s="1" t="s">
        <v>7391</v>
      </c>
      <c r="K1682" s="1" t="s">
        <v>22</v>
      </c>
      <c r="L1682" s="1" t="str">
        <f>HYPERLINK("https://files.afu.se/Downloads/Transcripts/0%20-%20Government/USA%20-%20NASA%20Johnson/2014 09 09 - NASA Johnson - NASA High School Aerospace Scholars Program 2014 - Week 4, Blue Team_XRB4rFlthpM - transcript (automated).pdf","Transcript Link")</f>
        <v>Transcript Link</v>
      </c>
      <c r="M1682" s="2" t="str">
        <f>HYPERLINK("https://files.afu.se/Downloads/Transcripts/0%20-%20Government/USA%20-%20NASA%20Johnson/2014 09 09 - NASA Johnson - NASA High School Aerospace Scholars Program 2014 - Week 4, Blue Team_XRB4rFlthpM - transcript (automated).pdf","Transcript Link")</f>
        <v>Transcript Link</v>
      </c>
    </row>
    <row r="1683" ht="180" spans="1:13">
      <c r="A1683" s="1" t="s">
        <v>7343</v>
      </c>
      <c r="B1683" s="1" t="s">
        <v>13</v>
      </c>
      <c r="C1683" s="4" t="s">
        <v>7392</v>
      </c>
      <c r="D1683" s="1" t="s">
        <v>7393</v>
      </c>
      <c r="E1683" s="1" t="s">
        <v>7354</v>
      </c>
      <c r="F1683" s="4" t="s">
        <v>17</v>
      </c>
      <c r="G1683" s="1" t="s">
        <v>18</v>
      </c>
      <c r="H1683" s="1" t="s">
        <v>19</v>
      </c>
      <c r="I1683" s="1" t="s">
        <v>20</v>
      </c>
      <c r="J1683" s="1" t="s">
        <v>7394</v>
      </c>
      <c r="K1683" s="1" t="s">
        <v>22</v>
      </c>
      <c r="L1683" s="1" t="str">
        <f>HYPERLINK("https://files.afu.se/Downloads/Transcripts/0%20-%20Government/USA%20-%20NASA%20Johnson/2014 09 09 - NASA Johnson - NASA High School Aerospace Scholars Program 2014 - Week 1, Gray Team_YA80UJnCj_s - transcript (automated).pdf","Transcript Link")</f>
        <v>Transcript Link</v>
      </c>
      <c r="M1683" s="2" t="str">
        <f>HYPERLINK("https://files.afu.se/Downloads/Transcripts/0%20-%20Government/USA%20-%20NASA%20Johnson/2014 09 09 - NASA Johnson - NASA High School Aerospace Scholars Program 2014 - Week 1, Gray Team_YA80UJnCj_s - transcript (automated).pdf","Transcript Link")</f>
        <v>Transcript Link</v>
      </c>
    </row>
    <row r="1684" ht="180" spans="1:13">
      <c r="A1684" s="1" t="s">
        <v>7343</v>
      </c>
      <c r="B1684" s="1" t="s">
        <v>13</v>
      </c>
      <c r="C1684" s="4" t="s">
        <v>7395</v>
      </c>
      <c r="D1684" s="1" t="s">
        <v>7396</v>
      </c>
      <c r="E1684" s="1" t="s">
        <v>7354</v>
      </c>
      <c r="F1684" s="4" t="s">
        <v>17</v>
      </c>
      <c r="G1684" s="1" t="s">
        <v>18</v>
      </c>
      <c r="H1684" s="1" t="s">
        <v>19</v>
      </c>
      <c r="I1684" s="1" t="s">
        <v>20</v>
      </c>
      <c r="J1684" s="1" t="s">
        <v>7397</v>
      </c>
      <c r="K1684" s="1" t="s">
        <v>22</v>
      </c>
      <c r="L1684" s="1" t="str">
        <f>HYPERLINK("https://files.afu.se/Downloads/Transcripts/0%20-%20Government/USA%20-%20NASA%20Johnson/2014 09 09 - NASA Johnson - NASA High School Aerospace Scholars Program 2014 - Week 2, White Team_dtvn_Es2azY - transcript (automated).pdf","Transcript Link")</f>
        <v>Transcript Link</v>
      </c>
      <c r="M1684" s="2" t="str">
        <f>HYPERLINK("https://files.afu.se/Downloads/Transcripts/0%20-%20Government/USA%20-%20NASA%20Johnson/2014 09 09 - NASA Johnson - NASA High School Aerospace Scholars Program 2014 - Week 2, White Team_dtvn_Es2azY - transcript (automated).pdf","Transcript Link")</f>
        <v>Transcript Link</v>
      </c>
    </row>
    <row r="1685" ht="180" spans="1:13">
      <c r="A1685" s="1" t="s">
        <v>7343</v>
      </c>
      <c r="B1685" s="1" t="s">
        <v>13</v>
      </c>
      <c r="C1685" s="4" t="s">
        <v>7398</v>
      </c>
      <c r="D1685" s="1" t="s">
        <v>7399</v>
      </c>
      <c r="E1685" s="1" t="s">
        <v>7354</v>
      </c>
      <c r="F1685" s="4" t="s">
        <v>17</v>
      </c>
      <c r="G1685" s="1" t="s">
        <v>18</v>
      </c>
      <c r="H1685" s="1" t="s">
        <v>19</v>
      </c>
      <c r="I1685" s="1" t="s">
        <v>20</v>
      </c>
      <c r="J1685" s="1" t="s">
        <v>7400</v>
      </c>
      <c r="K1685" s="1" t="s">
        <v>22</v>
      </c>
      <c r="L1685" s="1" t="str">
        <f>HYPERLINK("https://files.afu.se/Downloads/Transcripts/0%20-%20Government/USA%20-%20NASA%20Johnson/2014 09 09 - NASA Johnson - NASA High School Aerospace Scholars Program 2014 - Week 6, Red Team_fpRpf7DPi88 - transcript (automated).pdf","Transcript Link")</f>
        <v>Transcript Link</v>
      </c>
      <c r="M1685" s="2" t="str">
        <f>HYPERLINK("https://files.afu.se/Downloads/Transcripts/0%20-%20Government/USA%20-%20NASA%20Johnson/2014 09 09 - NASA Johnson - NASA High School Aerospace Scholars Program 2014 - Week 6, Red Team_fpRpf7DPi88 - transcript (automated).pdf","Transcript Link")</f>
        <v>Transcript Link</v>
      </c>
    </row>
    <row r="1686" ht="180" spans="1:13">
      <c r="A1686" s="1" t="s">
        <v>7343</v>
      </c>
      <c r="B1686" s="1" t="s">
        <v>13</v>
      </c>
      <c r="C1686" s="4" t="s">
        <v>7401</v>
      </c>
      <c r="D1686" s="1" t="s">
        <v>7402</v>
      </c>
      <c r="E1686" s="1" t="s">
        <v>7354</v>
      </c>
      <c r="F1686" s="4" t="s">
        <v>17</v>
      </c>
      <c r="G1686" s="1" t="s">
        <v>18</v>
      </c>
      <c r="H1686" s="1" t="s">
        <v>19</v>
      </c>
      <c r="I1686" s="1" t="s">
        <v>20</v>
      </c>
      <c r="J1686" s="1" t="s">
        <v>7403</v>
      </c>
      <c r="K1686" s="1" t="s">
        <v>22</v>
      </c>
      <c r="L1686" s="1" t="str">
        <f>HYPERLINK("https://files.afu.se/Downloads/Transcripts/0%20-%20Government/USA%20-%20NASA%20Johnson/2014 09 09 - NASA Johnson - NASA High School Aerospace Scholars Program 2014 - Week 1, Red Team_gzXc2mS-QyM - transcript (automated).pdf","Transcript Link")</f>
        <v>Transcript Link</v>
      </c>
      <c r="M1686" s="2" t="str">
        <f>HYPERLINK("https://files.afu.se/Downloads/Transcripts/0%20-%20Government/USA%20-%20NASA%20Johnson/2014 09 09 - NASA Johnson - NASA High School Aerospace Scholars Program 2014 - Week 1, Red Team_gzXc2mS-QyM - transcript (automated).pdf","Transcript Link")</f>
        <v>Transcript Link</v>
      </c>
    </row>
    <row r="1687" ht="180" spans="1:13">
      <c r="A1687" s="1" t="s">
        <v>7343</v>
      </c>
      <c r="B1687" s="1" t="s">
        <v>13</v>
      </c>
      <c r="C1687" s="4" t="s">
        <v>7404</v>
      </c>
      <c r="D1687" s="1" t="s">
        <v>7405</v>
      </c>
      <c r="E1687" s="1" t="s">
        <v>7354</v>
      </c>
      <c r="F1687" s="4" t="s">
        <v>17</v>
      </c>
      <c r="G1687" s="1" t="s">
        <v>18</v>
      </c>
      <c r="H1687" s="1" t="s">
        <v>19</v>
      </c>
      <c r="I1687" s="1" t="s">
        <v>20</v>
      </c>
      <c r="J1687" s="1" t="s">
        <v>7406</v>
      </c>
      <c r="K1687" s="1" t="s">
        <v>22</v>
      </c>
      <c r="L1687" s="1" t="str">
        <f>HYPERLINK("https://files.afu.se/Downloads/Transcripts/0%20-%20Government/USA%20-%20NASA%20Johnson/2014 09 09 - NASA Johnson - NASA High School Aerospace Scholars Program 2014 - Week 5, Blue Team_hUfHHeuU6XU - transcript (automated).pdf","Transcript Link")</f>
        <v>Transcript Link</v>
      </c>
      <c r="M1687" s="2" t="str">
        <f>HYPERLINK("https://files.afu.se/Downloads/Transcripts/0%20-%20Government/USA%20-%20NASA%20Johnson/2014 09 09 - NASA Johnson - NASA High School Aerospace Scholars Program 2014 - Week 5, Blue Team_hUfHHeuU6XU - transcript (automated).pdf","Transcript Link")</f>
        <v>Transcript Link</v>
      </c>
    </row>
    <row r="1688" ht="180" spans="1:13">
      <c r="A1688" s="1" t="s">
        <v>7343</v>
      </c>
      <c r="B1688" s="1" t="s">
        <v>13</v>
      </c>
      <c r="C1688" s="4" t="s">
        <v>7407</v>
      </c>
      <c r="D1688" s="1" t="s">
        <v>7408</v>
      </c>
      <c r="E1688" s="1" t="s">
        <v>7354</v>
      </c>
      <c r="F1688" s="4" t="s">
        <v>17</v>
      </c>
      <c r="G1688" s="1" t="s">
        <v>18</v>
      </c>
      <c r="H1688" s="1" t="s">
        <v>19</v>
      </c>
      <c r="I1688" s="1" t="s">
        <v>20</v>
      </c>
      <c r="J1688" s="1" t="s">
        <v>7409</v>
      </c>
      <c r="K1688" s="1" t="s">
        <v>22</v>
      </c>
      <c r="L1688" s="1" t="str">
        <f>HYPERLINK("https://files.afu.se/Downloads/Transcripts/0%20-%20Government/USA%20-%20NASA%20Johnson/2014 09 09 - NASA Johnson - NASA High School Aerospace Scholars Program 2014 - Week 4, White Team_hsQC0fCHJRQ - transcript (automated).pdf","Transcript Link")</f>
        <v>Transcript Link</v>
      </c>
      <c r="M1688" s="2" t="str">
        <f>HYPERLINK("https://files.afu.se/Downloads/Transcripts/0%20-%20Government/USA%20-%20NASA%20Johnson/2014 09 09 - NASA Johnson - NASA High School Aerospace Scholars Program 2014 - Week 4, White Team_hsQC0fCHJRQ - transcript (automated).pdf","Transcript Link")</f>
        <v>Transcript Link</v>
      </c>
    </row>
    <row r="1689" ht="180" spans="1:13">
      <c r="A1689" s="1" t="s">
        <v>7343</v>
      </c>
      <c r="B1689" s="1" t="s">
        <v>13</v>
      </c>
      <c r="C1689" s="4" t="s">
        <v>7410</v>
      </c>
      <c r="D1689" s="1" t="s">
        <v>7411</v>
      </c>
      <c r="E1689" s="1" t="s">
        <v>7354</v>
      </c>
      <c r="F1689" s="4" t="s">
        <v>17</v>
      </c>
      <c r="G1689" s="1" t="s">
        <v>18</v>
      </c>
      <c r="H1689" s="1" t="s">
        <v>19</v>
      </c>
      <c r="I1689" s="1" t="s">
        <v>20</v>
      </c>
      <c r="J1689" s="1" t="s">
        <v>7412</v>
      </c>
      <c r="K1689" s="1" t="s">
        <v>22</v>
      </c>
      <c r="L1689" s="1" t="str">
        <f>HYPERLINK("https://files.afu.se/Downloads/Transcripts/0%20-%20Government/USA%20-%20NASA%20Johnson/2014 09 09 - NASA Johnson - NASA High School Aerospace Scholars Program 2014 - Week 2, Red Team_kkrADP3KRIc - transcript (automated).pdf","Transcript Link")</f>
        <v>Transcript Link</v>
      </c>
      <c r="M1689" s="2" t="str">
        <f>HYPERLINK("https://files.afu.se/Downloads/Transcripts/0%20-%20Government/USA%20-%20NASA%20Johnson/2014 09 09 - NASA Johnson - NASA High School Aerospace Scholars Program 2014 - Week 2, Red Team_kkrADP3KRIc - transcript (automated).pdf","Transcript Link")</f>
        <v>Transcript Link</v>
      </c>
    </row>
    <row r="1690" ht="180" spans="1:13">
      <c r="A1690" s="1" t="s">
        <v>7343</v>
      </c>
      <c r="B1690" s="1" t="s">
        <v>13</v>
      </c>
      <c r="C1690" s="4" t="s">
        <v>7413</v>
      </c>
      <c r="D1690" s="1" t="s">
        <v>7414</v>
      </c>
      <c r="E1690" s="1" t="s">
        <v>7354</v>
      </c>
      <c r="F1690" s="4" t="s">
        <v>17</v>
      </c>
      <c r="G1690" s="1" t="s">
        <v>18</v>
      </c>
      <c r="H1690" s="1" t="s">
        <v>19</v>
      </c>
      <c r="I1690" s="1" t="s">
        <v>20</v>
      </c>
      <c r="J1690" s="1" t="s">
        <v>7415</v>
      </c>
      <c r="K1690" s="1" t="s">
        <v>22</v>
      </c>
      <c r="L1690" s="1" t="str">
        <f>HYPERLINK("https://files.afu.se/Downloads/Transcripts/0%20-%20Government/USA%20-%20NASA%20Johnson/2014 09 09 - NASA Johnson - NASA High School Aerospace Scholars Program 2014 - Week 3, White Team_nPWDPj3XI3c - transcript (automated).pdf","Transcript Link")</f>
        <v>Transcript Link</v>
      </c>
      <c r="M1690" s="2" t="str">
        <f>HYPERLINK("https://files.afu.se/Downloads/Transcripts/0%20-%20Government/USA%20-%20NASA%20Johnson/2014 09 09 - NASA Johnson - NASA High School Aerospace Scholars Program 2014 - Week 3, White Team_nPWDPj3XI3c - transcript (automated).pdf","Transcript Link")</f>
        <v>Transcript Link</v>
      </c>
    </row>
    <row r="1691" ht="180" spans="1:13">
      <c r="A1691" s="1" t="s">
        <v>7343</v>
      </c>
      <c r="B1691" s="1" t="s">
        <v>13</v>
      </c>
      <c r="C1691" s="4" t="s">
        <v>7416</v>
      </c>
      <c r="D1691" s="1" t="s">
        <v>7417</v>
      </c>
      <c r="E1691" s="1" t="s">
        <v>7354</v>
      </c>
      <c r="F1691" s="4" t="s">
        <v>17</v>
      </c>
      <c r="G1691" s="1" t="s">
        <v>18</v>
      </c>
      <c r="H1691" s="1" t="s">
        <v>19</v>
      </c>
      <c r="I1691" s="1" t="s">
        <v>20</v>
      </c>
      <c r="J1691" s="1" t="s">
        <v>7418</v>
      </c>
      <c r="K1691" s="1" t="s">
        <v>22</v>
      </c>
      <c r="L1691" s="1" t="str">
        <f>HYPERLINK("https://files.afu.se/Downloads/Transcripts/0%20-%20Government/USA%20-%20NASA%20Johnson/2014 09 09 - NASA Johnson - NASA High School Aerospace Scholars Program 2014 - Week 1, White Team_pquxJ0Z5JyQ - transcript (automated).pdf","Transcript Link")</f>
        <v>Transcript Link</v>
      </c>
      <c r="M1691" s="2" t="str">
        <f>HYPERLINK("https://files.afu.se/Downloads/Transcripts/0%20-%20Government/USA%20-%20NASA%20Johnson/2014 09 09 - NASA Johnson - NASA High School Aerospace Scholars Program 2014 - Week 1, White Team_pquxJ0Z5JyQ - transcript (automated).pdf","Transcript Link")</f>
        <v>Transcript Link</v>
      </c>
    </row>
    <row r="1692" ht="180" spans="1:13">
      <c r="A1692" s="1" t="s">
        <v>7343</v>
      </c>
      <c r="B1692" s="1" t="s">
        <v>13</v>
      </c>
      <c r="C1692" s="4" t="s">
        <v>7419</v>
      </c>
      <c r="D1692" s="1" t="s">
        <v>7420</v>
      </c>
      <c r="E1692" s="1" t="s">
        <v>7354</v>
      </c>
      <c r="F1692" s="4" t="s">
        <v>17</v>
      </c>
      <c r="G1692" s="1" t="s">
        <v>18</v>
      </c>
      <c r="H1692" s="1" t="s">
        <v>19</v>
      </c>
      <c r="I1692" s="1" t="s">
        <v>20</v>
      </c>
      <c r="J1692" s="1" t="s">
        <v>7421</v>
      </c>
      <c r="K1692" s="1" t="s">
        <v>22</v>
      </c>
      <c r="L1692" s="1" t="str">
        <f>HYPERLINK("https://files.afu.se/Downloads/Transcripts/0%20-%20Government/USA%20-%20NASA%20Johnson/2014 09 09 - NASA Johnson - NASA High School Aerospace Scholars Program 2014 - Week 5, Gray Team_sGDNlCiJnhc - transcript (automated).pdf","Transcript Link")</f>
        <v>Transcript Link</v>
      </c>
      <c r="M1692" s="2" t="str">
        <f>HYPERLINK("https://files.afu.se/Downloads/Transcripts/0%20-%20Government/USA%20-%20NASA%20Johnson/2014 09 09 - NASA Johnson - NASA High School Aerospace Scholars Program 2014 - Week 5, Gray Team_sGDNlCiJnhc - transcript (automated).pdf","Transcript Link")</f>
        <v>Transcript Link</v>
      </c>
    </row>
    <row r="1693" ht="180" spans="1:13">
      <c r="A1693" s="1" t="s">
        <v>7343</v>
      </c>
      <c r="B1693" s="1" t="s">
        <v>13</v>
      </c>
      <c r="C1693" s="4" t="s">
        <v>7422</v>
      </c>
      <c r="D1693" s="1" t="s">
        <v>7423</v>
      </c>
      <c r="E1693" s="1" t="s">
        <v>7354</v>
      </c>
      <c r="F1693" s="4" t="s">
        <v>17</v>
      </c>
      <c r="G1693" s="1" t="s">
        <v>18</v>
      </c>
      <c r="H1693" s="1" t="s">
        <v>19</v>
      </c>
      <c r="I1693" s="1" t="s">
        <v>20</v>
      </c>
      <c r="J1693" s="1" t="s">
        <v>7424</v>
      </c>
      <c r="K1693" s="1" t="s">
        <v>22</v>
      </c>
      <c r="L1693" s="1" t="str">
        <f>HYPERLINK("https://files.afu.se/Downloads/Transcripts/0%20-%20Government/USA%20-%20NASA%20Johnson/2014 09 09 - NASA Johnson - NASA High School Aerospace Scholars Program 2014 - Week 2, Blue Team_tfVGlnXQaxU - transcript (automated).pdf","Transcript Link")</f>
        <v>Transcript Link</v>
      </c>
      <c r="M1693" s="2" t="str">
        <f>HYPERLINK("https://files.afu.se/Downloads/Transcripts/0%20-%20Government/USA%20-%20NASA%20Johnson/2014 09 09 - NASA Johnson - NASA High School Aerospace Scholars Program 2014 - Week 2, Blue Team_tfVGlnXQaxU - transcript (automated).pdf","Transcript Link")</f>
        <v>Transcript Link</v>
      </c>
    </row>
    <row r="1694" ht="180" spans="1:13">
      <c r="A1694" s="1" t="s">
        <v>7425</v>
      </c>
      <c r="B1694" s="1" t="s">
        <v>13</v>
      </c>
      <c r="C1694" s="4" t="s">
        <v>7426</v>
      </c>
      <c r="D1694" s="1" t="s">
        <v>7427</v>
      </c>
      <c r="E1694" s="1" t="s">
        <v>7428</v>
      </c>
      <c r="F1694" s="4" t="s">
        <v>17</v>
      </c>
      <c r="G1694" s="1" t="s">
        <v>18</v>
      </c>
      <c r="H1694" s="1" t="s">
        <v>19</v>
      </c>
      <c r="I1694" s="1" t="s">
        <v>20</v>
      </c>
      <c r="J1694" s="1" t="s">
        <v>7429</v>
      </c>
      <c r="K1694" s="1" t="s">
        <v>22</v>
      </c>
      <c r="L1694" s="1" t="str">
        <f>HYPERLINK("https://files.afu.se/Downloads/Transcripts/0%20-%20Government/USA%20-%20NASA%20Johnson/2014 09 08 - NASA Johnson - Expedition 41 42 Crew Talks to Press, Visits Moscow's Red Square_xCvcvyRqWOc - transcript (automated).pdf","Transcript Link")</f>
        <v>Transcript Link</v>
      </c>
      <c r="M1694" s="2" t="str">
        <f>HYPERLINK("https://files.afu.se/Downloads/Transcripts/0%20-%20Government/USA%20-%20NASA%20Johnson/2014 09 08 - NASA Johnson - Expedition 41 42 Crew Talks to Press, Visits Moscow's Red Square_xCvcvyRqWOc - transcript (automated).pdf","Transcript Link")</f>
        <v>Transcript Link</v>
      </c>
    </row>
    <row r="1695" ht="180" spans="1:13">
      <c r="A1695" s="1" t="s">
        <v>7430</v>
      </c>
      <c r="B1695" s="1" t="s">
        <v>13</v>
      </c>
      <c r="C1695" s="4" t="s">
        <v>7431</v>
      </c>
      <c r="D1695" s="1" t="s">
        <v>7432</v>
      </c>
      <c r="E1695" s="1" t="s">
        <v>7433</v>
      </c>
      <c r="F1695" s="4" t="s">
        <v>17</v>
      </c>
      <c r="G1695" s="1" t="s">
        <v>18</v>
      </c>
      <c r="H1695" s="1" t="s">
        <v>19</v>
      </c>
      <c r="I1695" s="1" t="s">
        <v>20</v>
      </c>
      <c r="J1695" s="1" t="s">
        <v>7434</v>
      </c>
      <c r="K1695" s="1" t="s">
        <v>22</v>
      </c>
      <c r="L1695" s="1" t="str">
        <f>HYPERLINK("https://files.afu.se/Downloads/Transcripts/0%20-%20Government/USA%20-%20NASA%20Johnson/2014 09 05 - NASA Johnson - Space Station Live  Science of Space Combustion_q7p9yXVgeNw - transcript (automated).pdf","Transcript Link")</f>
        <v>Transcript Link</v>
      </c>
      <c r="M1695" s="2" t="str">
        <f>HYPERLINK("https://files.afu.se/Downloads/Transcripts/0%20-%20Government/USA%20-%20NASA%20Johnson/2014 09 05 - NASA Johnson - Space Station Live  Science of Space Combustion_q7p9yXVgeNw - transcript (automated).pdf","Transcript Link")</f>
        <v>Transcript Link</v>
      </c>
    </row>
    <row r="1696" ht="180" spans="1:13">
      <c r="A1696" s="1" t="s">
        <v>7430</v>
      </c>
      <c r="B1696" s="1" t="s">
        <v>13</v>
      </c>
      <c r="C1696" s="4" t="s">
        <v>7435</v>
      </c>
      <c r="D1696" s="1" t="s">
        <v>7436</v>
      </c>
      <c r="E1696" s="1" t="s">
        <v>7437</v>
      </c>
      <c r="F1696" s="4" t="s">
        <v>17</v>
      </c>
      <c r="G1696" s="1" t="s">
        <v>18</v>
      </c>
      <c r="H1696" s="1" t="s">
        <v>19</v>
      </c>
      <c r="I1696" s="1" t="s">
        <v>20</v>
      </c>
      <c r="J1696" s="1" t="s">
        <v>7438</v>
      </c>
      <c r="K1696" s="1" t="s">
        <v>22</v>
      </c>
      <c r="L1696" s="1" t="str">
        <f>HYPERLINK("https://files.afu.se/Downloads/Transcripts/0%20-%20Government/USA%20-%20NASA%20Johnson/2014 09 05 - NASA Johnson - Space Station Live  Amine Swingbed_QnkCpdofiXI - transcript (automated).pdf","Transcript Link")</f>
        <v>Transcript Link</v>
      </c>
      <c r="M1696" s="2" t="str">
        <f>HYPERLINK("https://files.afu.se/Downloads/Transcripts/0%20-%20Government/USA%20-%20NASA%20Johnson/2014 09 05 - NASA Johnson - Space Station Live  Amine Swingbed_QnkCpdofiXI - transcript (automated).pdf","Transcript Link")</f>
        <v>Transcript Link</v>
      </c>
    </row>
    <row r="1697" ht="180" spans="1:13">
      <c r="A1697" s="1" t="s">
        <v>7430</v>
      </c>
      <c r="B1697" s="1" t="s">
        <v>13</v>
      </c>
      <c r="C1697" s="4" t="s">
        <v>7439</v>
      </c>
      <c r="D1697" s="1" t="s">
        <v>7440</v>
      </c>
      <c r="E1697" s="1" t="s">
        <v>5059</v>
      </c>
      <c r="F1697" s="4" t="s">
        <v>17</v>
      </c>
      <c r="G1697" s="1" t="s">
        <v>18</v>
      </c>
      <c r="H1697" s="1" t="s">
        <v>19</v>
      </c>
      <c r="I1697" s="1" t="s">
        <v>20</v>
      </c>
      <c r="J1697" s="1" t="s">
        <v>7441</v>
      </c>
      <c r="K1697" s="1" t="s">
        <v>22</v>
      </c>
      <c r="L1697" s="1" t="str">
        <f>HYPERLINK("https://files.afu.se/Downloads/Transcripts/0%20-%20Government/USA%20-%20NASA%20Johnson/2014 09 05 - NASA Johnson - Space to Ground  Earth From Above  9 5 14_YXLAWlPAnKc - transcript (automated).pdf","Transcript Link")</f>
        <v>Transcript Link</v>
      </c>
      <c r="M1697" s="2" t="str">
        <f>HYPERLINK("https://files.afu.se/Downloads/Transcripts/0%20-%20Government/USA%20-%20NASA%20Johnson/2014 09 05 - NASA Johnson - Space to Ground  Earth From Above  9 5 14_YXLAWlPAnKc - transcript (automated).pdf","Transcript Link")</f>
        <v>Transcript Link</v>
      </c>
    </row>
    <row r="1698" ht="180" spans="1:13">
      <c r="A1698" s="1" t="s">
        <v>7442</v>
      </c>
      <c r="B1698" s="1" t="s">
        <v>13</v>
      </c>
      <c r="C1698" s="4" t="s">
        <v>7443</v>
      </c>
      <c r="D1698" s="1" t="s">
        <v>7444</v>
      </c>
      <c r="E1698" s="1" t="s">
        <v>7445</v>
      </c>
      <c r="F1698" s="4" t="s">
        <v>17</v>
      </c>
      <c r="G1698" s="1" t="s">
        <v>18</v>
      </c>
      <c r="H1698" s="1" t="s">
        <v>19</v>
      </c>
      <c r="I1698" s="1" t="s">
        <v>20</v>
      </c>
      <c r="J1698" s="1" t="s">
        <v>7446</v>
      </c>
      <c r="K1698" s="1" t="s">
        <v>22</v>
      </c>
      <c r="L1698" s="1" t="str">
        <f>HYPERLINK("https://files.afu.se/Downloads/Transcripts/0%20-%20Government/USA%20-%20NASA%20Johnson/2014 09 04 - NASA Johnson - Expedition 41 42 Final Exams_-GCnqvLjvZw - transcript (automated).pdf","Transcript Link")</f>
        <v>Transcript Link</v>
      </c>
      <c r="M1698" s="2" t="str">
        <f>HYPERLINK("https://files.afu.se/Downloads/Transcripts/0%20-%20Government/USA%20-%20NASA%20Johnson/2014 09 04 - NASA Johnson - Expedition 41 42 Final Exams_-GCnqvLjvZw - transcript (automated).pdf","Transcript Link")</f>
        <v>Transcript Link</v>
      </c>
    </row>
    <row r="1699" ht="180" spans="1:13">
      <c r="A1699" s="1" t="s">
        <v>7447</v>
      </c>
      <c r="B1699" s="1" t="s">
        <v>13</v>
      </c>
      <c r="C1699" s="4" t="s">
        <v>7448</v>
      </c>
      <c r="D1699" s="1" t="s">
        <v>7449</v>
      </c>
      <c r="E1699" s="1" t="s">
        <v>6850</v>
      </c>
      <c r="F1699" s="4" t="s">
        <v>17</v>
      </c>
      <c r="G1699" s="1" t="s">
        <v>18</v>
      </c>
      <c r="H1699" s="1" t="s">
        <v>19</v>
      </c>
      <c r="I1699" s="1" t="s">
        <v>20</v>
      </c>
      <c r="J1699" s="1" t="s">
        <v>7450</v>
      </c>
      <c r="K1699" s="1" t="s">
        <v>22</v>
      </c>
      <c r="L1699" s="1" t="str">
        <f>HYPERLINK("https://files.afu.se/Downloads/Transcripts/0%20-%20Government/USA%20-%20NASA%20Johnson/2014 09 02 - NASA Johnson - Monthly ISS Research Video Update for August 2014_LZp9LZH-DNA - transcript (automated).pdf","Transcript Link")</f>
        <v>Transcript Link</v>
      </c>
      <c r="M1699" s="2" t="str">
        <f>HYPERLINK("https://files.afu.se/Downloads/Transcripts/0%20-%20Government/USA%20-%20NASA%20Johnson/2014 09 02 - NASA Johnson - Monthly ISS Research Video Update for August 2014_LZp9LZH-DNA - transcript (automated).pdf","Transcript Link")</f>
        <v>Transcript Link</v>
      </c>
    </row>
    <row r="1700" ht="180" spans="1:13">
      <c r="A1700" s="1" t="s">
        <v>7451</v>
      </c>
      <c r="B1700" s="1" t="s">
        <v>13</v>
      </c>
      <c r="C1700" s="4" t="s">
        <v>7452</v>
      </c>
      <c r="D1700" s="1" t="s">
        <v>7453</v>
      </c>
      <c r="E1700" s="1" t="s">
        <v>5059</v>
      </c>
      <c r="F1700" s="4" t="s">
        <v>17</v>
      </c>
      <c r="G1700" s="1" t="s">
        <v>18</v>
      </c>
      <c r="H1700" s="1" t="s">
        <v>19</v>
      </c>
      <c r="I1700" s="1" t="s">
        <v>20</v>
      </c>
      <c r="J1700" s="1" t="s">
        <v>7454</v>
      </c>
      <c r="K1700" s="1" t="s">
        <v>22</v>
      </c>
      <c r="L1700" s="1" t="str">
        <f>HYPERLINK("https://files.afu.se/Downloads/Transcripts/0%20-%20Government/USA%20-%20NASA%20Johnson/2014 08 29 - NASA Johnson - Space to Ground  Heating Up  08 29 14_3Lqx5nERAwQ - transcript (automated).pdf","Transcript Link")</f>
        <v>Transcript Link</v>
      </c>
      <c r="M1700" s="2" t="str">
        <f>HYPERLINK("https://files.afu.se/Downloads/Transcripts/0%20-%20Government/USA%20-%20NASA%20Johnson/2014 08 29 - NASA Johnson - Space to Ground  Heating Up  08 29 14_3Lqx5nERAwQ - transcript (automated).pdf","Transcript Link")</f>
        <v>Transcript Link</v>
      </c>
    </row>
    <row r="1701" ht="180" spans="1:13">
      <c r="A1701" s="1" t="s">
        <v>7455</v>
      </c>
      <c r="B1701" s="1" t="s">
        <v>13</v>
      </c>
      <c r="C1701" s="4" t="s">
        <v>7456</v>
      </c>
      <c r="D1701" s="1" t="s">
        <v>7457</v>
      </c>
      <c r="E1701" s="1" t="s">
        <v>7458</v>
      </c>
      <c r="F1701" s="4" t="s">
        <v>17</v>
      </c>
      <c r="G1701" s="1" t="s">
        <v>18</v>
      </c>
      <c r="H1701" s="1" t="s">
        <v>19</v>
      </c>
      <c r="I1701" s="1" t="s">
        <v>20</v>
      </c>
      <c r="J1701" s="1" t="s">
        <v>7459</v>
      </c>
      <c r="K1701" s="1" t="s">
        <v>22</v>
      </c>
      <c r="L1701" s="1" t="str">
        <f>HYPERLINK("https://files.afu.se/Downloads/Transcripts/0%20-%20Government/USA%20-%20NASA%20Johnson/2014 08 28 - NASA Johnson - Space Station Live  Training Underground and Underwater for Space Missions_McOy9jSi88o - transcript (automated).pdf","Transcript Link")</f>
        <v>Transcript Link</v>
      </c>
      <c r="M1701" s="2" t="str">
        <f>HYPERLINK("https://files.afu.se/Downloads/Transcripts/0%20-%20Government/USA%20-%20NASA%20Johnson/2014 08 28 - NASA Johnson - Space Station Live  Training Underground and Underwater for Space Missions_McOy9jSi88o - transcript (automated).pdf","Transcript Link")</f>
        <v>Transcript Link</v>
      </c>
    </row>
    <row r="1702" ht="180" spans="1:13">
      <c r="A1702" s="1" t="s">
        <v>7460</v>
      </c>
      <c r="B1702" s="1" t="s">
        <v>13</v>
      </c>
      <c r="C1702" s="4" t="s">
        <v>7461</v>
      </c>
      <c r="D1702" s="1" t="s">
        <v>7462</v>
      </c>
      <c r="E1702" s="1" t="s">
        <v>7463</v>
      </c>
      <c r="F1702" s="4" t="s">
        <v>17</v>
      </c>
      <c r="G1702" s="1" t="s">
        <v>18</v>
      </c>
      <c r="H1702" s="1" t="s">
        <v>19</v>
      </c>
      <c r="I1702" s="1" t="s">
        <v>20</v>
      </c>
      <c r="J1702" s="1" t="s">
        <v>7464</v>
      </c>
      <c r="K1702" s="1" t="s">
        <v>22</v>
      </c>
      <c r="L1702" s="1" t="str">
        <f>HYPERLINK("https://files.afu.se/Downloads/Transcripts/0%20-%20Government/USA%20-%20NASA%20Johnson/2014 08 27 - NASA Johnson - Space Station Live  Health Benefits of Exercise in Space, and on Earth!_klRFSA_auPg - transcript (automated).pdf","Transcript Link")</f>
        <v>Transcript Link</v>
      </c>
      <c r="M1702" s="2" t="str">
        <f>HYPERLINK("https://files.afu.se/Downloads/Transcripts/0%20-%20Government/USA%20-%20NASA%20Johnson/2014 08 27 - NASA Johnson - Space Station Live  Health Benefits of Exercise in Space, and on Earth!_klRFSA_auPg - transcript (automated).pdf","Transcript Link")</f>
        <v>Transcript Link</v>
      </c>
    </row>
    <row r="1703" ht="285" spans="1:13">
      <c r="A1703" s="1" t="s">
        <v>7460</v>
      </c>
      <c r="B1703" s="1" t="s">
        <v>13</v>
      </c>
      <c r="C1703" s="4" t="s">
        <v>7465</v>
      </c>
      <c r="D1703" s="1" t="s">
        <v>7466</v>
      </c>
      <c r="E1703" s="1" t="s">
        <v>7467</v>
      </c>
      <c r="F1703" s="4" t="s">
        <v>17</v>
      </c>
      <c r="G1703" s="1" t="s">
        <v>18</v>
      </c>
      <c r="H1703" s="1" t="s">
        <v>19</v>
      </c>
      <c r="I1703" s="1" t="s">
        <v>20</v>
      </c>
      <c r="J1703" s="1" t="s">
        <v>7468</v>
      </c>
      <c r="K1703" s="1" t="s">
        <v>22</v>
      </c>
      <c r="L1703" s="1" t="str">
        <f>HYPERLINK("https://files.afu.se/Downloads/Transcripts/0%20-%20Government/USA%20-%20NASA%20Johnson/2014 08 27 - NASA Johnson - The Mission is Simple  Asteroid_jwQM9IRTAuw - transcript (automated).pdf","Transcript Link")</f>
        <v>Transcript Link</v>
      </c>
      <c r="M1703" s="2" t="str">
        <f>HYPERLINK("https://files.afu.se/Downloads/Transcripts/0%20-%20Government/USA%20-%20NASA%20Johnson/2014 08 27 - NASA Johnson - The Mission is Simple  Asteroid_jwQM9IRTAuw - transcript (automated).pdf","Transcript Link")</f>
        <v>Transcript Link</v>
      </c>
    </row>
    <row r="1704" ht="315" spans="1:13">
      <c r="A1704" s="1" t="s">
        <v>7460</v>
      </c>
      <c r="B1704" s="1" t="s">
        <v>13</v>
      </c>
      <c r="C1704" s="4" t="s">
        <v>7469</v>
      </c>
      <c r="D1704" s="1" t="s">
        <v>7470</v>
      </c>
      <c r="E1704" s="1" t="s">
        <v>7471</v>
      </c>
      <c r="F1704" s="4" t="s">
        <v>17</v>
      </c>
      <c r="G1704" s="1" t="s">
        <v>18</v>
      </c>
      <c r="H1704" s="1" t="s">
        <v>19</v>
      </c>
      <c r="I1704" s="1" t="s">
        <v>20</v>
      </c>
      <c r="J1704" s="1" t="s">
        <v>7472</v>
      </c>
      <c r="K1704" s="1" t="s">
        <v>22</v>
      </c>
      <c r="L1704" s="1" t="str">
        <f>HYPERLINK("https://files.afu.se/Downloads/Transcripts/0%20-%20Government/USA%20-%20NASA%20Johnson/2014 08 27 - NASA Johnson - Benefits for Humanity  Found at Sea_TrsKZma-LTk - transcript (automated).pdf","Transcript Link")</f>
        <v>Transcript Link</v>
      </c>
      <c r="M1704" s="2" t="str">
        <f>HYPERLINK("https://files.afu.se/Downloads/Transcripts/0%20-%20Government/USA%20-%20NASA%20Johnson/2014 08 27 - NASA Johnson - Benefits for Humanity  Found at Sea_TrsKZma-LTk - transcript (automated).pdf","Transcript Link")</f>
        <v>Transcript Link</v>
      </c>
    </row>
    <row r="1705" ht="225" spans="1:13">
      <c r="A1705" s="1" t="s">
        <v>7460</v>
      </c>
      <c r="B1705" s="1" t="s">
        <v>13</v>
      </c>
      <c r="C1705" s="4" t="s">
        <v>7473</v>
      </c>
      <c r="D1705" s="1" t="s">
        <v>7474</v>
      </c>
      <c r="E1705" s="1" t="s">
        <v>7475</v>
      </c>
      <c r="F1705" s="4" t="s">
        <v>17</v>
      </c>
      <c r="G1705" s="1" t="s">
        <v>18</v>
      </c>
      <c r="H1705" s="1" t="s">
        <v>19</v>
      </c>
      <c r="I1705" s="1" t="s">
        <v>20</v>
      </c>
      <c r="J1705" s="1" t="s">
        <v>7476</v>
      </c>
      <c r="K1705" s="1" t="s">
        <v>22</v>
      </c>
      <c r="L1705" s="1" t="str">
        <f>HYPERLINK("https://files.afu.se/Downloads/Transcripts/0%20-%20Government/USA%20-%20NASA%20Johnson/2014 08 27 - NASA Johnson - Robonaut Performs Quick Disconnect Hose Inspection_rXD4ldp-W8M - transcript (automated).pdf","Transcript Link")</f>
        <v>Transcript Link</v>
      </c>
      <c r="M1705" s="2" t="str">
        <f>HYPERLINK("https://files.afu.se/Downloads/Transcripts/0%20-%20Government/USA%20-%20NASA%20Johnson/2014 08 27 - NASA Johnson - Robonaut Performs Quick Disconnect Hose Inspection_rXD4ldp-W8M - transcript (automated).pdf","Transcript Link")</f>
        <v>Transcript Link</v>
      </c>
    </row>
    <row r="1706" ht="225" spans="1:13">
      <c r="A1706" s="1" t="s">
        <v>7460</v>
      </c>
      <c r="B1706" s="1" t="s">
        <v>13</v>
      </c>
      <c r="C1706" s="4" t="s">
        <v>7477</v>
      </c>
      <c r="D1706" s="1" t="s">
        <v>7478</v>
      </c>
      <c r="E1706" s="1" t="s">
        <v>7475</v>
      </c>
      <c r="F1706" s="4" t="s">
        <v>17</v>
      </c>
      <c r="G1706" s="1" t="s">
        <v>18</v>
      </c>
      <c r="H1706" s="1" t="s">
        <v>19</v>
      </c>
      <c r="I1706" s="1" t="s">
        <v>20</v>
      </c>
      <c r="J1706" s="1" t="s">
        <v>7479</v>
      </c>
      <c r="K1706" s="1" t="s">
        <v>22</v>
      </c>
      <c r="L1706" s="1" t="str">
        <f>HYPERLINK("https://files.afu.se/Downloads/Transcripts/0%20-%20Government/USA%20-%20NASA%20Johnson/2014 08 27 - NASA Johnson - Robonaut Performs Hose Jacket Inspection_bVw8seV9Tfc - transcript (automated).pdf","Transcript Link")</f>
        <v>Transcript Link</v>
      </c>
      <c r="M1706" s="2" t="str">
        <f>HYPERLINK("https://files.afu.se/Downloads/Transcripts/0%20-%20Government/USA%20-%20NASA%20Johnson/2014 08 27 - NASA Johnson - Robonaut Performs Hose Jacket Inspection_bVw8seV9Tfc - transcript (automated).pdf","Transcript Link")</f>
        <v>Transcript Link</v>
      </c>
    </row>
    <row r="1707" ht="225" spans="1:13">
      <c r="A1707" s="1" t="s">
        <v>7460</v>
      </c>
      <c r="B1707" s="1" t="s">
        <v>13</v>
      </c>
      <c r="C1707" s="4" t="s">
        <v>7480</v>
      </c>
      <c r="D1707" s="1" t="s">
        <v>7481</v>
      </c>
      <c r="E1707" s="1" t="s">
        <v>7475</v>
      </c>
      <c r="F1707" s="4" t="s">
        <v>17</v>
      </c>
      <c r="G1707" s="1" t="s">
        <v>18</v>
      </c>
      <c r="H1707" s="1" t="s">
        <v>19</v>
      </c>
      <c r="I1707" s="1" t="s">
        <v>20</v>
      </c>
      <c r="J1707" s="1" t="s">
        <v>7482</v>
      </c>
      <c r="K1707" s="1" t="s">
        <v>22</v>
      </c>
      <c r="L1707" s="1" t="str">
        <f>HYPERLINK("https://files.afu.se/Downloads/Transcripts/0%20-%20Government/USA%20-%20NASA%20Johnson/2014 08 27 - NASA Johnson - Robonaut Performs Taskboard Tethering_P1uhTlnGZM0 - transcript (automated).pdf","Transcript Link")</f>
        <v>Transcript Link</v>
      </c>
      <c r="M1707" s="2" t="str">
        <f>HYPERLINK("https://files.afu.se/Downloads/Transcripts/0%20-%20Government/USA%20-%20NASA%20Johnson/2014 08 27 - NASA Johnson - Robonaut Performs Taskboard Tethering_P1uhTlnGZM0 - transcript (automated).pdf","Transcript Link")</f>
        <v>Transcript Link</v>
      </c>
    </row>
    <row r="1708" ht="180" spans="1:13">
      <c r="A1708" s="1" t="s">
        <v>7483</v>
      </c>
      <c r="B1708" s="1" t="s">
        <v>13</v>
      </c>
      <c r="C1708" s="4" t="s">
        <v>7484</v>
      </c>
      <c r="D1708" s="1" t="s">
        <v>7485</v>
      </c>
      <c r="E1708" s="1" t="s">
        <v>7486</v>
      </c>
      <c r="F1708" s="4" t="s">
        <v>17</v>
      </c>
      <c r="G1708" s="1" t="s">
        <v>18</v>
      </c>
      <c r="H1708" s="1" t="s">
        <v>19</v>
      </c>
      <c r="I1708" s="1" t="s">
        <v>20</v>
      </c>
      <c r="J1708" s="1" t="s">
        <v>7487</v>
      </c>
      <c r="K1708" s="1" t="s">
        <v>22</v>
      </c>
      <c r="L1708" s="1" t="str">
        <f>HYPERLINK("https://files.afu.se/Downloads/Transcripts/0%20-%20Government/USA%20-%20NASA%20Johnson/2014 08 26 - NASA Johnson - Space Station Live  Robonaut Mobility Upgrades_jiDcCrUQmsM - transcript (automated).pdf","Transcript Link")</f>
        <v>Transcript Link</v>
      </c>
      <c r="M1708" s="2" t="str">
        <f>HYPERLINK("https://files.afu.se/Downloads/Transcripts/0%20-%20Government/USA%20-%20NASA%20Johnson/2014 08 26 - NASA Johnson - Space Station Live  Robonaut Mobility Upgrades_jiDcCrUQmsM - transcript (automated).pdf","Transcript Link")</f>
        <v>Transcript Link</v>
      </c>
    </row>
    <row r="1709" ht="180" spans="1:13">
      <c r="A1709" s="1" t="s">
        <v>7483</v>
      </c>
      <c r="B1709" s="1" t="s">
        <v>13</v>
      </c>
      <c r="C1709" s="4" t="s">
        <v>7488</v>
      </c>
      <c r="D1709" s="1" t="s">
        <v>7489</v>
      </c>
      <c r="E1709" s="1" t="s">
        <v>7490</v>
      </c>
      <c r="F1709" s="4" t="s">
        <v>17</v>
      </c>
      <c r="G1709" s="1" t="s">
        <v>18</v>
      </c>
      <c r="H1709" s="1" t="s">
        <v>19</v>
      </c>
      <c r="I1709" s="1" t="s">
        <v>20</v>
      </c>
      <c r="J1709" s="1" t="s">
        <v>7491</v>
      </c>
      <c r="K1709" s="1" t="s">
        <v>22</v>
      </c>
      <c r="L1709" s="1" t="str">
        <f>HYPERLINK("https://files.afu.se/Downloads/Transcripts/0%20-%20Government/USA%20-%20NASA%20Johnson/2014 08 26 - NASA Johnson - Preparing America for Deep Space Exploration  Episode 4 Music Video_XtX1KNOFVMY - transcript (automated).pdf","Transcript Link")</f>
        <v>Transcript Link</v>
      </c>
      <c r="M1709" s="2" t="str">
        <f>HYPERLINK("https://files.afu.se/Downloads/Transcripts/0%20-%20Government/USA%20-%20NASA%20Johnson/2014 08 26 - NASA Johnson - Preparing America for Deep Space Exploration  Episode 4 Music Video_XtX1KNOFVMY - transcript (automated).pdf","Transcript Link")</f>
        <v>Transcript Link</v>
      </c>
    </row>
    <row r="1710" ht="180" spans="1:13">
      <c r="A1710" s="1" t="s">
        <v>7483</v>
      </c>
      <c r="B1710" s="1" t="s">
        <v>13</v>
      </c>
      <c r="C1710" s="4" t="s">
        <v>7492</v>
      </c>
      <c r="D1710" s="1" t="s">
        <v>7493</v>
      </c>
      <c r="E1710" s="1" t="s">
        <v>7494</v>
      </c>
      <c r="F1710" s="4" t="s">
        <v>17</v>
      </c>
      <c r="G1710" s="1" t="s">
        <v>18</v>
      </c>
      <c r="H1710" s="1" t="s">
        <v>19</v>
      </c>
      <c r="I1710" s="1" t="s">
        <v>20</v>
      </c>
      <c r="J1710" s="1" t="s">
        <v>7495</v>
      </c>
      <c r="K1710" s="1" t="s">
        <v>22</v>
      </c>
      <c r="L1710" s="1" t="str">
        <f>HYPERLINK("https://files.afu.se/Downloads/Transcripts/0%20-%20Government/USA%20-%20NASA%20Johnson/2014 08 26 - NASA Johnson - Space Station Live  NASA Partners With EPA for Ocean Study_4E5t-UJtYxM - transcript (automated).pdf","Transcript Link")</f>
        <v>Transcript Link</v>
      </c>
      <c r="M1710" s="2" t="str">
        <f>HYPERLINK("https://files.afu.se/Downloads/Transcripts/0%20-%20Government/USA%20-%20NASA%20Johnson/2014 08 26 - NASA Johnson - Space Station Live  NASA Partners With EPA for Ocean Study_4E5t-UJtYxM - transcript (automated).pdf","Transcript Link")</f>
        <v>Transcript Link</v>
      </c>
    </row>
    <row r="1711" ht="180" spans="1:13">
      <c r="A1711" s="1" t="s">
        <v>7496</v>
      </c>
      <c r="B1711" s="1" t="s">
        <v>13</v>
      </c>
      <c r="C1711" s="4" t="s">
        <v>7497</v>
      </c>
      <c r="D1711" s="1" t="s">
        <v>7498</v>
      </c>
      <c r="E1711" s="1" t="s">
        <v>7499</v>
      </c>
      <c r="F1711" s="4" t="s">
        <v>17</v>
      </c>
      <c r="G1711" s="1" t="s">
        <v>18</v>
      </c>
      <c r="H1711" s="1" t="s">
        <v>19</v>
      </c>
      <c r="I1711" s="1" t="s">
        <v>20</v>
      </c>
      <c r="J1711" s="1" t="s">
        <v>7500</v>
      </c>
      <c r="K1711" s="1" t="s">
        <v>22</v>
      </c>
      <c r="L1711" s="1" t="str">
        <f>HYPERLINK("https://files.afu.se/Downloads/Transcripts/0%20-%20Government/USA%20-%20NASA%20Johnson/2014 08 25 - NASA Johnson - Space Station Live  Observing Earth Winds from Space_hsFpnT-0Ux0 - transcript (automated).pdf","Transcript Link")</f>
        <v>Transcript Link</v>
      </c>
      <c r="M1711" s="2" t="str">
        <f>HYPERLINK("https://files.afu.se/Downloads/Transcripts/0%20-%20Government/USA%20-%20NASA%20Johnson/2014 08 25 - NASA Johnson - Space Station Live  Observing Earth Winds from Space_hsFpnT-0Ux0 - transcript (automated).pdf","Transcript Link")</f>
        <v>Transcript Link</v>
      </c>
    </row>
    <row r="1712" ht="180" spans="1:13">
      <c r="A1712" s="1" t="s">
        <v>7501</v>
      </c>
      <c r="B1712" s="1" t="s">
        <v>13</v>
      </c>
      <c r="C1712" s="4" t="s">
        <v>7502</v>
      </c>
      <c r="D1712" s="1" t="s">
        <v>7503</v>
      </c>
      <c r="E1712" s="1" t="s">
        <v>7504</v>
      </c>
      <c r="F1712" s="4" t="s">
        <v>17</v>
      </c>
      <c r="G1712" s="1" t="s">
        <v>18</v>
      </c>
      <c r="H1712" s="1" t="s">
        <v>19</v>
      </c>
      <c r="I1712" s="1" t="s">
        <v>20</v>
      </c>
      <c r="J1712" s="1" t="s">
        <v>7505</v>
      </c>
      <c r="K1712" s="1" t="s">
        <v>22</v>
      </c>
      <c r="L1712" s="1" t="str">
        <f>HYPERLINK("https://files.afu.se/Downloads/Transcripts/0%20-%20Government/USA%20-%20NASA%20Johnson/2014 08 22 - NASA Johnson - One Direction's Niall Horan Says %23ImOnBoard_I2_RYliE8uI - transcript (automated).pdf","Transcript Link")</f>
        <v>Transcript Link</v>
      </c>
      <c r="M1712" s="2" t="str">
        <f>HYPERLINK("https://files.afu.se/Downloads/Transcripts/0%20-%20Government/USA%20-%20NASA%20Johnson/2014 08 22 - NASA Johnson - One Direction's Niall Horan Says %23ImOnBoard_I2_RYliE8uI - transcript (automated).pdf","Transcript Link")</f>
        <v>Transcript Link</v>
      </c>
    </row>
    <row r="1713" ht="180" spans="1:13">
      <c r="A1713" s="1" t="s">
        <v>7501</v>
      </c>
      <c r="B1713" s="1" t="s">
        <v>13</v>
      </c>
      <c r="C1713" s="4" t="s">
        <v>7506</v>
      </c>
      <c r="D1713" s="1" t="s">
        <v>7507</v>
      </c>
      <c r="E1713" s="1" t="s">
        <v>5059</v>
      </c>
      <c r="F1713" s="4" t="s">
        <v>17</v>
      </c>
      <c r="G1713" s="1" t="s">
        <v>18</v>
      </c>
      <c r="H1713" s="1" t="s">
        <v>19</v>
      </c>
      <c r="I1713" s="1" t="s">
        <v>20</v>
      </c>
      <c r="J1713" s="1" t="s">
        <v>7508</v>
      </c>
      <c r="K1713" s="1" t="s">
        <v>22</v>
      </c>
      <c r="L1713" s="1" t="str">
        <f>HYPERLINK("https://files.afu.se/Downloads/Transcripts/0%20-%20Government/USA%20-%20NASA%20Johnson/2014 08 22 - NASA Johnson - Space to Ground  Stepping Out  8 22 14__SAuno-NmcI - transcript (automated).pdf","Transcript Link")</f>
        <v>Transcript Link</v>
      </c>
      <c r="M1713" s="2" t="str">
        <f>HYPERLINK("https://files.afu.se/Downloads/Transcripts/0%20-%20Government/USA%20-%20NASA%20Johnson/2014 08 22 - NASA Johnson - Space to Ground  Stepping Out  8 22 14__SAuno-NmcI - transcript (automated).pdf","Transcript Link")</f>
        <v>Transcript Link</v>
      </c>
    </row>
    <row r="1714" ht="180" spans="1:13">
      <c r="A1714" s="1" t="s">
        <v>7509</v>
      </c>
      <c r="B1714" s="1" t="s">
        <v>13</v>
      </c>
      <c r="C1714" s="4" t="s">
        <v>7510</v>
      </c>
      <c r="D1714" s="1" t="s">
        <v>7511</v>
      </c>
      <c r="E1714" s="1" t="s">
        <v>7512</v>
      </c>
      <c r="F1714" s="4" t="s">
        <v>17</v>
      </c>
      <c r="G1714" s="1" t="s">
        <v>18</v>
      </c>
      <c r="H1714" s="1" t="s">
        <v>19</v>
      </c>
      <c r="I1714" s="1" t="s">
        <v>20</v>
      </c>
      <c r="J1714" s="1" t="s">
        <v>7513</v>
      </c>
      <c r="K1714" s="1" t="s">
        <v>22</v>
      </c>
      <c r="L1714" s="1" t="str">
        <f>HYPERLINK("https://files.afu.se/Downloads/Transcripts/0%20-%20Government/USA%20-%20NASA%20Johnson/2014 08 21 - NASA Johnson - Space Station Live  What's Next for Robotic Refueling Mission_haX1erwHkXc - transcript (automated).pdf","Transcript Link")</f>
        <v>Transcript Link</v>
      </c>
      <c r="M1714" s="2" t="str">
        <f>HYPERLINK("https://files.afu.se/Downloads/Transcripts/0%20-%20Government/USA%20-%20NASA%20Johnson/2014 08 21 - NASA Johnson - Space Station Live  What's Next for Robotic Refueling Mission_haX1erwHkXc - transcript (automated).pdf","Transcript Link")</f>
        <v>Transcript Link</v>
      </c>
    </row>
    <row r="1715" ht="409.5" spans="1:13">
      <c r="A1715" s="1" t="s">
        <v>7509</v>
      </c>
      <c r="B1715" s="1" t="s">
        <v>13</v>
      </c>
      <c r="C1715" s="4" t="s">
        <v>7514</v>
      </c>
      <c r="D1715" s="1" t="s">
        <v>7515</v>
      </c>
      <c r="E1715" s="1" t="s">
        <v>7516</v>
      </c>
      <c r="F1715" s="4" t="s">
        <v>17</v>
      </c>
      <c r="G1715" s="1" t="s">
        <v>18</v>
      </c>
      <c r="H1715" s="1" t="s">
        <v>19</v>
      </c>
      <c r="I1715" s="1" t="s">
        <v>20</v>
      </c>
      <c r="J1715" s="1" t="s">
        <v>7517</v>
      </c>
      <c r="K1715" s="1" t="s">
        <v>22</v>
      </c>
      <c r="L1715" s="1" t="str">
        <f>HYPERLINK("https://files.afu.se/Downloads/Transcripts/0%20-%20Government/USA%20-%20NASA%20Johnson/2014 08 21 - NASA Johnson - Amazing Flame Comes to Life in Space Station Microgravity Combustion Science_qQQ1OHW1_F4 - transcript (automated).pdf","Transcript Link")</f>
        <v>Transcript Link</v>
      </c>
      <c r="M1715" s="2" t="str">
        <f>HYPERLINK("https://files.afu.se/Downloads/Transcripts/0%20-%20Government/USA%20-%20NASA%20Johnson/2014 08 21 - NASA Johnson - Amazing Flame Comes to Life in Space Station Microgravity Combustion Science_qQQ1OHW1_F4 - transcript (automated).pdf","Transcript Link")</f>
        <v>Transcript Link</v>
      </c>
    </row>
    <row r="1716" ht="390" spans="1:13">
      <c r="A1716" s="1" t="s">
        <v>7518</v>
      </c>
      <c r="B1716" s="1" t="s">
        <v>13</v>
      </c>
      <c r="C1716" s="4" t="s">
        <v>7519</v>
      </c>
      <c r="D1716" s="1" t="s">
        <v>7520</v>
      </c>
      <c r="E1716" s="1" t="s">
        <v>7521</v>
      </c>
      <c r="F1716" s="4" t="s">
        <v>17</v>
      </c>
      <c r="G1716" s="1" t="s">
        <v>18</v>
      </c>
      <c r="H1716" s="1" t="s">
        <v>19</v>
      </c>
      <c r="I1716" s="1" t="s">
        <v>20</v>
      </c>
      <c r="J1716" s="1" t="s">
        <v>7522</v>
      </c>
      <c r="K1716" s="1" t="s">
        <v>22</v>
      </c>
      <c r="L1716" s="1" t="str">
        <f>HYPERLINK("https://files.afu.se/Downloads/Transcripts/0%20-%20Government/USA%20-%20NASA%20Johnson/2014 08 20 - NASA Johnson - The Mission is Simple  Mars_1VyPkzP9S-s - transcript (automated).pdf","Transcript Link")</f>
        <v>Transcript Link</v>
      </c>
      <c r="M1716" s="2" t="str">
        <f>HYPERLINK("https://files.afu.se/Downloads/Transcripts/0%20-%20Government/USA%20-%20NASA%20Johnson/2014 08 20 - NASA Johnson - The Mission is Simple  Mars_1VyPkzP9S-s - transcript (automated).pdf","Transcript Link")</f>
        <v>Transcript Link</v>
      </c>
    </row>
    <row r="1717" ht="180" spans="1:13">
      <c r="A1717" s="1" t="s">
        <v>7518</v>
      </c>
      <c r="B1717" s="1" t="s">
        <v>13</v>
      </c>
      <c r="C1717" s="4" t="s">
        <v>7523</v>
      </c>
      <c r="D1717" s="1" t="s">
        <v>7524</v>
      </c>
      <c r="E1717" s="1" t="s">
        <v>7525</v>
      </c>
      <c r="F1717" s="4" t="s">
        <v>17</v>
      </c>
      <c r="G1717" s="1" t="s">
        <v>18</v>
      </c>
      <c r="H1717" s="1" t="s">
        <v>19</v>
      </c>
      <c r="I1717" s="1" t="s">
        <v>20</v>
      </c>
      <c r="J1717" s="1" t="s">
        <v>7526</v>
      </c>
      <c r="K1717" s="1" t="s">
        <v>22</v>
      </c>
      <c r="L1717" s="1" t="str">
        <f>HYPERLINK("https://files.afu.se/Downloads/Transcripts/0%20-%20Government/USA%20-%20NASA%20Johnson/2014 08 20 - NASA Johnson - Space Station Live  Joystick Puts Astronauts in Touch With Telerobotics_8EjaBhwZmJ0 - transcript (automated).pdf","Transcript Link")</f>
        <v>Transcript Link</v>
      </c>
      <c r="M1717" s="2" t="str">
        <f>HYPERLINK("https://files.afu.se/Downloads/Transcripts/0%20-%20Government/USA%20-%20NASA%20Johnson/2014 08 20 - NASA Johnson - Space Station Live  Joystick Puts Astronauts in Touch With Telerobotics_8EjaBhwZmJ0 - transcript (automated).pdf","Transcript Link")</f>
        <v>Transcript Link</v>
      </c>
    </row>
    <row r="1718" ht="180" spans="1:13">
      <c r="A1718" s="1" t="s">
        <v>7527</v>
      </c>
      <c r="B1718" s="1" t="s">
        <v>13</v>
      </c>
      <c r="C1718" s="4" t="s">
        <v>7528</v>
      </c>
      <c r="D1718" s="1" t="s">
        <v>7529</v>
      </c>
      <c r="E1718" s="1" t="s">
        <v>6850</v>
      </c>
      <c r="F1718" s="4" t="s">
        <v>17</v>
      </c>
      <c r="G1718" s="1" t="s">
        <v>18</v>
      </c>
      <c r="H1718" s="1" t="s">
        <v>19</v>
      </c>
      <c r="I1718" s="1" t="s">
        <v>20</v>
      </c>
      <c r="J1718" s="1" t="s">
        <v>7530</v>
      </c>
      <c r="K1718" s="1" t="s">
        <v>22</v>
      </c>
      <c r="L1718" s="1" t="str">
        <f>HYPERLINK("https://files.afu.se/Downloads/Transcripts/0%20-%20Government/USA%20-%20NASA%20Johnson/2014 08 18 - NASA Johnson - Monthly ISS Research Video Update for July 2014_DVnhSquA9no - transcript (automated).pdf","Transcript Link")</f>
        <v>Transcript Link</v>
      </c>
      <c r="M1718" s="2" t="str">
        <f>HYPERLINK("https://files.afu.se/Downloads/Transcripts/0%20-%20Government/USA%20-%20NASA%20Johnson/2014 08 18 - NASA Johnson - Monthly ISS Research Video Update for July 2014_DVnhSquA9no - transcript (automated).pdf","Transcript Link")</f>
        <v>Transcript Link</v>
      </c>
    </row>
    <row r="1719" ht="180" spans="1:13">
      <c r="A1719" s="1" t="s">
        <v>7527</v>
      </c>
      <c r="B1719" s="1" t="s">
        <v>13</v>
      </c>
      <c r="C1719" s="4" t="s">
        <v>7531</v>
      </c>
      <c r="D1719" s="1" t="s">
        <v>7532</v>
      </c>
      <c r="E1719" s="1" t="s">
        <v>7533</v>
      </c>
      <c r="F1719" s="4" t="s">
        <v>17</v>
      </c>
      <c r="G1719" s="1" t="s">
        <v>18</v>
      </c>
      <c r="H1719" s="1" t="s">
        <v>19</v>
      </c>
      <c r="I1719" s="1" t="s">
        <v>20</v>
      </c>
      <c r="J1719" s="1" t="s">
        <v>7534</v>
      </c>
      <c r="K1719" s="1" t="s">
        <v>22</v>
      </c>
      <c r="L1719" s="1" t="str">
        <f>HYPERLINK("https://files.afu.se/Downloads/Transcripts/0%20-%20Government/USA%20-%20NASA%20Johnson/2014 08 18 - NASA Johnson - Student Experiments on the Space Station_4q-vzeFwqIw - transcript (automated).pdf","Transcript Link")</f>
        <v>Transcript Link</v>
      </c>
      <c r="M1719" s="2" t="str">
        <f>HYPERLINK("https://files.afu.se/Downloads/Transcripts/0%20-%20Government/USA%20-%20NASA%20Johnson/2014 08 18 - NASA Johnson - Student Experiments on the Space Station_4q-vzeFwqIw - transcript (automated).pdf","Transcript Link")</f>
        <v>Transcript Link</v>
      </c>
    </row>
    <row r="1720" ht="180" spans="1:13">
      <c r="A1720" s="1" t="s">
        <v>7527</v>
      </c>
      <c r="B1720" s="1" t="s">
        <v>13</v>
      </c>
      <c r="C1720" s="4" t="s">
        <v>7535</v>
      </c>
      <c r="D1720" s="1" t="s">
        <v>7536</v>
      </c>
      <c r="E1720" s="1" t="s">
        <v>7537</v>
      </c>
      <c r="F1720" s="4" t="s">
        <v>17</v>
      </c>
      <c r="G1720" s="1" t="s">
        <v>18</v>
      </c>
      <c r="H1720" s="1" t="s">
        <v>19</v>
      </c>
      <c r="I1720" s="1" t="s">
        <v>20</v>
      </c>
      <c r="J1720" s="1" t="s">
        <v>7538</v>
      </c>
      <c r="K1720" s="1" t="s">
        <v>22</v>
      </c>
      <c r="L1720" s="1" t="str">
        <f>HYPERLINK("https://files.afu.se/Downloads/Transcripts/0%20-%20Government/USA%20-%20NASA%20Johnson/2014 08 18 - NASA Johnson - Preparing America for Deep Space Exploration  Episode 7_Ln4956Wx65E - transcript (automated).pdf","Transcript Link")</f>
        <v>Transcript Link</v>
      </c>
      <c r="M1720" s="2" t="str">
        <f>HYPERLINK("https://files.afu.se/Downloads/Transcripts/0%20-%20Government/USA%20-%20NASA%20Johnson/2014 08 18 - NASA Johnson - Preparing America for Deep Space Exploration  Episode 7_Ln4956Wx65E - transcript (automated).pdf","Transcript Link")</f>
        <v>Transcript Link</v>
      </c>
    </row>
    <row r="1721" ht="180" spans="1:13">
      <c r="A1721" s="1" t="s">
        <v>7539</v>
      </c>
      <c r="B1721" s="1" t="s">
        <v>13</v>
      </c>
      <c r="C1721" s="4" t="s">
        <v>7540</v>
      </c>
      <c r="D1721" s="1" t="s">
        <v>7541</v>
      </c>
      <c r="E1721" s="1" t="s">
        <v>5059</v>
      </c>
      <c r="F1721" s="4" t="s">
        <v>17</v>
      </c>
      <c r="G1721" s="1" t="s">
        <v>18</v>
      </c>
      <c r="H1721" s="1" t="s">
        <v>19</v>
      </c>
      <c r="I1721" s="1" t="s">
        <v>20</v>
      </c>
      <c r="J1721" s="1" t="s">
        <v>7542</v>
      </c>
      <c r="K1721" s="1" t="s">
        <v>22</v>
      </c>
      <c r="L1721" s="1" t="str">
        <f>HYPERLINK("https://files.afu.se/Downloads/Transcripts/0%20-%20Government/USA%20-%20NASA%20Johnson/2014 08 15 - NASA Johnson - Space to Ground  Hello Georges  8 15 14_BbAxZoIeznI - transcript (automated).pdf","Transcript Link")</f>
        <v>Transcript Link</v>
      </c>
      <c r="M1721" s="2" t="str">
        <f>HYPERLINK("https://files.afu.se/Downloads/Transcripts/0%20-%20Government/USA%20-%20NASA%20Johnson/2014 08 15 - NASA Johnson - Space to Ground  Hello Georges  8 15 14_BbAxZoIeznI - transcript (automated).pdf","Transcript Link")</f>
        <v>Transcript Link</v>
      </c>
    </row>
    <row r="1722" ht="180" spans="1:13">
      <c r="A1722" s="1" t="s">
        <v>7543</v>
      </c>
      <c r="B1722" s="1" t="s">
        <v>13</v>
      </c>
      <c r="C1722" s="4" t="s">
        <v>7544</v>
      </c>
      <c r="D1722" s="1" t="s">
        <v>7545</v>
      </c>
      <c r="E1722" s="1" t="s">
        <v>7546</v>
      </c>
      <c r="F1722" s="4" t="s">
        <v>17</v>
      </c>
      <c r="G1722" s="1" t="s">
        <v>18</v>
      </c>
      <c r="H1722" s="1" t="s">
        <v>19</v>
      </c>
      <c r="I1722" s="1" t="s">
        <v>20</v>
      </c>
      <c r="J1722" s="1" t="s">
        <v>7547</v>
      </c>
      <c r="K1722" s="1" t="s">
        <v>22</v>
      </c>
      <c r="L1722" s="1" t="str">
        <f>HYPERLINK("https://files.afu.se/Downloads/Transcripts/0%20-%20Government/USA%20-%20NASA%20Johnson/2014 08 14 - NASA Johnson - Preview of Aug. 18 Station Spacewalk_lD4DfF7Kjgw - transcript (automated).pdf","Transcript Link")</f>
        <v>Transcript Link</v>
      </c>
      <c r="M1722" s="2" t="str">
        <f>HYPERLINK("https://files.afu.se/Downloads/Transcripts/0%20-%20Government/USA%20-%20NASA%20Johnson/2014 08 14 - NASA Johnson - Preview of Aug. 18 Station Spacewalk_lD4DfF7Kjgw - transcript (automated).pdf","Transcript Link")</f>
        <v>Transcript Link</v>
      </c>
    </row>
    <row r="1723" ht="180" spans="1:13">
      <c r="A1723" s="1" t="s">
        <v>7548</v>
      </c>
      <c r="B1723" s="1" t="s">
        <v>13</v>
      </c>
      <c r="C1723" s="4" t="s">
        <v>7549</v>
      </c>
      <c r="D1723" s="1" t="s">
        <v>7550</v>
      </c>
      <c r="E1723" s="1" t="s">
        <v>7551</v>
      </c>
      <c r="F1723" s="4" t="s">
        <v>17</v>
      </c>
      <c r="G1723" s="1" t="s">
        <v>18</v>
      </c>
      <c r="H1723" s="1" t="s">
        <v>19</v>
      </c>
      <c r="I1723" s="1" t="s">
        <v>20</v>
      </c>
      <c r="J1723" s="1" t="s">
        <v>7552</v>
      </c>
      <c r="K1723" s="1" t="s">
        <v>22</v>
      </c>
      <c r="L1723" s="1" t="str">
        <f>HYPERLINK("https://files.afu.se/Downloads/Transcripts/0%20-%20Government/USA%20-%20NASA%20Johnson/2014 08 13 - NASA Johnson - Space Station Live  HUNCH Extreme Science_bSAtztj37hM - transcript (automated).pdf","Transcript Link")</f>
        <v>Transcript Link</v>
      </c>
      <c r="M1723" s="2" t="str">
        <f>HYPERLINK("https://files.afu.se/Downloads/Transcripts/0%20-%20Government/USA%20-%20NASA%20Johnson/2014 08 13 - NASA Johnson - Space Station Live  HUNCH Extreme Science_bSAtztj37hM - transcript (automated).pdf","Transcript Link")</f>
        <v>Transcript Link</v>
      </c>
    </row>
    <row r="1724" ht="195" spans="1:13">
      <c r="A1724" s="1" t="s">
        <v>7553</v>
      </c>
      <c r="B1724" s="1" t="s">
        <v>13</v>
      </c>
      <c r="C1724" s="4" t="s">
        <v>7554</v>
      </c>
      <c r="D1724" s="1" t="s">
        <v>7555</v>
      </c>
      <c r="E1724" s="1" t="s">
        <v>7556</v>
      </c>
      <c r="F1724" s="4" t="s">
        <v>17</v>
      </c>
      <c r="G1724" s="1" t="s">
        <v>18</v>
      </c>
      <c r="H1724" s="1" t="s">
        <v>19</v>
      </c>
      <c r="I1724" s="1" t="s">
        <v>20</v>
      </c>
      <c r="J1724" s="1" t="s">
        <v>7557</v>
      </c>
      <c r="K1724" s="1" t="s">
        <v>22</v>
      </c>
      <c r="L1724" s="1" t="str">
        <f>HYPERLINK("https://files.afu.se/Downloads/Transcripts/0%20-%20Government/USA%20-%20NASA%20Johnson/2014 08 12 - NASA Johnson - STS-26 Wakeup Call  Robin Williams and Space Shuttle Discovery_S7WJtQYU8i4 - transcript (automated).pdf","Transcript Link")</f>
        <v>Transcript Link</v>
      </c>
      <c r="M1724" s="2" t="str">
        <f>HYPERLINK("https://files.afu.se/Downloads/Transcripts/0%20-%20Government/USA%20-%20NASA%20Johnson/2014 08 12 - NASA Johnson - STS-26 Wakeup Call  Robin Williams and Space Shuttle Discovery_S7WJtQYU8i4 - transcript (automated).pdf","Transcript Link")</f>
        <v>Transcript Link</v>
      </c>
    </row>
    <row r="1725" ht="180" spans="1:13">
      <c r="A1725" s="1" t="s">
        <v>7553</v>
      </c>
      <c r="B1725" s="1" t="s">
        <v>13</v>
      </c>
      <c r="C1725" s="4" t="s">
        <v>7558</v>
      </c>
      <c r="D1725" s="1" t="s">
        <v>7559</v>
      </c>
      <c r="E1725" s="1" t="s">
        <v>7560</v>
      </c>
      <c r="F1725" s="4" t="s">
        <v>17</v>
      </c>
      <c r="G1725" s="1" t="s">
        <v>18</v>
      </c>
      <c r="H1725" s="1" t="s">
        <v>19</v>
      </c>
      <c r="I1725" s="1" t="s">
        <v>20</v>
      </c>
      <c r="J1725" s="1" t="s">
        <v>7561</v>
      </c>
      <c r="K1725" s="1" t="s">
        <v>22</v>
      </c>
      <c r="L1725" s="1" t="str">
        <f>HYPERLINK("https://files.afu.se/Downloads/Transcripts/0%20-%20Government/USA%20-%20NASA%20Johnson/2014 08 12 - NASA Johnson - Space Station Live  Science for Students_lLcG7bNvbjA - transcript (automated).pdf","Transcript Link")</f>
        <v>Transcript Link</v>
      </c>
      <c r="M1725" s="2" t="str">
        <f>HYPERLINK("https://files.afu.se/Downloads/Transcripts/0%20-%20Government/USA%20-%20NASA%20Johnson/2014 08 12 - NASA Johnson - Space Station Live  Science for Students_lLcG7bNvbjA - transcript (automated).pdf","Transcript Link")</f>
        <v>Transcript Link</v>
      </c>
    </row>
    <row r="1726" ht="180" spans="1:13">
      <c r="A1726" s="1" t="s">
        <v>7562</v>
      </c>
      <c r="B1726" s="1" t="s">
        <v>13</v>
      </c>
      <c r="C1726" s="4" t="s">
        <v>7563</v>
      </c>
      <c r="D1726" s="1" t="s">
        <v>7564</v>
      </c>
      <c r="E1726" s="1" t="s">
        <v>7537</v>
      </c>
      <c r="F1726" s="4" t="s">
        <v>17</v>
      </c>
      <c r="G1726" s="1" t="s">
        <v>18</v>
      </c>
      <c r="H1726" s="1" t="s">
        <v>19</v>
      </c>
      <c r="I1726" s="1" t="s">
        <v>20</v>
      </c>
      <c r="J1726" s="1" t="s">
        <v>7565</v>
      </c>
      <c r="K1726" s="1" t="s">
        <v>22</v>
      </c>
      <c r="L1726" s="1" t="str">
        <f>HYPERLINK("https://files.afu.se/Downloads/Transcripts/0%20-%20Government/USA%20-%20NASA%20Johnson/2014 08 11 - NASA Johnson - Preparing America for Deep Space Exploration  Episode 7 Music Video_Xzz9bWwcg3g - transcript (automated).pdf","Transcript Link")</f>
        <v>Transcript Link</v>
      </c>
      <c r="M1726" s="2" t="str">
        <f>HYPERLINK("https://files.afu.se/Downloads/Transcripts/0%20-%20Government/USA%20-%20NASA%20Johnson/2014 08 11 - NASA Johnson - Preparing America for Deep Space Exploration  Episode 7 Music Video_Xzz9bWwcg3g - transcript (automated).pdf","Transcript Link")</f>
        <v>Transcript Link</v>
      </c>
    </row>
    <row r="1727" ht="330" spans="1:13">
      <c r="A1727" s="1" t="s">
        <v>7566</v>
      </c>
      <c r="B1727" s="1" t="s">
        <v>13</v>
      </c>
      <c r="C1727" s="4" t="s">
        <v>7567</v>
      </c>
      <c r="D1727" s="1" t="s">
        <v>7568</v>
      </c>
      <c r="E1727" s="1" t="s">
        <v>7569</v>
      </c>
      <c r="F1727" s="4" t="s">
        <v>17</v>
      </c>
      <c r="G1727" s="1" t="s">
        <v>18</v>
      </c>
      <c r="H1727" s="1" t="s">
        <v>19</v>
      </c>
      <c r="I1727" s="1" t="s">
        <v>20</v>
      </c>
      <c r="J1727" s="1" t="s">
        <v>7570</v>
      </c>
      <c r="K1727" s="1" t="s">
        <v>22</v>
      </c>
      <c r="L1727" s="1" t="str">
        <f>HYPERLINK("https://files.afu.se/Downloads/Transcripts/0%20-%20Government/USA%20-%20NASA%20Johnson/2014 08 08 - NASA Johnson - Robo-Glove &amp; NASA Technology Licensing Opportunities_bs2zTC0FoS8 - transcript (automated).pdf","Transcript Link")</f>
        <v>Transcript Link</v>
      </c>
      <c r="M1727" s="2" t="str">
        <f>HYPERLINK("https://files.afu.se/Downloads/Transcripts/0%20-%20Government/USA%20-%20NASA%20Johnson/2014 08 08 - NASA Johnson - Robo-Glove &amp; NASA Technology Licensing Opportunities_bs2zTC0FoS8 - transcript (automated).pdf","Transcript Link")</f>
        <v>Transcript Link</v>
      </c>
    </row>
    <row r="1728" ht="180" spans="1:13">
      <c r="A1728" s="1" t="s">
        <v>7566</v>
      </c>
      <c r="B1728" s="1" t="s">
        <v>13</v>
      </c>
      <c r="C1728" s="4" t="s">
        <v>7571</v>
      </c>
      <c r="D1728" s="1" t="s">
        <v>7572</v>
      </c>
      <c r="E1728" s="1" t="s">
        <v>5059</v>
      </c>
      <c r="F1728" s="4" t="s">
        <v>17</v>
      </c>
      <c r="G1728" s="1" t="s">
        <v>18</v>
      </c>
      <c r="H1728" s="1" t="s">
        <v>19</v>
      </c>
      <c r="I1728" s="1" t="s">
        <v>20</v>
      </c>
      <c r="J1728" s="1" t="s">
        <v>7573</v>
      </c>
      <c r="K1728" s="1" t="s">
        <v>22</v>
      </c>
      <c r="L1728" s="1" t="str">
        <f>HYPERLINK("https://files.afu.se/Downloads/Transcripts/0%20-%20Government/USA%20-%20NASA%20Johnson/2014 08 08 - NASA Johnson - Space to Ground  Looking Down  8 8 14_Cz8qVeNmcw0 - transcript (automated).pdf","Transcript Link")</f>
        <v>Transcript Link</v>
      </c>
      <c r="M1728" s="2" t="str">
        <f>HYPERLINK("https://files.afu.se/Downloads/Transcripts/0%20-%20Government/USA%20-%20NASA%20Johnson/2014 08 08 - NASA Johnson - Space to Ground  Looking Down  8 8 14_Cz8qVeNmcw0 - transcript (automated).pdf","Transcript Link")</f>
        <v>Transcript Link</v>
      </c>
    </row>
    <row r="1729" ht="180" spans="1:13">
      <c r="A1729" s="1" t="s">
        <v>7574</v>
      </c>
      <c r="B1729" s="1" t="s">
        <v>13</v>
      </c>
      <c r="C1729" s="4" t="s">
        <v>7575</v>
      </c>
      <c r="D1729" s="1" t="s">
        <v>7576</v>
      </c>
      <c r="E1729" s="1" t="s">
        <v>7577</v>
      </c>
      <c r="F1729" s="4" t="s">
        <v>17</v>
      </c>
      <c r="G1729" s="1" t="s">
        <v>18</v>
      </c>
      <c r="H1729" s="1" t="s">
        <v>19</v>
      </c>
      <c r="I1729" s="1" t="s">
        <v>20</v>
      </c>
      <c r="J1729" s="1" t="s">
        <v>7578</v>
      </c>
      <c r="K1729" s="1" t="s">
        <v>22</v>
      </c>
      <c r="L1729" s="1" t="str">
        <f>HYPERLINK("https://files.afu.se/Downloads/Transcripts/0%20-%20Government/USA%20-%20NASA%20Johnson/2014 08 07 - NASA Johnson - Shuttle Replica’s Emblems Revealed at Space Center Houston_raLFLiap4vA - transcript (automated).pdf","Transcript Link")</f>
        <v>Transcript Link</v>
      </c>
      <c r="M1729" s="2" t="str">
        <f>HYPERLINK("https://files.afu.se/Downloads/Transcripts/0%20-%20Government/USA%20-%20NASA%20Johnson/2014 08 07 - NASA Johnson - Shuttle Replica’s Emblems Revealed at Space Center Houston_raLFLiap4vA - transcript (automated).pdf","Transcript Link")</f>
        <v>Transcript Link</v>
      </c>
    </row>
    <row r="1730" ht="180" spans="1:13">
      <c r="A1730" s="1" t="s">
        <v>7579</v>
      </c>
      <c r="B1730" s="1" t="s">
        <v>13</v>
      </c>
      <c r="C1730" s="4" t="s">
        <v>7580</v>
      </c>
      <c r="D1730" s="1" t="s">
        <v>7581</v>
      </c>
      <c r="E1730" s="1" t="s">
        <v>7582</v>
      </c>
      <c r="F1730" s="4" t="s">
        <v>17</v>
      </c>
      <c r="G1730" s="1" t="s">
        <v>18</v>
      </c>
      <c r="H1730" s="1" t="s">
        <v>19</v>
      </c>
      <c r="I1730" s="1" t="s">
        <v>20</v>
      </c>
      <c r="J1730" s="1" t="s">
        <v>7583</v>
      </c>
      <c r="K1730" s="1" t="s">
        <v>22</v>
      </c>
      <c r="L1730" s="1" t="str">
        <f>HYPERLINK("https://files.afu.se/Downloads/Transcripts/0%20-%20Government/USA%20-%20NASA%20Johnson/2014 08 06 - NASA Johnson - Space Station Live  Europe's ATV-5 Heading to Station_GegxWRMH5Zk - transcript (automated).pdf","Transcript Link")</f>
        <v>Transcript Link</v>
      </c>
      <c r="M1730" s="2" t="str">
        <f>HYPERLINK("https://files.afu.se/Downloads/Transcripts/0%20-%20Government/USA%20-%20NASA%20Johnson/2014 08 06 - NASA Johnson - Space Station Live  Europe's ATV-5 Heading to Station_GegxWRMH5Zk - transcript (automated).pdf","Transcript Link")</f>
        <v>Transcript Link</v>
      </c>
    </row>
    <row r="1731" ht="180" spans="1:13">
      <c r="A1731" s="1" t="s">
        <v>7579</v>
      </c>
      <c r="B1731" s="1" t="s">
        <v>13</v>
      </c>
      <c r="C1731" s="4" t="s">
        <v>7584</v>
      </c>
      <c r="D1731" s="1" t="s">
        <v>7585</v>
      </c>
      <c r="E1731" s="1" t="s">
        <v>7586</v>
      </c>
      <c r="F1731" s="4" t="s">
        <v>17</v>
      </c>
      <c r="G1731" s="1" t="s">
        <v>18</v>
      </c>
      <c r="H1731" s="1" t="s">
        <v>19</v>
      </c>
      <c r="I1731" s="1" t="s">
        <v>20</v>
      </c>
      <c r="J1731" s="1" t="s">
        <v>7587</v>
      </c>
      <c r="K1731" s="1" t="s">
        <v>22</v>
      </c>
      <c r="L1731" s="1" t="str">
        <f>HYPERLINK("https://files.afu.se/Downloads/Transcripts/0%20-%20Government/USA%20-%20NASA%20Johnson/2014 08 06 - NASA Johnson - Space Station Live  Bone Densitometer_hftkNNjhVQA - transcript (automated).pdf","Transcript Link")</f>
        <v>Transcript Link</v>
      </c>
      <c r="M1731" s="2" t="str">
        <f>HYPERLINK("https://files.afu.se/Downloads/Transcripts/0%20-%20Government/USA%20-%20NASA%20Johnson/2014 08 06 - NASA Johnson - Space Station Live  Bone Densitometer_hftkNNjhVQA - transcript (automated).pdf","Transcript Link")</f>
        <v>Transcript Link</v>
      </c>
    </row>
    <row r="1732" ht="240" spans="1:13">
      <c r="A1732" s="1" t="s">
        <v>7588</v>
      </c>
      <c r="B1732" s="1" t="s">
        <v>13</v>
      </c>
      <c r="C1732" s="4" t="s">
        <v>7589</v>
      </c>
      <c r="D1732" s="1" t="s">
        <v>7590</v>
      </c>
      <c r="E1732" s="1" t="s">
        <v>7591</v>
      </c>
      <c r="F1732" s="4" t="s">
        <v>17</v>
      </c>
      <c r="G1732" s="1" t="s">
        <v>18</v>
      </c>
      <c r="H1732" s="1" t="s">
        <v>19</v>
      </c>
      <c r="I1732" s="1" t="s">
        <v>20</v>
      </c>
      <c r="J1732" s="1" t="s">
        <v>7592</v>
      </c>
      <c r="K1732" s="1" t="s">
        <v>22</v>
      </c>
      <c r="L1732" s="1" t="str">
        <f>HYPERLINK("https://files.afu.se/Downloads/Transcripts/0%20-%20Government/USA%20-%20NASA%20Johnson/2014 08 01 - NASA Johnson - Swanson Runs Relay in Space_Knx4OPUxyQo - transcript (automated).pdf","Transcript Link")</f>
        <v>Transcript Link</v>
      </c>
      <c r="M1732" s="2" t="str">
        <f>HYPERLINK("https://files.afu.se/Downloads/Transcripts/0%20-%20Government/USA%20-%20NASA%20Johnson/2014 08 01 - NASA Johnson - Swanson Runs Relay in Space_Knx4OPUxyQo - transcript (automated).pdf","Transcript Link")</f>
        <v>Transcript Link</v>
      </c>
    </row>
    <row r="1733" ht="180" spans="1:13">
      <c r="A1733" s="1" t="s">
        <v>7588</v>
      </c>
      <c r="B1733" s="1" t="s">
        <v>13</v>
      </c>
      <c r="C1733" s="4" t="s">
        <v>7593</v>
      </c>
      <c r="D1733" s="1" t="s">
        <v>7594</v>
      </c>
      <c r="E1733" s="1" t="s">
        <v>5059</v>
      </c>
      <c r="F1733" s="4" t="s">
        <v>17</v>
      </c>
      <c r="G1733" s="1" t="s">
        <v>18</v>
      </c>
      <c r="H1733" s="1" t="s">
        <v>19</v>
      </c>
      <c r="I1733" s="1" t="s">
        <v>20</v>
      </c>
      <c r="J1733" s="1" t="s">
        <v>7595</v>
      </c>
      <c r="K1733" s="1" t="s">
        <v>22</v>
      </c>
      <c r="L1733" s="1" t="str">
        <f>HYPERLINK("https://files.afu.se/Downloads/Transcripts/0%20-%20Government/USA%20-%20NASA%20Johnson/2014 08 01 - NASA Johnson - Space to Ground  Food, Fuel and Supplies  8 1 14_GmunwLsV9M4 - transcript (automated).pdf","Transcript Link")</f>
        <v>Transcript Link</v>
      </c>
      <c r="M1733" s="2" t="str">
        <f>HYPERLINK("https://files.afu.se/Downloads/Transcripts/0%20-%20Government/USA%20-%20NASA%20Johnson/2014 08 01 - NASA Johnson - Space to Ground  Food, Fuel and Supplies  8 1 14_GmunwLsV9M4 - transcript (automated).pdf","Transcript Link")</f>
        <v>Transcript Link</v>
      </c>
    </row>
    <row r="1734" ht="180" spans="1:13">
      <c r="A1734" s="1" t="s">
        <v>7596</v>
      </c>
      <c r="B1734" s="1" t="s">
        <v>13</v>
      </c>
      <c r="C1734" s="4" t="s">
        <v>7597</v>
      </c>
      <c r="D1734" s="1" t="s">
        <v>7598</v>
      </c>
      <c r="E1734" s="1" t="s">
        <v>7599</v>
      </c>
      <c r="F1734" s="4" t="s">
        <v>17</v>
      </c>
      <c r="G1734" s="1" t="s">
        <v>18</v>
      </c>
      <c r="H1734" s="1" t="s">
        <v>19</v>
      </c>
      <c r="I1734" s="1" t="s">
        <v>20</v>
      </c>
      <c r="J1734" s="1" t="s">
        <v>7600</v>
      </c>
      <c r="K1734" s="1" t="s">
        <v>22</v>
      </c>
      <c r="L1734" s="1" t="str">
        <f>HYPERLINK("https://files.afu.se/Downloads/Transcripts/0%20-%20Government/USA%20-%20NASA%20Johnson/2014 07 31 - NASA Johnson - Space Station Live  Materials Research on Station_gQZYJhSmw7c - transcript (automated).pdf","Transcript Link")</f>
        <v>Transcript Link</v>
      </c>
      <c r="M1734" s="2" t="str">
        <f>HYPERLINK("https://files.afu.se/Downloads/Transcripts/0%20-%20Government/USA%20-%20NASA%20Johnson/2014 07 31 - NASA Johnson - Space Station Live  Materials Research on Station_gQZYJhSmw7c - transcript (automated).pdf","Transcript Link")</f>
        <v>Transcript Link</v>
      </c>
    </row>
    <row r="1735" ht="180" spans="1:13">
      <c r="A1735" s="1" t="s">
        <v>7596</v>
      </c>
      <c r="B1735" s="1" t="s">
        <v>13</v>
      </c>
      <c r="C1735" s="4" t="s">
        <v>7601</v>
      </c>
      <c r="D1735" s="1" t="s">
        <v>7602</v>
      </c>
      <c r="E1735" s="1" t="s">
        <v>7603</v>
      </c>
      <c r="F1735" s="4" t="s">
        <v>17</v>
      </c>
      <c r="G1735" s="1" t="s">
        <v>18</v>
      </c>
      <c r="H1735" s="1" t="s">
        <v>19</v>
      </c>
      <c r="I1735" s="1" t="s">
        <v>20</v>
      </c>
      <c r="J1735" s="1" t="s">
        <v>7604</v>
      </c>
      <c r="K1735" s="1" t="s">
        <v>22</v>
      </c>
      <c r="L1735" s="1" t="str">
        <f>HYPERLINK("https://files.afu.se/Downloads/Transcripts/0%20-%20Government/USA%20-%20NASA%20Johnson/2014 07 31 - NASA Johnson - Space Station Live  Earth Photos from Station_0frkZPC-c0s - transcript (automated).pdf","Transcript Link")</f>
        <v>Transcript Link</v>
      </c>
      <c r="M1735" s="2" t="str">
        <f>HYPERLINK("https://files.afu.se/Downloads/Transcripts/0%20-%20Government/USA%20-%20NASA%20Johnson/2014 07 31 - NASA Johnson - Space Station Live  Earth Photos from Station_0frkZPC-c0s - transcript (automated).pdf","Transcript Link")</f>
        <v>Transcript Link</v>
      </c>
    </row>
    <row r="1736" ht="240" spans="1:13">
      <c r="A1736" s="1" t="s">
        <v>7605</v>
      </c>
      <c r="B1736" s="1" t="s">
        <v>13</v>
      </c>
      <c r="C1736" s="4" t="s">
        <v>7606</v>
      </c>
      <c r="D1736" s="1" t="s">
        <v>7607</v>
      </c>
      <c r="E1736" s="1" t="s">
        <v>7608</v>
      </c>
      <c r="F1736" s="4" t="s">
        <v>17</v>
      </c>
      <c r="G1736" s="1" t="s">
        <v>18</v>
      </c>
      <c r="H1736" s="1" t="s">
        <v>19</v>
      </c>
      <c r="I1736" s="1" t="s">
        <v>20</v>
      </c>
      <c r="J1736" s="1" t="s">
        <v>7609</v>
      </c>
      <c r="K1736" s="1" t="s">
        <v>22</v>
      </c>
      <c r="L1736" s="1" t="str">
        <f>HYPERLINK("https://files.afu.se/Downloads/Transcripts/0%20-%20Government/USA%20-%20NASA%20Johnson/2014 07 28 - NASA Johnson - Space Station Robotics  Installing a New Camera_UWagc3u6Guw - transcript (automated).pdf","Transcript Link")</f>
        <v>Transcript Link</v>
      </c>
      <c r="M1736" s="2" t="str">
        <f>HYPERLINK("https://files.afu.se/Downloads/Transcripts/0%20-%20Government/USA%20-%20NASA%20Johnson/2014 07 28 - NASA Johnson - Space Station Robotics  Installing a New Camera_UWagc3u6Guw - transcript (automated).pdf","Transcript Link")</f>
        <v>Transcript Link</v>
      </c>
    </row>
    <row r="1737" ht="180" spans="1:13">
      <c r="A1737" s="1" t="s">
        <v>7605</v>
      </c>
      <c r="B1737" s="1" t="s">
        <v>13</v>
      </c>
      <c r="C1737" s="4" t="s">
        <v>7610</v>
      </c>
      <c r="D1737" s="1" t="s">
        <v>7611</v>
      </c>
      <c r="E1737" s="1" t="s">
        <v>7612</v>
      </c>
      <c r="F1737" s="4" t="s">
        <v>17</v>
      </c>
      <c r="G1737" s="1" t="s">
        <v>18</v>
      </c>
      <c r="H1737" s="1" t="s">
        <v>19</v>
      </c>
      <c r="I1737" s="1" t="s">
        <v>20</v>
      </c>
      <c r="J1737" s="1" t="s">
        <v>7613</v>
      </c>
      <c r="K1737" s="1" t="s">
        <v>22</v>
      </c>
      <c r="L1737" s="1" t="str">
        <f>HYPERLINK("https://files.afu.se/Downloads/Transcripts/0%20-%20Government/USA%20-%20NASA%20Johnson/2014 07 28 - NASA Johnson - Space Station Live  “Wild West Relay”_oBwgZPKYNA4 - transcript (automated).pdf","Transcript Link")</f>
        <v>Transcript Link</v>
      </c>
      <c r="M1737" s="2" t="str">
        <f>HYPERLINK("https://files.afu.se/Downloads/Transcripts/0%20-%20Government/USA%20-%20NASA%20Johnson/2014 07 28 - NASA Johnson - Space Station Live  “Wild West Relay”_oBwgZPKYNA4 - transcript (automated).pdf","Transcript Link")</f>
        <v>Transcript Link</v>
      </c>
    </row>
    <row r="1738" ht="180" spans="1:13">
      <c r="A1738" s="1" t="s">
        <v>7614</v>
      </c>
      <c r="B1738" s="1" t="s">
        <v>13</v>
      </c>
      <c r="C1738" s="4" t="s">
        <v>7615</v>
      </c>
      <c r="D1738" s="1" t="s">
        <v>7616</v>
      </c>
      <c r="E1738" s="1" t="s">
        <v>7617</v>
      </c>
      <c r="F1738" s="4" t="s">
        <v>17</v>
      </c>
      <c r="G1738" s="1" t="s">
        <v>18</v>
      </c>
      <c r="H1738" s="1" t="s">
        <v>19</v>
      </c>
      <c r="I1738" s="1" t="s">
        <v>20</v>
      </c>
      <c r="J1738" s="1" t="s">
        <v>7618</v>
      </c>
      <c r="K1738" s="1" t="s">
        <v>22</v>
      </c>
      <c r="L1738" s="1" t="str">
        <f>HYPERLINK("https://files.afu.se/Downloads/Transcripts/0%20-%20Government/USA%20-%20NASA%20Johnson/2014 07 25 - NASA Johnson - Space Station Live  NEEMO Aquanaut Mark Vande Hei_zYjtSJVFLlg - transcript (automated).pdf","Transcript Link")</f>
        <v>Transcript Link</v>
      </c>
      <c r="M1738" s="2" t="str">
        <f>HYPERLINK("https://files.afu.se/Downloads/Transcripts/0%20-%20Government/USA%20-%20NASA%20Johnson/2014 07 25 - NASA Johnson - Space Station Live  NEEMO Aquanaut Mark Vande Hei_zYjtSJVFLlg - transcript (automated).pdf","Transcript Link")</f>
        <v>Transcript Link</v>
      </c>
    </row>
    <row r="1739" ht="180" spans="1:13">
      <c r="A1739" s="1" t="s">
        <v>7614</v>
      </c>
      <c r="B1739" s="1" t="s">
        <v>13</v>
      </c>
      <c r="C1739" s="4" t="s">
        <v>7619</v>
      </c>
      <c r="D1739" s="1" t="s">
        <v>7620</v>
      </c>
      <c r="E1739" s="1" t="s">
        <v>5059</v>
      </c>
      <c r="F1739" s="4" t="s">
        <v>17</v>
      </c>
      <c r="G1739" s="1" t="s">
        <v>18</v>
      </c>
      <c r="H1739" s="1" t="s">
        <v>19</v>
      </c>
      <c r="I1739" s="1" t="s">
        <v>20</v>
      </c>
      <c r="J1739" s="1" t="s">
        <v>7621</v>
      </c>
      <c r="K1739" s="1" t="s">
        <v>22</v>
      </c>
      <c r="L1739" s="1" t="str">
        <f>HYPERLINK("https://files.afu.se/Downloads/Transcripts/0%20-%20Government/USA%20-%20NASA%20Johnson/2014 07 25 - NASA Johnson - Space to Ground  Coming and Going  7 25 14_AAEIp74cyUg - transcript (automated).pdf","Transcript Link")</f>
        <v>Transcript Link</v>
      </c>
      <c r="M1739" s="2" t="str">
        <f>HYPERLINK("https://files.afu.se/Downloads/Transcripts/0%20-%20Government/USA%20-%20NASA%20Johnson/2014 07 25 - NASA Johnson - Space to Ground  Coming and Going  7 25 14_AAEIp74cyUg - transcript (automated).pdf","Transcript Link")</f>
        <v>Transcript Link</v>
      </c>
    </row>
    <row r="1740" ht="180" spans="1:13">
      <c r="A1740" s="1" t="s">
        <v>7622</v>
      </c>
      <c r="B1740" s="1" t="s">
        <v>13</v>
      </c>
      <c r="C1740" s="4" t="s">
        <v>7623</v>
      </c>
      <c r="D1740" s="1" t="s">
        <v>7624</v>
      </c>
      <c r="E1740" s="1" t="s">
        <v>7625</v>
      </c>
      <c r="F1740" s="4" t="s">
        <v>17</v>
      </c>
      <c r="G1740" s="1" t="s">
        <v>18</v>
      </c>
      <c r="H1740" s="1" t="s">
        <v>19</v>
      </c>
      <c r="I1740" s="1" t="s">
        <v>20</v>
      </c>
      <c r="J1740" s="1" t="s">
        <v>7626</v>
      </c>
      <c r="K1740" s="1" t="s">
        <v>22</v>
      </c>
      <c r="L1740" s="1" t="str">
        <f>HYPERLINK("https://files.afu.se/Downloads/Transcripts/0%20-%20Government/USA%20-%20NASA%20Johnson/2014 07 24 - NASA Johnson - Space Station Live  Studying Atherosclerosis Risk in Astronauts_TBDXemkdfVM - transcript (automated).pdf","Transcript Link")</f>
        <v>Transcript Link</v>
      </c>
      <c r="M1740" s="2" t="str">
        <f>HYPERLINK("https://files.afu.se/Downloads/Transcripts/0%20-%20Government/USA%20-%20NASA%20Johnson/2014 07 24 - NASA Johnson - Space Station Live  Studying Atherosclerosis Risk in Astronauts_TBDXemkdfVM - transcript (automated).pdf","Transcript Link")</f>
        <v>Transcript Link</v>
      </c>
    </row>
    <row r="1741" ht="180" spans="1:13">
      <c r="A1741" s="1" t="s">
        <v>7627</v>
      </c>
      <c r="B1741" s="1" t="s">
        <v>13</v>
      </c>
      <c r="C1741" s="4" t="s">
        <v>7628</v>
      </c>
      <c r="D1741" s="1" t="s">
        <v>7629</v>
      </c>
      <c r="E1741" s="1" t="s">
        <v>7630</v>
      </c>
      <c r="F1741" s="4" t="s">
        <v>17</v>
      </c>
      <c r="G1741" s="1" t="s">
        <v>18</v>
      </c>
      <c r="H1741" s="1" t="s">
        <v>19</v>
      </c>
      <c r="I1741" s="1" t="s">
        <v>20</v>
      </c>
      <c r="J1741" s="1" t="s">
        <v>7631</v>
      </c>
      <c r="K1741" s="1" t="s">
        <v>22</v>
      </c>
      <c r="L1741" s="1" t="str">
        <f>HYPERLINK("https://files.afu.se/Downloads/Transcripts/0%20-%20Government/USA%20-%20NASA%20Johnson/2014 07 23 - NASA Johnson - Space Station Live  Director of Payload Operations_jV4aY0VtOFk - transcript (automated).pdf","Transcript Link")</f>
        <v>Transcript Link</v>
      </c>
      <c r="M1741" s="2" t="str">
        <f>HYPERLINK("https://files.afu.se/Downloads/Transcripts/0%20-%20Government/USA%20-%20NASA%20Johnson/2014 07 23 - NASA Johnson - Space Station Live  Director of Payload Operations_jV4aY0VtOFk - transcript (automated).pdf","Transcript Link")</f>
        <v>Transcript Link</v>
      </c>
    </row>
    <row r="1742" ht="180" spans="1:13">
      <c r="A1742" s="1" t="s">
        <v>7627</v>
      </c>
      <c r="B1742" s="1" t="s">
        <v>13</v>
      </c>
      <c r="C1742" s="4" t="s">
        <v>7632</v>
      </c>
      <c r="D1742" s="1" t="s">
        <v>7633</v>
      </c>
      <c r="E1742" s="1" t="s">
        <v>7634</v>
      </c>
      <c r="F1742" s="4" t="s">
        <v>17</v>
      </c>
      <c r="G1742" s="1" t="s">
        <v>18</v>
      </c>
      <c r="H1742" s="1" t="s">
        <v>19</v>
      </c>
      <c r="I1742" s="1" t="s">
        <v>20</v>
      </c>
      <c r="J1742" s="1" t="s">
        <v>7635</v>
      </c>
      <c r="K1742" s="1" t="s">
        <v>22</v>
      </c>
      <c r="L1742" s="1" t="str">
        <f>HYPERLINK("https://files.afu.se/Downloads/Transcripts/0%20-%20Government/USA%20-%20NASA%20Johnson/2014 07 23 - NASA Johnson - Space Station Live  NEEMO 18 Aquanaut Jeanette Epps_TJYMfmRLsLc - transcript (automated).pdf","Transcript Link")</f>
        <v>Transcript Link</v>
      </c>
      <c r="M1742" s="2" t="str">
        <f>HYPERLINK("https://files.afu.se/Downloads/Transcripts/0%20-%20Government/USA%20-%20NASA%20Johnson/2014 07 23 - NASA Johnson - Space Station Live  NEEMO 18 Aquanaut Jeanette Epps_TJYMfmRLsLc - transcript (automated).pdf","Transcript Link")</f>
        <v>Transcript Link</v>
      </c>
    </row>
    <row r="1743" ht="180" spans="1:13">
      <c r="A1743" s="1" t="s">
        <v>7636</v>
      </c>
      <c r="B1743" s="1" t="s">
        <v>13</v>
      </c>
      <c r="C1743" s="4" t="s">
        <v>7637</v>
      </c>
      <c r="D1743" s="1" t="s">
        <v>7638</v>
      </c>
      <c r="E1743" s="1" t="s">
        <v>7639</v>
      </c>
      <c r="F1743" s="4" t="s">
        <v>17</v>
      </c>
      <c r="G1743" s="1" t="s">
        <v>18</v>
      </c>
      <c r="H1743" s="1" t="s">
        <v>19</v>
      </c>
      <c r="I1743" s="1" t="s">
        <v>20</v>
      </c>
      <c r="J1743" s="1" t="s">
        <v>7640</v>
      </c>
      <c r="K1743" s="1" t="s">
        <v>22</v>
      </c>
      <c r="L1743" s="1" t="str">
        <f>HYPERLINK("https://files.afu.se/Downloads/Transcripts/0%20-%20Government/USA%20-%20NASA%20Johnson/2014 07 22 - NASA Johnson - Space Station Live  Orion Recovery Training_BEV6PxlIHI4 - transcript (automated).pdf","Transcript Link")</f>
        <v>Transcript Link</v>
      </c>
      <c r="M1743" s="2" t="str">
        <f>HYPERLINK("https://files.afu.se/Downloads/Transcripts/0%20-%20Government/USA%20-%20NASA%20Johnson/2014 07 22 - NASA Johnson - Space Station Live  Orion Recovery Training_BEV6PxlIHI4 - transcript (automated).pdf","Transcript Link")</f>
        <v>Transcript Link</v>
      </c>
    </row>
    <row r="1744" ht="180" spans="1:13">
      <c r="A1744" s="1" t="s">
        <v>7641</v>
      </c>
      <c r="B1744" s="1" t="s">
        <v>13</v>
      </c>
      <c r="C1744" s="4" t="s">
        <v>7642</v>
      </c>
      <c r="D1744" s="1" t="s">
        <v>7643</v>
      </c>
      <c r="E1744" s="1" t="s">
        <v>7644</v>
      </c>
      <c r="F1744" s="4" t="s">
        <v>17</v>
      </c>
      <c r="G1744" s="1" t="s">
        <v>18</v>
      </c>
      <c r="H1744" s="1" t="s">
        <v>19</v>
      </c>
      <c r="I1744" s="1" t="s">
        <v>20</v>
      </c>
      <c r="J1744" s="1" t="s">
        <v>7645</v>
      </c>
      <c r="K1744" s="1" t="s">
        <v>22</v>
      </c>
      <c r="L1744" s="1" t="str">
        <f>HYPERLINK("https://files.afu.se/Downloads/Transcripts/0%20-%20Government/USA%20-%20NASA%20Johnson/2014 07 18 - NASA Johnson - Space Station Live  TechEdSat-4 CubeSat Investigation_divk-K1l7zM - transcript (automated).pdf","Transcript Link")</f>
        <v>Transcript Link</v>
      </c>
      <c r="M1744" s="2" t="str">
        <f>HYPERLINK("https://files.afu.se/Downloads/Transcripts/0%20-%20Government/USA%20-%20NASA%20Johnson/2014 07 18 - NASA Johnson - Space Station Live  TechEdSat-4 CubeSat Investigation_divk-K1l7zM - transcript (automated).pdf","Transcript Link")</f>
        <v>Transcript Link</v>
      </c>
    </row>
    <row r="1745" ht="180" spans="1:13">
      <c r="A1745" s="1" t="s">
        <v>7641</v>
      </c>
      <c r="B1745" s="1" t="s">
        <v>13</v>
      </c>
      <c r="C1745" s="4" t="s">
        <v>7646</v>
      </c>
      <c r="D1745" s="1" t="s">
        <v>7647</v>
      </c>
      <c r="E1745" s="1" t="s">
        <v>7648</v>
      </c>
      <c r="F1745" s="4" t="s">
        <v>17</v>
      </c>
      <c r="G1745" s="1" t="s">
        <v>18</v>
      </c>
      <c r="H1745" s="1" t="s">
        <v>19</v>
      </c>
      <c r="I1745" s="1" t="s">
        <v>20</v>
      </c>
      <c r="J1745" s="1" t="s">
        <v>7649</v>
      </c>
      <c r="K1745" s="1" t="s">
        <v>22</v>
      </c>
      <c r="L1745" s="1" t="str">
        <f>HYPERLINK("https://files.afu.se/Downloads/Transcripts/0%20-%20Government/USA%20-%20NASA%20Johnson/2014 07 18 - NASA Johnson - Space Station Live  Flock of CubeSats to Image Earth_f-8w_U7TwoE - transcript (automated).pdf","Transcript Link")</f>
        <v>Transcript Link</v>
      </c>
      <c r="M1745" s="2" t="str">
        <f>HYPERLINK("https://files.afu.se/Downloads/Transcripts/0%20-%20Government/USA%20-%20NASA%20Johnson/2014 07 18 - NASA Johnson - Space Station Live  Flock of CubeSats to Image Earth_f-8w_U7TwoE - transcript (automated).pdf","Transcript Link")</f>
        <v>Transcript Link</v>
      </c>
    </row>
    <row r="1746" ht="180" spans="1:13">
      <c r="A1746" s="1" t="s">
        <v>7641</v>
      </c>
      <c r="B1746" s="1" t="s">
        <v>13</v>
      </c>
      <c r="C1746" s="4" t="s">
        <v>7650</v>
      </c>
      <c r="D1746" s="1" t="s">
        <v>7651</v>
      </c>
      <c r="E1746" s="1" t="s">
        <v>5059</v>
      </c>
      <c r="F1746" s="4" t="s">
        <v>17</v>
      </c>
      <c r="G1746" s="1" t="s">
        <v>18</v>
      </c>
      <c r="H1746" s="1" t="s">
        <v>19</v>
      </c>
      <c r="I1746" s="1" t="s">
        <v>20</v>
      </c>
      <c r="J1746" s="1" t="s">
        <v>7652</v>
      </c>
      <c r="K1746" s="1" t="s">
        <v>22</v>
      </c>
      <c r="L1746" s="1" t="str">
        <f>HYPERLINK("https://files.afu.se/Downloads/Transcripts/0%20-%20Government/USA%20-%20NASA%20Johnson/2014 07 18 - NASA Johnson - Space to Ground  Special Delivery  7 18 14_rkYIqt1NjfI - transcript (automated).pdf","Transcript Link")</f>
        <v>Transcript Link</v>
      </c>
      <c r="M1746" s="2" t="str">
        <f>HYPERLINK("https://files.afu.se/Downloads/Transcripts/0%20-%20Government/USA%20-%20NASA%20Johnson/2014 07 18 - NASA Johnson - Space to Ground  Special Delivery  7 18 14_rkYIqt1NjfI - transcript (automated).pdf","Transcript Link")</f>
        <v>Transcript Link</v>
      </c>
    </row>
    <row r="1747" ht="180" spans="1:13">
      <c r="A1747" s="1" t="s">
        <v>7653</v>
      </c>
      <c r="B1747" s="1" t="s">
        <v>13</v>
      </c>
      <c r="C1747" s="4" t="s">
        <v>7654</v>
      </c>
      <c r="D1747" s="1" t="s">
        <v>7655</v>
      </c>
      <c r="E1747" s="1" t="s">
        <v>7656</v>
      </c>
      <c r="F1747" s="4" t="s">
        <v>17</v>
      </c>
      <c r="G1747" s="1" t="s">
        <v>18</v>
      </c>
      <c r="H1747" s="1" t="s">
        <v>19</v>
      </c>
      <c r="I1747" s="1" t="s">
        <v>20</v>
      </c>
      <c r="J1747" s="1" t="s">
        <v>7657</v>
      </c>
      <c r="K1747" s="1" t="s">
        <v>22</v>
      </c>
      <c r="L1747" s="1" t="str">
        <f>HYPERLINK("https://files.afu.se/Downloads/Transcripts/0%20-%20Government/USA%20-%20NASA%20Johnson/2014 07 16 - NASA Johnson - Expedition 41 42 Crew Introduction_iVc7WUpB3mc - transcript (automated).pdf","Transcript Link")</f>
        <v>Transcript Link</v>
      </c>
      <c r="M1747" s="2" t="str">
        <f>HYPERLINK("https://files.afu.se/Downloads/Transcripts/0%20-%20Government/USA%20-%20NASA%20Johnson/2014 07 16 - NASA Johnson - Expedition 41 42 Crew Introduction_iVc7WUpB3mc - transcript (automated).pdf","Transcript Link")</f>
        <v>Transcript Link</v>
      </c>
    </row>
    <row r="1748" ht="180" spans="1:13">
      <c r="A1748" s="1" t="s">
        <v>7653</v>
      </c>
      <c r="B1748" s="1" t="s">
        <v>13</v>
      </c>
      <c r="C1748" s="4" t="s">
        <v>7658</v>
      </c>
      <c r="D1748" s="1" t="s">
        <v>7659</v>
      </c>
      <c r="E1748" s="1" t="s">
        <v>7660</v>
      </c>
      <c r="F1748" s="4" t="s">
        <v>17</v>
      </c>
      <c r="G1748" s="1" t="s">
        <v>18</v>
      </c>
      <c r="H1748" s="1" t="s">
        <v>19</v>
      </c>
      <c r="I1748" s="1" t="s">
        <v>20</v>
      </c>
      <c r="J1748" s="1" t="s">
        <v>7661</v>
      </c>
      <c r="K1748" s="1" t="s">
        <v>22</v>
      </c>
      <c r="L1748" s="1" t="str">
        <f>HYPERLINK("https://files.afu.se/Downloads/Transcripts/0%20-%20Government/USA%20-%20NASA%20Johnson/2014 07 16 - NASA Johnson - Space Station Live  Integrated Cardiovascular Experiment_eeQ8L2bu2wc - transcript (automated).pdf","Transcript Link")</f>
        <v>Transcript Link</v>
      </c>
      <c r="M1748" s="2" t="str">
        <f>HYPERLINK("https://files.afu.se/Downloads/Transcripts/0%20-%20Government/USA%20-%20NASA%20Johnson/2014 07 16 - NASA Johnson - Space Station Live  Integrated Cardiovascular Experiment_eeQ8L2bu2wc - transcript (automated).pdf","Transcript Link")</f>
        <v>Transcript Link</v>
      </c>
    </row>
    <row r="1749" ht="195" spans="1:13">
      <c r="A1749" s="1" t="s">
        <v>7653</v>
      </c>
      <c r="B1749" s="1" t="s">
        <v>13</v>
      </c>
      <c r="C1749" s="4" t="s">
        <v>7662</v>
      </c>
      <c r="D1749" s="1" t="s">
        <v>7663</v>
      </c>
      <c r="E1749" s="1" t="s">
        <v>7664</v>
      </c>
      <c r="F1749" s="4" t="s">
        <v>17</v>
      </c>
      <c r="G1749" s="1" t="s">
        <v>18</v>
      </c>
      <c r="H1749" s="1" t="s">
        <v>19</v>
      </c>
      <c r="I1749" s="1" t="s">
        <v>20</v>
      </c>
      <c r="J1749" s="1" t="s">
        <v>7665</v>
      </c>
      <c r="K1749" s="1" t="s">
        <v>22</v>
      </c>
      <c r="L1749" s="1" t="str">
        <f>HYPERLINK("https://files.afu.se/Downloads/Transcripts/0%20-%20Government/USA%20-%20NASA%20Johnson/2014 07 16 - NASA Johnson - High School Aerospace Scholars  A Journey of Discovery_V3HeXYi9Z5Q - transcript (automated).pdf","Transcript Link")</f>
        <v>Transcript Link</v>
      </c>
      <c r="M1749" s="2" t="str">
        <f>HYPERLINK("https://files.afu.se/Downloads/Transcripts/0%20-%20Government/USA%20-%20NASA%20Johnson/2014 07 16 - NASA Johnson - High School Aerospace Scholars  A Journey of Discovery_V3HeXYi9Z5Q - transcript (automated).pdf","Transcript Link")</f>
        <v>Transcript Link</v>
      </c>
    </row>
    <row r="1750" ht="195" spans="1:13">
      <c r="A1750" s="1" t="s">
        <v>7666</v>
      </c>
      <c r="B1750" s="1" t="s">
        <v>13</v>
      </c>
      <c r="C1750" s="4" t="s">
        <v>7667</v>
      </c>
      <c r="D1750" s="1" t="s">
        <v>7668</v>
      </c>
      <c r="E1750" s="1" t="s">
        <v>7669</v>
      </c>
      <c r="F1750" s="4" t="s">
        <v>17</v>
      </c>
      <c r="G1750" s="1" t="s">
        <v>18</v>
      </c>
      <c r="H1750" s="1" t="s">
        <v>19</v>
      </c>
      <c r="I1750" s="1" t="s">
        <v>20</v>
      </c>
      <c r="J1750" s="1" t="s">
        <v>7670</v>
      </c>
      <c r="K1750" s="1" t="s">
        <v>22</v>
      </c>
      <c r="L1750" s="1" t="str">
        <f>HYPERLINK("https://files.afu.se/Downloads/Transcripts/0%20-%20Government/USA%20-%20NASA%20Johnson/2014 07 15 - NASA Johnson - Space Station Live  Orbital-2 Robotics_jLIltGrSGgc - transcript (automated).pdf","Transcript Link")</f>
        <v>Transcript Link</v>
      </c>
      <c r="M1750" s="2" t="str">
        <f>HYPERLINK("https://files.afu.se/Downloads/Transcripts/0%20-%20Government/USA%20-%20NASA%20Johnson/2014 07 15 - NASA Johnson - Space Station Live  Orbital-2 Robotics_jLIltGrSGgc - transcript (automated).pdf","Transcript Link")</f>
        <v>Transcript Link</v>
      </c>
    </row>
    <row r="1751" ht="180" spans="1:13">
      <c r="A1751" s="1" t="s">
        <v>7671</v>
      </c>
      <c r="B1751" s="1" t="s">
        <v>13</v>
      </c>
      <c r="C1751" s="4" t="s">
        <v>7672</v>
      </c>
      <c r="D1751" s="1" t="s">
        <v>7673</v>
      </c>
      <c r="E1751" s="1" t="s">
        <v>7674</v>
      </c>
      <c r="F1751" s="4" t="s">
        <v>17</v>
      </c>
      <c r="G1751" s="1" t="s">
        <v>18</v>
      </c>
      <c r="H1751" s="1" t="s">
        <v>19</v>
      </c>
      <c r="I1751" s="1" t="s">
        <v>20</v>
      </c>
      <c r="J1751" s="1" t="s">
        <v>7675</v>
      </c>
      <c r="K1751" s="1" t="s">
        <v>22</v>
      </c>
      <c r="L1751" s="1" t="str">
        <f>HYPERLINK("https://files.afu.se/Downloads/Transcripts/0%20-%20Government/USA%20-%20NASA%20Johnson/2014 07 11 - NASA Johnson - Space Station Live  Expedition 40 Science_zG0WmhUUdcw - transcript (automated).pdf","Transcript Link")</f>
        <v>Transcript Link</v>
      </c>
      <c r="M1751" s="2" t="str">
        <f>HYPERLINK("https://files.afu.se/Downloads/Transcripts/0%20-%20Government/USA%20-%20NASA%20Johnson/2014 07 11 - NASA Johnson - Space Station Live  Expedition 40 Science_zG0WmhUUdcw - transcript (automated).pdf","Transcript Link")</f>
        <v>Transcript Link</v>
      </c>
    </row>
    <row r="1752" ht="180" spans="1:13">
      <c r="A1752" s="1" t="s">
        <v>7671</v>
      </c>
      <c r="B1752" s="1" t="s">
        <v>13</v>
      </c>
      <c r="C1752" s="4" t="s">
        <v>7676</v>
      </c>
      <c r="D1752" s="1" t="s">
        <v>7677</v>
      </c>
      <c r="E1752" s="1" t="s">
        <v>7678</v>
      </c>
      <c r="F1752" s="4" t="s">
        <v>17</v>
      </c>
      <c r="G1752" s="1" t="s">
        <v>18</v>
      </c>
      <c r="H1752" s="1" t="s">
        <v>19</v>
      </c>
      <c r="I1752" s="1" t="s">
        <v>20</v>
      </c>
      <c r="J1752" s="1" t="s">
        <v>7679</v>
      </c>
      <c r="K1752" s="1" t="s">
        <v>22</v>
      </c>
      <c r="L1752" s="1" t="str">
        <f>HYPERLINK("https://files.afu.se/Downloads/Transcripts/0%20-%20Government/USA%20-%20NASA%20Johnson/2014 07 11 - NASA Johnson - Space Station Live  Preps for Cygnus Cargo Craft_XnucfSNn1mU - transcript (automated).pdf","Transcript Link")</f>
        <v>Transcript Link</v>
      </c>
      <c r="M1752" s="2" t="str">
        <f>HYPERLINK("https://files.afu.se/Downloads/Transcripts/0%20-%20Government/USA%20-%20NASA%20Johnson/2014 07 11 - NASA Johnson - Space Station Live  Preps for Cygnus Cargo Craft_XnucfSNn1mU - transcript (automated).pdf","Transcript Link")</f>
        <v>Transcript Link</v>
      </c>
    </row>
    <row r="1753" ht="180" spans="1:13">
      <c r="A1753" s="1" t="s">
        <v>7671</v>
      </c>
      <c r="B1753" s="1" t="s">
        <v>13</v>
      </c>
      <c r="C1753" s="4" t="s">
        <v>7680</v>
      </c>
      <c r="D1753" s="1" t="s">
        <v>7681</v>
      </c>
      <c r="E1753" s="1" t="s">
        <v>5059</v>
      </c>
      <c r="F1753" s="4" t="s">
        <v>17</v>
      </c>
      <c r="G1753" s="1" t="s">
        <v>18</v>
      </c>
      <c r="H1753" s="1" t="s">
        <v>19</v>
      </c>
      <c r="I1753" s="1" t="s">
        <v>20</v>
      </c>
      <c r="J1753" s="1" t="s">
        <v>7682</v>
      </c>
      <c r="K1753" s="1" t="s">
        <v>22</v>
      </c>
      <c r="L1753" s="1" t="str">
        <f>HYPERLINK("https://files.afu.se/Downloads/Transcripts/0%20-%20Government/USA%20-%20NASA%20Johnson/2014 07 11 - NASA Johnson - Space to Ground  5,000 and Counting  7 11 14_KhPExpo7-U0 - transcript (automated).pdf","Transcript Link")</f>
        <v>Transcript Link</v>
      </c>
      <c r="M1753" s="2" t="str">
        <f>HYPERLINK("https://files.afu.se/Downloads/Transcripts/0%20-%20Government/USA%20-%20NASA%20Johnson/2014 07 11 - NASA Johnson - Space to Ground  5,000 and Counting  7 11 14_KhPExpo7-U0 - transcript (automated).pdf","Transcript Link")</f>
        <v>Transcript Link</v>
      </c>
    </row>
    <row r="1754" ht="180" spans="1:13">
      <c r="A1754" s="1" t="s">
        <v>7683</v>
      </c>
      <c r="B1754" s="1" t="s">
        <v>13</v>
      </c>
      <c r="C1754" s="4" t="s">
        <v>7684</v>
      </c>
      <c r="D1754" s="1" t="s">
        <v>7685</v>
      </c>
      <c r="E1754" s="1" t="s">
        <v>7686</v>
      </c>
      <c r="F1754" s="4" t="s">
        <v>17</v>
      </c>
      <c r="G1754" s="1" t="s">
        <v>18</v>
      </c>
      <c r="H1754" s="1" t="s">
        <v>19</v>
      </c>
      <c r="I1754" s="1" t="s">
        <v>20</v>
      </c>
      <c r="J1754" s="1" t="s">
        <v>7687</v>
      </c>
      <c r="K1754" s="1" t="s">
        <v>22</v>
      </c>
      <c r="L1754" s="1" t="str">
        <f>HYPERLINK("https://files.afu.se/Downloads/Transcripts/0%20-%20Government/USA%20-%20NASA%20Johnson/2014 07 10 - NASA Johnson - Space Station Live  Spaceborne Coastal Imaging_7bw-1-55reY - transcript (automated).pdf","Transcript Link")</f>
        <v>Transcript Link</v>
      </c>
      <c r="M1754" s="2" t="str">
        <f>HYPERLINK("https://files.afu.se/Downloads/Transcripts/0%20-%20Government/USA%20-%20NASA%20Johnson/2014 07 10 - NASA Johnson - Space Station Live  Spaceborne Coastal Imaging_7bw-1-55reY - transcript (automated).pdf","Transcript Link")</f>
        <v>Transcript Link</v>
      </c>
    </row>
    <row r="1755" ht="180" spans="1:13">
      <c r="A1755" s="1" t="s">
        <v>7688</v>
      </c>
      <c r="B1755" s="1" t="s">
        <v>13</v>
      </c>
      <c r="C1755" s="4" t="s">
        <v>7689</v>
      </c>
      <c r="D1755" s="1" t="s">
        <v>7690</v>
      </c>
      <c r="E1755" s="1" t="s">
        <v>7691</v>
      </c>
      <c r="F1755" s="4" t="s">
        <v>17</v>
      </c>
      <c r="G1755" s="1" t="s">
        <v>18</v>
      </c>
      <c r="H1755" s="1" t="s">
        <v>19</v>
      </c>
      <c r="I1755" s="1" t="s">
        <v>20</v>
      </c>
      <c r="J1755" s="1" t="s">
        <v>7692</v>
      </c>
      <c r="K1755" s="1" t="s">
        <v>22</v>
      </c>
      <c r="L1755" s="1" t="str">
        <f>HYPERLINK("https://files.afu.se/Downloads/Transcripts/0%20-%20Government/USA%20-%20NASA%20Johnson/2014 07 09 - NASA Johnson - Space Station Live  High Definition Earth Viewing_tpaCAmFUYLg - transcript (automated).pdf","Transcript Link")</f>
        <v>Transcript Link</v>
      </c>
      <c r="M1755" s="2" t="str">
        <f>HYPERLINK("https://files.afu.se/Downloads/Transcripts/0%20-%20Government/USA%20-%20NASA%20Johnson/2014 07 09 - NASA Johnson - Space Station Live  High Definition Earth Viewing_tpaCAmFUYLg - transcript (automated).pdf","Transcript Link")</f>
        <v>Transcript Link</v>
      </c>
    </row>
    <row r="1756" ht="180" spans="1:13">
      <c r="A1756" s="1" t="s">
        <v>7693</v>
      </c>
      <c r="B1756" s="1" t="s">
        <v>13</v>
      </c>
      <c r="C1756" s="4" t="s">
        <v>7694</v>
      </c>
      <c r="D1756" s="1" t="s">
        <v>7695</v>
      </c>
      <c r="E1756" s="1" t="s">
        <v>7696</v>
      </c>
      <c r="F1756" s="4" t="s">
        <v>17</v>
      </c>
      <c r="G1756" s="1" t="s">
        <v>18</v>
      </c>
      <c r="H1756" s="1" t="s">
        <v>19</v>
      </c>
      <c r="I1756" s="1" t="s">
        <v>20</v>
      </c>
      <c r="J1756" s="1" t="s">
        <v>7697</v>
      </c>
      <c r="K1756" s="1" t="s">
        <v>22</v>
      </c>
      <c r="L1756" s="1" t="str">
        <f>HYPERLINK("https://files.afu.se/Downloads/Transcripts/0%20-%20Government/USA%20-%20NASA%20Johnson/2014 07 08 - NASA Johnson - NASA Flight Controller Connects With Washington Aerospace Scholars_i0ATqsNR_xw - transcript (automated).pdf","Transcript Link")</f>
        <v>Transcript Link</v>
      </c>
      <c r="M1756" s="2" t="str">
        <f>HYPERLINK("https://files.afu.se/Downloads/Transcripts/0%20-%20Government/USA%20-%20NASA%20Johnson/2014 07 08 - NASA Johnson - NASA Flight Controller Connects With Washington Aerospace Scholars_i0ATqsNR_xw - transcript (automated).pdf","Transcript Link")</f>
        <v>Transcript Link</v>
      </c>
    </row>
    <row r="1757" ht="180" spans="1:13">
      <c r="A1757" s="1" t="s">
        <v>7698</v>
      </c>
      <c r="B1757" s="1" t="s">
        <v>13</v>
      </c>
      <c r="C1757" s="4" t="s">
        <v>7699</v>
      </c>
      <c r="D1757" s="1" t="s">
        <v>7700</v>
      </c>
      <c r="E1757" s="1" t="s">
        <v>7701</v>
      </c>
      <c r="F1757" s="4" t="s">
        <v>17</v>
      </c>
      <c r="G1757" s="1" t="s">
        <v>18</v>
      </c>
      <c r="H1757" s="1" t="s">
        <v>19</v>
      </c>
      <c r="I1757" s="1" t="s">
        <v>20</v>
      </c>
      <c r="J1757" s="1" t="s">
        <v>7702</v>
      </c>
      <c r="K1757" s="1" t="s">
        <v>22</v>
      </c>
      <c r="L1757" s="1" t="str">
        <f>HYPERLINK("https://files.afu.se/Downloads/Transcripts/0%20-%20Government/USA%20-%20NASA%20Johnson/2014 07 07 - NASA Johnson - Space Station Live  Astronaut Rick Mastracchio_qulzwuNTr3w - transcript (automated).pdf","Transcript Link")</f>
        <v>Transcript Link</v>
      </c>
      <c r="M1757" s="2" t="str">
        <f>HYPERLINK("https://files.afu.se/Downloads/Transcripts/0%20-%20Government/USA%20-%20NASA%20Johnson/2014 07 07 - NASA Johnson - Space Station Live  Astronaut Rick Mastracchio_qulzwuNTr3w - transcript (automated).pdf","Transcript Link")</f>
        <v>Transcript Link</v>
      </c>
    </row>
    <row r="1758" ht="180" spans="1:13">
      <c r="A1758" s="1" t="s">
        <v>7703</v>
      </c>
      <c r="B1758" s="1" t="s">
        <v>13</v>
      </c>
      <c r="C1758" s="4" t="s">
        <v>7704</v>
      </c>
      <c r="D1758" s="1" t="s">
        <v>7705</v>
      </c>
      <c r="E1758" s="1" t="s">
        <v>6850</v>
      </c>
      <c r="F1758" s="4" t="s">
        <v>17</v>
      </c>
      <c r="G1758" s="1" t="s">
        <v>18</v>
      </c>
      <c r="H1758" s="1" t="s">
        <v>19</v>
      </c>
      <c r="I1758" s="1" t="s">
        <v>20</v>
      </c>
      <c r="J1758" s="1" t="s">
        <v>7706</v>
      </c>
      <c r="K1758" s="1" t="s">
        <v>22</v>
      </c>
      <c r="L1758" s="1" t="str">
        <f>HYPERLINK("https://files.afu.se/Downloads/Transcripts/0%20-%20Government/USA%20-%20NASA%20Johnson/2014 07 03 - NASA Johnson - Monthly ISS research video update for June 2014_VYSNn7YUNU8 - transcript (automated).pdf","Transcript Link")</f>
        <v>Transcript Link</v>
      </c>
      <c r="M1758" s="2" t="str">
        <f>HYPERLINK("https://files.afu.se/Downloads/Transcripts/0%20-%20Government/USA%20-%20NASA%20Johnson/2014 07 03 - NASA Johnson - Monthly ISS research video update for June 2014_VYSNn7YUNU8 - transcript (automated).pdf","Transcript Link")</f>
        <v>Transcript Link</v>
      </c>
    </row>
    <row r="1759" ht="180" spans="1:13">
      <c r="A1759" s="1" t="s">
        <v>7703</v>
      </c>
      <c r="B1759" s="1" t="s">
        <v>13</v>
      </c>
      <c r="C1759" s="4" t="s">
        <v>7707</v>
      </c>
      <c r="D1759" s="1" t="s">
        <v>7708</v>
      </c>
      <c r="E1759" s="1" t="s">
        <v>5059</v>
      </c>
      <c r="F1759" s="4" t="s">
        <v>17</v>
      </c>
      <c r="G1759" s="1" t="s">
        <v>18</v>
      </c>
      <c r="H1759" s="1" t="s">
        <v>19</v>
      </c>
      <c r="I1759" s="1" t="s">
        <v>20</v>
      </c>
      <c r="J1759" s="1" t="s">
        <v>7709</v>
      </c>
      <c r="K1759" s="1" t="s">
        <v>22</v>
      </c>
      <c r="L1759" s="1" t="str">
        <f>HYPERLINK("https://files.afu.se/Downloads/Transcripts/0%20-%20Government/USA%20-%20NASA%20Johnson/2014 07 03 - NASA Johnson - Space to Ground  Lighting Up the Sky_OFGQoqLY5bc - transcript (automated).pdf","Transcript Link")</f>
        <v>Transcript Link</v>
      </c>
      <c r="M1759" s="2" t="str">
        <f>HYPERLINK("https://files.afu.se/Downloads/Transcripts/0%20-%20Government/USA%20-%20NASA%20Johnson/2014 07 03 - NASA Johnson - Space to Ground  Lighting Up the Sky_OFGQoqLY5bc - transcript (automated).pdf","Transcript Link")</f>
        <v>Transcript Link</v>
      </c>
    </row>
    <row r="1760" ht="180" spans="1:13">
      <c r="A1760" s="1" t="s">
        <v>7703</v>
      </c>
      <c r="B1760" s="1" t="s">
        <v>13</v>
      </c>
      <c r="C1760" s="4" t="s">
        <v>7710</v>
      </c>
      <c r="D1760" s="1" t="s">
        <v>7711</v>
      </c>
      <c r="E1760" s="1" t="s">
        <v>7712</v>
      </c>
      <c r="F1760" s="4" t="s">
        <v>17</v>
      </c>
      <c r="G1760" s="1" t="s">
        <v>18</v>
      </c>
      <c r="H1760" s="1" t="s">
        <v>19</v>
      </c>
      <c r="I1760" s="1" t="s">
        <v>20</v>
      </c>
      <c r="J1760" s="1" t="s">
        <v>7713</v>
      </c>
      <c r="K1760" s="1" t="s">
        <v>22</v>
      </c>
      <c r="L1760" s="1" t="str">
        <f>HYPERLINK("https://files.afu.se/Downloads/Transcripts/0%20-%20Government/USA%20-%20NASA%20Johnson/2014 07 03 - NASA Johnson - Space Station Live  Japanese Astronaut Koichi Wakata_sdwHT2zP6gw - transcript (automated).pdf","Transcript Link")</f>
        <v>Transcript Link</v>
      </c>
      <c r="M1760" s="2" t="str">
        <f>HYPERLINK("https://files.afu.se/Downloads/Transcripts/0%20-%20Government/USA%20-%20NASA%20Johnson/2014 07 03 - NASA Johnson - Space Station Live  Japanese Astronaut Koichi Wakata_sdwHT2zP6gw - transcript (automated).pdf","Transcript Link")</f>
        <v>Transcript Link</v>
      </c>
    </row>
    <row r="1761" ht="180" spans="1:13">
      <c r="A1761" s="1" t="s">
        <v>7703</v>
      </c>
      <c r="B1761" s="1" t="s">
        <v>13</v>
      </c>
      <c r="C1761" s="4" t="s">
        <v>7714</v>
      </c>
      <c r="D1761" s="1" t="s">
        <v>7715</v>
      </c>
      <c r="E1761" s="1" t="s">
        <v>7716</v>
      </c>
      <c r="F1761" s="4" t="s">
        <v>17</v>
      </c>
      <c r="G1761" s="1" t="s">
        <v>18</v>
      </c>
      <c r="H1761" s="1" t="s">
        <v>19</v>
      </c>
      <c r="I1761" s="1" t="s">
        <v>20</v>
      </c>
      <c r="J1761" s="1" t="s">
        <v>7717</v>
      </c>
      <c r="K1761" s="1" t="s">
        <v>22</v>
      </c>
      <c r="L1761" s="1" t="str">
        <f>HYPERLINK("https://files.afu.se/Downloads/Transcripts/0%20-%20Government/USA%20-%20NASA%20Johnson/2014 07 03 - NASA Johnson - Space Station Live  Reentry Breakup Recorder_BV3FT8lyRTo - transcript (automated).pdf","Transcript Link")</f>
        <v>Transcript Link</v>
      </c>
      <c r="M1761" s="2" t="str">
        <f>HYPERLINK("https://files.afu.se/Downloads/Transcripts/0%20-%20Government/USA%20-%20NASA%20Johnson/2014 07 03 - NASA Johnson - Space Station Live  Reentry Breakup Recorder_BV3FT8lyRTo - transcript (automated).pdf","Transcript Link")</f>
        <v>Transcript Link</v>
      </c>
    </row>
    <row r="1762" ht="180" spans="1:13">
      <c r="A1762" s="1" t="s">
        <v>7718</v>
      </c>
      <c r="B1762" s="1" t="s">
        <v>13</v>
      </c>
      <c r="C1762" s="4" t="s">
        <v>7719</v>
      </c>
      <c r="D1762" s="1" t="s">
        <v>7720</v>
      </c>
      <c r="E1762" s="1" t="s">
        <v>7721</v>
      </c>
      <c r="F1762" s="4" t="s">
        <v>17</v>
      </c>
      <c r="G1762" s="1" t="s">
        <v>18</v>
      </c>
      <c r="H1762" s="1" t="s">
        <v>19</v>
      </c>
      <c r="I1762" s="1" t="s">
        <v>20</v>
      </c>
      <c r="J1762" s="1" t="s">
        <v>7722</v>
      </c>
      <c r="K1762" s="1" t="s">
        <v>22</v>
      </c>
      <c r="L1762" s="1" t="str">
        <f>HYPERLINK("https://files.afu.se/Downloads/Transcripts/0%20-%20Government/USA%20-%20NASA%20Johnson/2014 07 01 - NASA Johnson - Space Station Live  Investigating Astronaut Vision Problems_qBouo5fW758 - transcript (automated).pdf","Transcript Link")</f>
        <v>Transcript Link</v>
      </c>
      <c r="M1762" s="2" t="str">
        <f>HYPERLINK("https://files.afu.se/Downloads/Transcripts/0%20-%20Government/USA%20-%20NASA%20Johnson/2014 07 01 - NASA Johnson - Space Station Live  Investigating Astronaut Vision Problems_qBouo5fW758 - transcript (automated).pdf","Transcript Link")</f>
        <v>Transcript Link</v>
      </c>
    </row>
    <row r="1763" ht="180" spans="1:13">
      <c r="A1763" s="1" t="s">
        <v>7723</v>
      </c>
      <c r="B1763" s="1" t="s">
        <v>13</v>
      </c>
      <c r="C1763" s="4" t="s">
        <v>7724</v>
      </c>
      <c r="D1763" s="1" t="s">
        <v>7725</v>
      </c>
      <c r="E1763" s="1" t="s">
        <v>7726</v>
      </c>
      <c r="F1763" s="4" t="s">
        <v>17</v>
      </c>
      <c r="G1763" s="1" t="s">
        <v>18</v>
      </c>
      <c r="H1763" s="1" t="s">
        <v>19</v>
      </c>
      <c r="I1763" s="1" t="s">
        <v>20</v>
      </c>
      <c r="J1763" s="1" t="s">
        <v>7727</v>
      </c>
      <c r="K1763" s="1" t="s">
        <v>22</v>
      </c>
      <c r="L1763" s="1" t="str">
        <f>HYPERLINK("https://files.afu.se/Downloads/Transcripts/0%20-%20Government/USA%20-%20NASA%20Johnson/2014 06 30 - NASA Johnson - Fruit Fly Surveillance_7qxCCz6US9M - transcript (automated).pdf","Transcript Link")</f>
        <v>Transcript Link</v>
      </c>
      <c r="M1763" s="2" t="str">
        <f>HYPERLINK("https://files.afu.se/Downloads/Transcripts/0%20-%20Government/USA%20-%20NASA%20Johnson/2014 06 30 - NASA Johnson - Fruit Fly Surveillance_7qxCCz6US9M - transcript (automated).pdf","Transcript Link")</f>
        <v>Transcript Link</v>
      </c>
    </row>
    <row r="1764" ht="180" spans="1:13">
      <c r="A1764" s="1" t="s">
        <v>7723</v>
      </c>
      <c r="B1764" s="1" t="s">
        <v>13</v>
      </c>
      <c r="C1764" s="4" t="s">
        <v>7728</v>
      </c>
      <c r="D1764" s="1" t="s">
        <v>7729</v>
      </c>
      <c r="E1764" s="1" t="s">
        <v>7730</v>
      </c>
      <c r="F1764" s="4" t="s">
        <v>17</v>
      </c>
      <c r="G1764" s="1" t="s">
        <v>18</v>
      </c>
      <c r="H1764" s="1" t="s">
        <v>19</v>
      </c>
      <c r="I1764" s="1" t="s">
        <v>20</v>
      </c>
      <c r="J1764" s="1" t="s">
        <v>7731</v>
      </c>
      <c r="K1764" s="1" t="s">
        <v>22</v>
      </c>
      <c r="L1764" s="1" t="str">
        <f>HYPERLINK("https://files.afu.se/Downloads/Transcripts/0%20-%20Government/USA%20-%20NASA%20Johnson/2014 06 30 - NASA Johnson - Space Station Live  JAXA Astronaut Commands NEEMO 18_9fEm0qJoqEo - transcript (automated).pdf","Transcript Link")</f>
        <v>Transcript Link</v>
      </c>
      <c r="M1764" s="2" t="str">
        <f>HYPERLINK("https://files.afu.se/Downloads/Transcripts/0%20-%20Government/USA%20-%20NASA%20Johnson/2014 06 30 - NASA Johnson - Space Station Live  JAXA Astronaut Commands NEEMO 18_9fEm0qJoqEo - transcript (automated).pdf","Transcript Link")</f>
        <v>Transcript Link</v>
      </c>
    </row>
    <row r="1765" ht="180" spans="1:13">
      <c r="A1765" s="1" t="s">
        <v>7723</v>
      </c>
      <c r="B1765" s="1" t="s">
        <v>13</v>
      </c>
      <c r="C1765" s="4" t="s">
        <v>7732</v>
      </c>
      <c r="D1765" s="1" t="s">
        <v>7733</v>
      </c>
      <c r="E1765" s="1" t="s">
        <v>7734</v>
      </c>
      <c r="F1765" s="4" t="s">
        <v>17</v>
      </c>
      <c r="G1765" s="1" t="s">
        <v>18</v>
      </c>
      <c r="H1765" s="1" t="s">
        <v>19</v>
      </c>
      <c r="I1765" s="1" t="s">
        <v>20</v>
      </c>
      <c r="J1765" s="1" t="s">
        <v>7735</v>
      </c>
      <c r="K1765" s="1" t="s">
        <v>22</v>
      </c>
      <c r="L1765" s="1" t="str">
        <f>HYPERLINK("https://files.afu.se/Downloads/Transcripts/0%20-%20Government/USA%20-%20NASA%20Johnson/2014 06 30 - NASA Johnson - Space Station Live  Space Outfits_XJoDtzqBXXw - transcript (automated).pdf","Transcript Link")</f>
        <v>Transcript Link</v>
      </c>
      <c r="M1765" s="2" t="str">
        <f>HYPERLINK("https://files.afu.se/Downloads/Transcripts/0%20-%20Government/USA%20-%20NASA%20Johnson/2014 06 30 - NASA Johnson - Space Station Live  Space Outfits_XJoDtzqBXXw - transcript (automated).pdf","Transcript Link")</f>
        <v>Transcript Link</v>
      </c>
    </row>
    <row r="1766" ht="225" spans="1:13">
      <c r="A1766" s="1" t="s">
        <v>7736</v>
      </c>
      <c r="B1766" s="1" t="s">
        <v>13</v>
      </c>
      <c r="C1766" s="4" t="s">
        <v>7737</v>
      </c>
      <c r="D1766" s="1" t="s">
        <v>7738</v>
      </c>
      <c r="E1766" s="1" t="s">
        <v>7739</v>
      </c>
      <c r="F1766" s="4" t="s">
        <v>17</v>
      </c>
      <c r="G1766" s="1" t="s">
        <v>18</v>
      </c>
      <c r="H1766" s="1" t="s">
        <v>19</v>
      </c>
      <c r="I1766" s="1" t="s">
        <v>20</v>
      </c>
      <c r="J1766" s="1" t="s">
        <v>7740</v>
      </c>
      <c r="K1766" s="1" t="s">
        <v>22</v>
      </c>
      <c r="L1766" s="1" t="str">
        <f>HYPERLINK("https://files.afu.se/Downloads/Transcripts/0%20-%20Government/USA%20-%20NASA%20Johnson/2014 06 27 - NASA Johnson - U.S. Astronauts Shave Heads Following World Cup Loss to Germany_Zi2IbWs1vHY - transcript (automated).pdf","Transcript Link")</f>
        <v>Transcript Link</v>
      </c>
      <c r="M1766" s="2" t="str">
        <f>HYPERLINK("https://files.afu.se/Downloads/Transcripts/0%20-%20Government/USA%20-%20NASA%20Johnson/2014 06 27 - NASA Johnson - U.S. Astronauts Shave Heads Following World Cup Loss to Germany_Zi2IbWs1vHY - transcript (automated).pdf","Transcript Link")</f>
        <v>Transcript Link</v>
      </c>
    </row>
    <row r="1767" ht="180" spans="1:13">
      <c r="A1767" s="1" t="s">
        <v>7736</v>
      </c>
      <c r="B1767" s="1" t="s">
        <v>13</v>
      </c>
      <c r="C1767" s="4" t="s">
        <v>7741</v>
      </c>
      <c r="D1767" s="1" t="s">
        <v>7742</v>
      </c>
      <c r="E1767" s="1" t="s">
        <v>5059</v>
      </c>
      <c r="F1767" s="4" t="s">
        <v>17</v>
      </c>
      <c r="G1767" s="1" t="s">
        <v>18</v>
      </c>
      <c r="H1767" s="1" t="s">
        <v>19</v>
      </c>
      <c r="I1767" s="1" t="s">
        <v>20</v>
      </c>
      <c r="J1767" s="1" t="s">
        <v>7743</v>
      </c>
      <c r="K1767" s="1" t="s">
        <v>22</v>
      </c>
      <c r="L1767" s="1" t="str">
        <f>HYPERLINK("https://files.afu.se/Downloads/Transcripts/0%20-%20Government/USA%20-%20NASA%20Johnson/2014 06 27 - NASA Johnson - Space to Ground  All Bets Are Off_xdj_A-3gEY4 - transcript (automated).pdf","Transcript Link")</f>
        <v>Transcript Link</v>
      </c>
      <c r="M1767" s="2" t="str">
        <f>HYPERLINK("https://files.afu.se/Downloads/Transcripts/0%20-%20Government/USA%20-%20NASA%20Johnson/2014 06 27 - NASA Johnson - Space to Ground  All Bets Are Off_xdj_A-3gEY4 - transcript (automated).pdf","Transcript Link")</f>
        <v>Transcript Link</v>
      </c>
    </row>
    <row r="1768" ht="180" spans="1:13">
      <c r="A1768" s="1" t="s">
        <v>7744</v>
      </c>
      <c r="B1768" s="1" t="s">
        <v>13</v>
      </c>
      <c r="C1768" s="4" t="s">
        <v>7745</v>
      </c>
      <c r="D1768" s="1" t="s">
        <v>7746</v>
      </c>
      <c r="E1768" s="1" t="s">
        <v>7747</v>
      </c>
      <c r="F1768" s="4" t="s">
        <v>17</v>
      </c>
      <c r="G1768" s="1" t="s">
        <v>18</v>
      </c>
      <c r="H1768" s="1" t="s">
        <v>19</v>
      </c>
      <c r="I1768" s="1" t="s">
        <v>20</v>
      </c>
      <c r="J1768" s="1" t="s">
        <v>7748</v>
      </c>
      <c r="K1768" s="1" t="s">
        <v>22</v>
      </c>
      <c r="L1768" s="1" t="str">
        <f>HYPERLINK("https://files.afu.se/Downloads/Transcripts/0%20-%20Government/USA%20-%20NASA%20Johnson/2014 06 26 - NASA Johnson - Space Station Live  Most Compelling Results of 2013_3bZWL9pTZZU - transcript (automated).pdf","Transcript Link")</f>
        <v>Transcript Link</v>
      </c>
      <c r="M1768" s="2" t="str">
        <f>HYPERLINK("https://files.afu.se/Downloads/Transcripts/0%20-%20Government/USA%20-%20NASA%20Johnson/2014 06 26 - NASA Johnson - Space Station Live  Most Compelling Results of 2013_3bZWL9pTZZU - transcript (automated).pdf","Transcript Link")</f>
        <v>Transcript Link</v>
      </c>
    </row>
    <row r="1769" ht="180" spans="1:13">
      <c r="A1769" s="1" t="s">
        <v>7749</v>
      </c>
      <c r="B1769" s="1" t="s">
        <v>13</v>
      </c>
      <c r="C1769" s="4" t="s">
        <v>7750</v>
      </c>
      <c r="D1769" s="1" t="s">
        <v>7751</v>
      </c>
      <c r="E1769" s="1" t="s">
        <v>7752</v>
      </c>
      <c r="F1769" s="4" t="s">
        <v>17</v>
      </c>
      <c r="G1769" s="1" t="s">
        <v>18</v>
      </c>
      <c r="H1769" s="1" t="s">
        <v>19</v>
      </c>
      <c r="I1769" s="1" t="s">
        <v>20</v>
      </c>
      <c r="J1769" s="1" t="s">
        <v>7753</v>
      </c>
      <c r="K1769" s="1" t="s">
        <v>22</v>
      </c>
      <c r="L1769" s="1" t="str">
        <f>HYPERLINK("https://files.afu.se/Downloads/Transcripts/0%20-%20Government/USA%20-%20NASA%20Johnson/2014 06 25 - NASA Johnson - Out Of This World Cup_UpBwvPeI5VM - transcript (automated).pdf","Transcript Link")</f>
        <v>Transcript Link</v>
      </c>
      <c r="M1769" s="2" t="str">
        <f>HYPERLINK("https://files.afu.se/Downloads/Transcripts/0%20-%20Government/USA%20-%20NASA%20Johnson/2014 06 25 - NASA Johnson - Out Of This World Cup_UpBwvPeI5VM - transcript (automated).pdf","Transcript Link")</f>
        <v>Transcript Link</v>
      </c>
    </row>
    <row r="1770" ht="180" spans="1:13">
      <c r="A1770" s="1" t="s">
        <v>7749</v>
      </c>
      <c r="B1770" s="1" t="s">
        <v>13</v>
      </c>
      <c r="C1770" s="4" t="s">
        <v>7754</v>
      </c>
      <c r="D1770" s="1" t="s">
        <v>7755</v>
      </c>
      <c r="E1770" s="1" t="s">
        <v>7756</v>
      </c>
      <c r="F1770" s="4" t="s">
        <v>17</v>
      </c>
      <c r="G1770" s="1" t="s">
        <v>18</v>
      </c>
      <c r="H1770" s="1" t="s">
        <v>19</v>
      </c>
      <c r="I1770" s="1" t="s">
        <v>20</v>
      </c>
      <c r="J1770" s="1" t="s">
        <v>7757</v>
      </c>
      <c r="K1770" s="1" t="s">
        <v>22</v>
      </c>
      <c r="L1770" s="1" t="str">
        <f>HYPERLINK("https://files.afu.se/Downloads/Transcripts/0%20-%20Government/USA%20-%20NASA%20Johnson/2014 06 25 - NASA Johnson - Space Station Live  Bio Canisters in Space_Dg2kJXlYabw - transcript (automated).pdf","Transcript Link")</f>
        <v>Transcript Link</v>
      </c>
      <c r="M1770" s="2" t="str">
        <f>HYPERLINK("https://files.afu.se/Downloads/Transcripts/0%20-%20Government/USA%20-%20NASA%20Johnson/2014 06 25 - NASA Johnson - Space Station Live  Bio Canisters in Space_Dg2kJXlYabw - transcript (automated).pdf","Transcript Link")</f>
        <v>Transcript Link</v>
      </c>
    </row>
    <row r="1771" ht="180" spans="1:13">
      <c r="A1771" s="1" t="s">
        <v>7758</v>
      </c>
      <c r="B1771" s="1" t="s">
        <v>13</v>
      </c>
      <c r="C1771" s="4" t="s">
        <v>7759</v>
      </c>
      <c r="D1771" s="1" t="s">
        <v>7760</v>
      </c>
      <c r="E1771" s="1" t="s">
        <v>7761</v>
      </c>
      <c r="F1771" s="4" t="s">
        <v>17</v>
      </c>
      <c r="G1771" s="1" t="s">
        <v>18</v>
      </c>
      <c r="H1771" s="1" t="s">
        <v>19</v>
      </c>
      <c r="I1771" s="1" t="s">
        <v>20</v>
      </c>
      <c r="J1771" s="1" t="s">
        <v>7762</v>
      </c>
      <c r="K1771" s="1" t="s">
        <v>22</v>
      </c>
      <c r="L1771" s="1" t="str">
        <f>HYPERLINK("https://files.afu.se/Downloads/Transcripts/0%20-%20Government/USA%20-%20NASA%20Johnson/2014 06 24 - NASA Johnson - Space Station Live  Orion Parachute Test_no69oljyqPA - transcript (automated).pdf","Transcript Link")</f>
        <v>Transcript Link</v>
      </c>
      <c r="M1771" s="2" t="str">
        <f>HYPERLINK("https://files.afu.se/Downloads/Transcripts/0%20-%20Government/USA%20-%20NASA%20Johnson/2014 06 24 - NASA Johnson - Space Station Live  Orion Parachute Test_no69oljyqPA - transcript (automated).pdf","Transcript Link")</f>
        <v>Transcript Link</v>
      </c>
    </row>
    <row r="1772" ht="180" spans="1:13">
      <c r="A1772" s="1" t="s">
        <v>7763</v>
      </c>
      <c r="B1772" s="1" t="s">
        <v>13</v>
      </c>
      <c r="C1772" s="4" t="s">
        <v>7764</v>
      </c>
      <c r="D1772" s="1" t="s">
        <v>7765</v>
      </c>
      <c r="E1772" s="1" t="s">
        <v>5059</v>
      </c>
      <c r="F1772" s="4" t="s">
        <v>17</v>
      </c>
      <c r="G1772" s="1" t="s">
        <v>18</v>
      </c>
      <c r="H1772" s="1" t="s">
        <v>19</v>
      </c>
      <c r="I1772" s="1" t="s">
        <v>20</v>
      </c>
      <c r="J1772" s="1" t="s">
        <v>7766</v>
      </c>
      <c r="K1772" s="1" t="s">
        <v>22</v>
      </c>
      <c r="L1772" s="1" t="str">
        <f>HYPERLINK("https://files.afu.se/Downloads/Transcripts/0%20-%20Government/USA%20-%20NASA%20Johnson/2014 06 20 - NASA Johnson - Space to Ground  Out of this World Cup Soccer_R4mhT0QtZOs - transcript (automated).pdf","Transcript Link")</f>
        <v>Transcript Link</v>
      </c>
      <c r="M1772" s="2" t="str">
        <f>HYPERLINK("https://files.afu.se/Downloads/Transcripts/0%20-%20Government/USA%20-%20NASA%20Johnson/2014 06 20 - NASA Johnson - Space to Ground  Out of this World Cup Soccer_R4mhT0QtZOs - transcript (automated).pdf","Transcript Link")</f>
        <v>Transcript Link</v>
      </c>
    </row>
    <row r="1773" ht="180" spans="1:13">
      <c r="A1773" s="1" t="s">
        <v>7767</v>
      </c>
      <c r="B1773" s="1" t="s">
        <v>13</v>
      </c>
      <c r="C1773" s="4" t="s">
        <v>7768</v>
      </c>
      <c r="D1773" s="1" t="s">
        <v>7769</v>
      </c>
      <c r="E1773" s="1" t="s">
        <v>7770</v>
      </c>
      <c r="F1773" s="4" t="s">
        <v>17</v>
      </c>
      <c r="G1773" s="1" t="s">
        <v>18</v>
      </c>
      <c r="H1773" s="1" t="s">
        <v>19</v>
      </c>
      <c r="I1773" s="1" t="s">
        <v>20</v>
      </c>
      <c r="J1773" s="1" t="s">
        <v>7771</v>
      </c>
      <c r="K1773" s="1" t="s">
        <v>22</v>
      </c>
      <c r="L1773" s="1" t="str">
        <f>HYPERLINK("https://files.afu.se/Downloads/Transcripts/0%20-%20Government/USA%20-%20NASA%20Johnson/2014 06 18 - NASA Johnson - Space Station Live  Russian EVA 38 Animation_ZYUpdG1tKH0 - transcript (automated).pdf","Transcript Link")</f>
        <v>Transcript Link</v>
      </c>
      <c r="M1773" s="2" t="str">
        <f>HYPERLINK("https://files.afu.se/Downloads/Transcripts/0%20-%20Government/USA%20-%20NASA%20Johnson/2014 06 18 - NASA Johnson - Space Station Live  Russian EVA 38 Animation_ZYUpdG1tKH0 - transcript (automated).pdf","Transcript Link")</f>
        <v>Transcript Link</v>
      </c>
    </row>
    <row r="1774" ht="180" spans="1:13">
      <c r="A1774" s="1" t="s">
        <v>7767</v>
      </c>
      <c r="B1774" s="1" t="s">
        <v>13</v>
      </c>
      <c r="C1774" s="4" t="s">
        <v>7772</v>
      </c>
      <c r="D1774" s="1" t="s">
        <v>7773</v>
      </c>
      <c r="E1774" s="1" t="s">
        <v>7774</v>
      </c>
      <c r="F1774" s="4" t="s">
        <v>17</v>
      </c>
      <c r="G1774" s="1" t="s">
        <v>18</v>
      </c>
      <c r="H1774" s="1" t="s">
        <v>19</v>
      </c>
      <c r="I1774" s="1" t="s">
        <v>20</v>
      </c>
      <c r="J1774" s="1" t="s">
        <v>7775</v>
      </c>
      <c r="K1774" s="1" t="s">
        <v>22</v>
      </c>
      <c r="L1774" s="1" t="str">
        <f>HYPERLINK("https://files.afu.se/Downloads/Transcripts/0%20-%20Government/USA%20-%20NASA%20Johnson/2014 06 18 - NASA Johnson - Space Station Live  Manufacturing in Space_lTxb43yiDUo - transcript (automated).pdf","Transcript Link")</f>
        <v>Transcript Link</v>
      </c>
      <c r="M1774" s="2" t="str">
        <f>HYPERLINK("https://files.afu.se/Downloads/Transcripts/0%20-%20Government/USA%20-%20NASA%20Johnson/2014 06 18 - NASA Johnson - Space Station Live  Manufacturing in Space_lTxb43yiDUo - transcript (automated).pdf","Transcript Link")</f>
        <v>Transcript Link</v>
      </c>
    </row>
    <row r="1775" ht="180" spans="1:13">
      <c r="A1775" s="1" t="s">
        <v>7776</v>
      </c>
      <c r="B1775" s="1" t="s">
        <v>13</v>
      </c>
      <c r="C1775" s="4" t="s">
        <v>7777</v>
      </c>
      <c r="D1775" s="1" t="s">
        <v>7778</v>
      </c>
      <c r="E1775" s="1" t="s">
        <v>7779</v>
      </c>
      <c r="F1775" s="4" t="s">
        <v>17</v>
      </c>
      <c r="G1775" s="1" t="s">
        <v>18</v>
      </c>
      <c r="H1775" s="1" t="s">
        <v>19</v>
      </c>
      <c r="I1775" s="1" t="s">
        <v>20</v>
      </c>
      <c r="J1775" s="1" t="s">
        <v>7780</v>
      </c>
      <c r="K1775" s="1" t="s">
        <v>22</v>
      </c>
      <c r="L1775" s="1" t="str">
        <f>HYPERLINK("https://files.afu.se/Downloads/Transcripts/0%20-%20Government/USA%20-%20NASA%20Johnson/2014 06 17 - NASA Johnson - Space Station Live  Orion Prepares for First Flight Test_MdJRpMK1J7Y - transcript (automated).pdf","Transcript Link")</f>
        <v>Transcript Link</v>
      </c>
      <c r="M1775" s="2" t="str">
        <f>HYPERLINK("https://files.afu.se/Downloads/Transcripts/0%20-%20Government/USA%20-%20NASA%20Johnson/2014 06 17 - NASA Johnson - Space Station Live  Orion Prepares for First Flight Test_MdJRpMK1J7Y - transcript (automated).pdf","Transcript Link")</f>
        <v>Transcript Link</v>
      </c>
    </row>
    <row r="1776" ht="180" spans="1:13">
      <c r="A1776" s="1" t="s">
        <v>7776</v>
      </c>
      <c r="B1776" s="1" t="s">
        <v>13</v>
      </c>
      <c r="C1776" s="4" t="s">
        <v>7781</v>
      </c>
      <c r="D1776" s="1" t="s">
        <v>7782</v>
      </c>
      <c r="E1776" s="1" t="s">
        <v>7783</v>
      </c>
      <c r="F1776" s="4" t="s">
        <v>17</v>
      </c>
      <c r="G1776" s="1" t="s">
        <v>18</v>
      </c>
      <c r="H1776" s="1" t="s">
        <v>19</v>
      </c>
      <c r="I1776" s="1" t="s">
        <v>20</v>
      </c>
      <c r="J1776" s="1" t="s">
        <v>7784</v>
      </c>
      <c r="K1776" s="1" t="s">
        <v>22</v>
      </c>
      <c r="L1776" s="1" t="str">
        <f>HYPERLINK("https://files.afu.se/Downloads/Transcripts/0%20-%20Government/USA%20-%20NASA%20Johnson/2014 06 17 - NASA Johnson - Preparing America for Deep Space Exploration  Episode 6 Music Video_TIZ8V9Hq9H8 - transcript (automated).pdf","Transcript Link")</f>
        <v>Transcript Link</v>
      </c>
      <c r="M1776" s="2" t="str">
        <f>HYPERLINK("https://files.afu.se/Downloads/Transcripts/0%20-%20Government/USA%20-%20NASA%20Johnson/2014 06 17 - NASA Johnson - Preparing America for Deep Space Exploration  Episode 6 Music Video_TIZ8V9Hq9H8 - transcript (automated).pdf","Transcript Link")</f>
        <v>Transcript Link</v>
      </c>
    </row>
    <row r="1777" ht="180" spans="1:13">
      <c r="A1777" s="1" t="s">
        <v>7785</v>
      </c>
      <c r="B1777" s="1" t="s">
        <v>13</v>
      </c>
      <c r="C1777" s="4" t="s">
        <v>7786</v>
      </c>
      <c r="D1777" s="1" t="s">
        <v>7787</v>
      </c>
      <c r="E1777" s="1" t="s">
        <v>5059</v>
      </c>
      <c r="F1777" s="4" t="s">
        <v>17</v>
      </c>
      <c r="G1777" s="1" t="s">
        <v>18</v>
      </c>
      <c r="H1777" s="1" t="s">
        <v>19</v>
      </c>
      <c r="I1777" s="1" t="s">
        <v>20</v>
      </c>
      <c r="J1777" s="1" t="s">
        <v>7788</v>
      </c>
      <c r="K1777" s="1" t="s">
        <v>22</v>
      </c>
      <c r="L1777" s="1" t="str">
        <f>HYPERLINK("https://files.afu.se/Downloads/Transcripts/0%20-%20Government/USA%20-%20NASA%20Johnson/2014 06 13 - NASA Johnson - Space to Ground  Progress  June 13, 2014_Gv479VS97Ao - transcript (automated).pdf","Transcript Link")</f>
        <v>Transcript Link</v>
      </c>
      <c r="M1777" s="2" t="str">
        <f>HYPERLINK("https://files.afu.se/Downloads/Transcripts/0%20-%20Government/USA%20-%20NASA%20Johnson/2014 06 13 - NASA Johnson - Space to Ground  Progress  June 13, 2014_Gv479VS97Ao - transcript (automated).pdf","Transcript Link")</f>
        <v>Transcript Link</v>
      </c>
    </row>
    <row r="1778" ht="180" spans="1:13">
      <c r="A1778" s="1" t="s">
        <v>7789</v>
      </c>
      <c r="B1778" s="1" t="s">
        <v>13</v>
      </c>
      <c r="C1778" s="4" t="s">
        <v>7790</v>
      </c>
      <c r="D1778" s="1" t="s">
        <v>7791</v>
      </c>
      <c r="E1778" s="1" t="s">
        <v>7792</v>
      </c>
      <c r="F1778" s="4" t="s">
        <v>17</v>
      </c>
      <c r="G1778" s="1" t="s">
        <v>18</v>
      </c>
      <c r="H1778" s="1" t="s">
        <v>19</v>
      </c>
      <c r="I1778" s="1" t="s">
        <v>20</v>
      </c>
      <c r="J1778" s="1" t="s">
        <v>7793</v>
      </c>
      <c r="K1778" s="1" t="s">
        <v>22</v>
      </c>
      <c r="L1778" s="1" t="str">
        <f>HYPERLINK("https://files.afu.se/Downloads/Transcripts/0%20-%20Government/USA%20-%20NASA%20Johnson/2014 06 12 - NASA Johnson - Space Station Live  Veggie Harvest Shows Promise_tixSKAAfiiw - transcript (automated).pdf","Transcript Link")</f>
        <v>Transcript Link</v>
      </c>
      <c r="M1778" s="2" t="str">
        <f>HYPERLINK("https://files.afu.se/Downloads/Transcripts/0%20-%20Government/USA%20-%20NASA%20Johnson/2014 06 12 - NASA Johnson - Space Station Live  Veggie Harvest Shows Promise_tixSKAAfiiw - transcript (automated).pdf","Transcript Link")</f>
        <v>Transcript Link</v>
      </c>
    </row>
    <row r="1779" ht="180" spans="1:13">
      <c r="A1779" s="1" t="s">
        <v>7794</v>
      </c>
      <c r="B1779" s="1" t="s">
        <v>13</v>
      </c>
      <c r="C1779" s="4" t="s">
        <v>7795</v>
      </c>
      <c r="D1779" s="1" t="s">
        <v>7796</v>
      </c>
      <c r="E1779" s="1" t="s">
        <v>7797</v>
      </c>
      <c r="F1779" s="4" t="s">
        <v>17</v>
      </c>
      <c r="G1779" s="1" t="s">
        <v>18</v>
      </c>
      <c r="H1779" s="1" t="s">
        <v>19</v>
      </c>
      <c r="I1779" s="1" t="s">
        <v>20</v>
      </c>
      <c r="J1779" s="1" t="s">
        <v>7798</v>
      </c>
      <c r="K1779" s="1" t="s">
        <v>22</v>
      </c>
      <c r="L1779" s="1" t="str">
        <f>HYPERLINK("https://files.afu.se/Downloads/Transcripts/0%20-%20Government/USA%20-%20NASA%20Johnson/2014 06 11 - NASA Johnson - Astronaut Vision Changes in Microgravity_laMmaGFZFZI - transcript (automated).pdf","Transcript Link")</f>
        <v>Transcript Link</v>
      </c>
      <c r="M1779" s="2" t="str">
        <f>HYPERLINK("https://files.afu.se/Downloads/Transcripts/0%20-%20Government/USA%20-%20NASA%20Johnson/2014 06 11 - NASA Johnson - Astronaut Vision Changes in Microgravity_laMmaGFZFZI - transcript (automated).pdf","Transcript Link")</f>
        <v>Transcript Link</v>
      </c>
    </row>
    <row r="1780" ht="180" spans="1:13">
      <c r="A1780" s="1" t="s">
        <v>7794</v>
      </c>
      <c r="B1780" s="1" t="s">
        <v>13</v>
      </c>
      <c r="C1780" s="4" t="s">
        <v>7799</v>
      </c>
      <c r="D1780" s="1" t="s">
        <v>7800</v>
      </c>
      <c r="E1780" s="1" t="s">
        <v>7801</v>
      </c>
      <c r="F1780" s="4" t="s">
        <v>17</v>
      </c>
      <c r="G1780" s="1" t="s">
        <v>18</v>
      </c>
      <c r="H1780" s="1" t="s">
        <v>19</v>
      </c>
      <c r="I1780" s="1" t="s">
        <v>20</v>
      </c>
      <c r="J1780" s="1" t="s">
        <v>7802</v>
      </c>
      <c r="K1780" s="1" t="s">
        <v>22</v>
      </c>
      <c r="L1780" s="1" t="str">
        <f>HYPERLINK("https://files.afu.se/Downloads/Transcripts/0%20-%20Government/USA%20-%20NASA%20Johnson/2014 06 11 - NASA Johnson - Astronauts to Watch World Cup Aboard Space Station_sLwW3pdXkFo - transcript (automated).pdf","Transcript Link")</f>
        <v>Transcript Link</v>
      </c>
      <c r="M1780" s="2" t="str">
        <f>HYPERLINK("https://files.afu.se/Downloads/Transcripts/0%20-%20Government/USA%20-%20NASA%20Johnson/2014 06 11 - NASA Johnson - Astronauts to Watch World Cup Aboard Space Station_sLwW3pdXkFo - transcript (automated).pdf","Transcript Link")</f>
        <v>Transcript Link</v>
      </c>
    </row>
    <row r="1781" ht="180" spans="1:13">
      <c r="A1781" s="1" t="s">
        <v>7794</v>
      </c>
      <c r="B1781" s="1" t="s">
        <v>13</v>
      </c>
      <c r="C1781" s="4" t="s">
        <v>7803</v>
      </c>
      <c r="D1781" s="1" t="s">
        <v>7804</v>
      </c>
      <c r="E1781" s="1" t="s">
        <v>7805</v>
      </c>
      <c r="F1781" s="4" t="s">
        <v>17</v>
      </c>
      <c r="G1781" s="1" t="s">
        <v>18</v>
      </c>
      <c r="H1781" s="1" t="s">
        <v>19</v>
      </c>
      <c r="I1781" s="1" t="s">
        <v>20</v>
      </c>
      <c r="J1781" s="1" t="s">
        <v>7806</v>
      </c>
      <c r="K1781" s="1" t="s">
        <v>22</v>
      </c>
      <c r="L1781" s="1" t="str">
        <f>HYPERLINK("https://files.afu.se/Downloads/Transcripts/0%20-%20Government/USA%20-%20NASA%20Johnson/2014 06 11 - NASA Johnson - Space Station Live  Upgrading Payload Operations_rnskwzPFijs - transcript (automated).pdf","Transcript Link")</f>
        <v>Transcript Link</v>
      </c>
      <c r="M1781" s="2" t="str">
        <f>HYPERLINK("https://files.afu.se/Downloads/Transcripts/0%20-%20Government/USA%20-%20NASA%20Johnson/2014 06 11 - NASA Johnson - Space Station Live  Upgrading Payload Operations_rnskwzPFijs - transcript (automated).pdf","Transcript Link")</f>
        <v>Transcript Link</v>
      </c>
    </row>
    <row r="1782" ht="180" spans="1:13">
      <c r="A1782" s="1" t="s">
        <v>7807</v>
      </c>
      <c r="B1782" s="1" t="s">
        <v>13</v>
      </c>
      <c r="C1782" s="4" t="s">
        <v>7808</v>
      </c>
      <c r="D1782" s="1" t="s">
        <v>7809</v>
      </c>
      <c r="E1782" s="1" t="s">
        <v>7810</v>
      </c>
      <c r="F1782" s="4" t="s">
        <v>17</v>
      </c>
      <c r="G1782" s="1" t="s">
        <v>18</v>
      </c>
      <c r="H1782" s="1" t="s">
        <v>19</v>
      </c>
      <c r="I1782" s="1" t="s">
        <v>20</v>
      </c>
      <c r="J1782" s="1" t="s">
        <v>7811</v>
      </c>
      <c r="K1782" s="1" t="s">
        <v>22</v>
      </c>
      <c r="L1782" s="1" t="str">
        <f>HYPERLINK("https://files.afu.se/Downloads/Transcripts/0%20-%20Government/USA%20-%20NASA%20Johnson/2014 06 10 - NASA Johnson - Space Station Live  CBS News Interviews Reid Wiseman_G6ZWuT-LSIQ - transcript (automated).pdf","Transcript Link")</f>
        <v>Transcript Link</v>
      </c>
      <c r="M1782" s="2" t="str">
        <f>HYPERLINK("https://files.afu.se/Downloads/Transcripts/0%20-%20Government/USA%20-%20NASA%20Johnson/2014 06 10 - NASA Johnson - Space Station Live  CBS News Interviews Reid Wiseman_G6ZWuT-LSIQ - transcript (automated).pdf","Transcript Link")</f>
        <v>Transcript Link</v>
      </c>
    </row>
    <row r="1783" ht="180" spans="1:13">
      <c r="A1783" s="1" t="s">
        <v>7812</v>
      </c>
      <c r="B1783" s="1" t="s">
        <v>13</v>
      </c>
      <c r="C1783" s="4" t="s">
        <v>7813</v>
      </c>
      <c r="D1783" s="1" t="s">
        <v>7814</v>
      </c>
      <c r="E1783" s="1" t="s">
        <v>5059</v>
      </c>
      <c r="F1783" s="4" t="s">
        <v>17</v>
      </c>
      <c r="G1783" s="1" t="s">
        <v>18</v>
      </c>
      <c r="H1783" s="1" t="s">
        <v>19</v>
      </c>
      <c r="I1783" s="1" t="s">
        <v>20</v>
      </c>
      <c r="J1783" s="1" t="s">
        <v>7815</v>
      </c>
      <c r="K1783" s="1" t="s">
        <v>22</v>
      </c>
      <c r="L1783" s="1" t="str">
        <f>HYPERLINK("https://files.afu.se/Downloads/Transcripts/0%20-%20Government/USA%20-%20NASA%20Johnson/2014 06 06 - NASA Johnson - Space to Ground  Tweets From 250 Miles Up  June 6, 2014_GehurZjIA0w - transcript (automated).pdf","Transcript Link")</f>
        <v>Transcript Link</v>
      </c>
      <c r="M1783" s="2" t="str">
        <f>HYPERLINK("https://files.afu.se/Downloads/Transcripts/0%20-%20Government/USA%20-%20NASA%20Johnson/2014 06 06 - NASA Johnson - Space to Ground  Tweets From 250 Miles Up  June 6, 2014_GehurZjIA0w - transcript (automated).pdf","Transcript Link")</f>
        <v>Transcript Link</v>
      </c>
    </row>
    <row r="1784" ht="180" spans="1:13">
      <c r="A1784" s="1" t="s">
        <v>7816</v>
      </c>
      <c r="B1784" s="1" t="s">
        <v>13</v>
      </c>
      <c r="C1784" s="4" t="s">
        <v>7817</v>
      </c>
      <c r="D1784" s="1" t="s">
        <v>7818</v>
      </c>
      <c r="E1784" s="1" t="s">
        <v>7819</v>
      </c>
      <c r="F1784" s="4" t="s">
        <v>17</v>
      </c>
      <c r="G1784" s="1" t="s">
        <v>18</v>
      </c>
      <c r="H1784" s="1" t="s">
        <v>19</v>
      </c>
      <c r="I1784" s="1" t="s">
        <v>20</v>
      </c>
      <c r="J1784" s="1" t="s">
        <v>7820</v>
      </c>
      <c r="K1784" s="1" t="s">
        <v>22</v>
      </c>
      <c r="L1784" s="1" t="str">
        <f>HYPERLINK("https://files.afu.se/Downloads/Transcripts/0%20-%20Government/USA%20-%20NASA%20Johnson/2014 06 05 - NASA Johnson - Space Station Live  Preps for Deep Space Exploration_O5asRmTtfpY - transcript (automated).pdf","Transcript Link")</f>
        <v>Transcript Link</v>
      </c>
      <c r="M1784" s="2" t="str">
        <f>HYPERLINK("https://files.afu.se/Downloads/Transcripts/0%20-%20Government/USA%20-%20NASA%20Johnson/2014 06 05 - NASA Johnson - Space Station Live  Preps for Deep Space Exploration_O5asRmTtfpY - transcript (automated).pdf","Transcript Link")</f>
        <v>Transcript Link</v>
      </c>
    </row>
    <row r="1785" ht="180" spans="1:13">
      <c r="A1785" s="1" t="s">
        <v>7816</v>
      </c>
      <c r="B1785" s="1" t="s">
        <v>13</v>
      </c>
      <c r="C1785" s="4" t="s">
        <v>7821</v>
      </c>
      <c r="D1785" s="1" t="s">
        <v>7822</v>
      </c>
      <c r="E1785" s="1" t="s">
        <v>7823</v>
      </c>
      <c r="F1785" s="4" t="s">
        <v>17</v>
      </c>
      <c r="G1785" s="1" t="s">
        <v>18</v>
      </c>
      <c r="H1785" s="1" t="s">
        <v>19</v>
      </c>
      <c r="I1785" s="1" t="s">
        <v>20</v>
      </c>
      <c r="J1785" s="1" t="s">
        <v>7824</v>
      </c>
      <c r="K1785" s="1" t="s">
        <v>22</v>
      </c>
      <c r="L1785" s="1" t="str">
        <f>HYPERLINK("https://files.afu.se/Downloads/Transcripts/0%20-%20Government/USA%20-%20NASA%20Johnson/2014 06 05 - NASA Johnson - Preparing America for Deep Space Exploration  Episode 6_6bQCWkrFBS0 - transcript (automated).pdf","Transcript Link")</f>
        <v>Transcript Link</v>
      </c>
      <c r="M1785" s="2" t="str">
        <f>HYPERLINK("https://files.afu.se/Downloads/Transcripts/0%20-%20Government/USA%20-%20NASA%20Johnson/2014 06 05 - NASA Johnson - Preparing America for Deep Space Exploration  Episode 6_6bQCWkrFBS0 - transcript (automated).pdf","Transcript Link")</f>
        <v>Transcript Link</v>
      </c>
    </row>
    <row r="1786" ht="180" spans="1:13">
      <c r="A1786" s="1" t="s">
        <v>7816</v>
      </c>
      <c r="B1786" s="1" t="s">
        <v>13</v>
      </c>
      <c r="C1786" s="4" t="s">
        <v>7825</v>
      </c>
      <c r="D1786" s="1" t="s">
        <v>7826</v>
      </c>
      <c r="E1786" s="1" t="s">
        <v>7827</v>
      </c>
      <c r="F1786" s="4" t="s">
        <v>17</v>
      </c>
      <c r="G1786" s="1" t="s">
        <v>18</v>
      </c>
      <c r="H1786" s="1" t="s">
        <v>19</v>
      </c>
      <c r="I1786" s="1" t="s">
        <v>20</v>
      </c>
      <c r="J1786" s="1" t="s">
        <v>7828</v>
      </c>
      <c r="K1786" s="1" t="s">
        <v>22</v>
      </c>
      <c r="L1786" s="1" t="str">
        <f>HYPERLINK("https://files.afu.se/Downloads/Transcripts/0%20-%20Government/USA%20-%20NASA%20Johnson/2014 06 05 - NASA Johnson - Space Station Live  Expedition 40 Science Under Way!_Qf6ArVwQ120 - transcript (automated).pdf","Transcript Link")</f>
        <v>Transcript Link</v>
      </c>
      <c r="M1786" s="2" t="str">
        <f>HYPERLINK("https://files.afu.se/Downloads/Transcripts/0%20-%20Government/USA%20-%20NASA%20Johnson/2014 06 05 - NASA Johnson - Space Station Live  Expedition 40 Science Under Way!_Qf6ArVwQ120 - transcript (automated).pdf","Transcript Link")</f>
        <v>Transcript Link</v>
      </c>
    </row>
    <row r="1787" ht="180" spans="1:13">
      <c r="A1787" s="1" t="s">
        <v>7829</v>
      </c>
      <c r="B1787" s="1" t="s">
        <v>13</v>
      </c>
      <c r="C1787" s="4" t="s">
        <v>7830</v>
      </c>
      <c r="D1787" s="1" t="s">
        <v>7831</v>
      </c>
      <c r="E1787" s="1" t="s">
        <v>7832</v>
      </c>
      <c r="F1787" s="4" t="s">
        <v>17</v>
      </c>
      <c r="G1787" s="1" t="s">
        <v>18</v>
      </c>
      <c r="H1787" s="1" t="s">
        <v>19</v>
      </c>
      <c r="I1787" s="1" t="s">
        <v>20</v>
      </c>
      <c r="J1787" s="1" t="s">
        <v>7833</v>
      </c>
      <c r="K1787" s="1" t="s">
        <v>22</v>
      </c>
      <c r="L1787" s="1" t="str">
        <f>HYPERLINK("https://files.afu.se/Downloads/Transcripts/0%20-%20Government/USA%20-%20NASA%20Johnson/2014 06 04 - NASA Johnson - COTS Highlights_r2GhWt1chYc - transcript (automated).pdf","Transcript Link")</f>
        <v>Transcript Link</v>
      </c>
      <c r="M1787" s="2" t="str">
        <f>HYPERLINK("https://files.afu.se/Downloads/Transcripts/0%20-%20Government/USA%20-%20NASA%20Johnson/2014 06 04 - NASA Johnson - COTS Highlights_r2GhWt1chYc - transcript (automated).pdf","Transcript Link")</f>
        <v>Transcript Link</v>
      </c>
    </row>
    <row r="1788" ht="180" spans="1:13">
      <c r="A1788" s="1" t="s">
        <v>7829</v>
      </c>
      <c r="B1788" s="1" t="s">
        <v>13</v>
      </c>
      <c r="C1788" s="4" t="s">
        <v>7834</v>
      </c>
      <c r="D1788" s="1" t="s">
        <v>7835</v>
      </c>
      <c r="E1788" s="1" t="s">
        <v>7836</v>
      </c>
      <c r="F1788" s="4" t="s">
        <v>17</v>
      </c>
      <c r="G1788" s="1" t="s">
        <v>18</v>
      </c>
      <c r="H1788" s="1" t="s">
        <v>19</v>
      </c>
      <c r="I1788" s="1" t="s">
        <v>20</v>
      </c>
      <c r="J1788" s="1" t="s">
        <v>7837</v>
      </c>
      <c r="K1788" s="1" t="s">
        <v>22</v>
      </c>
      <c r="L1788" s="1" t="str">
        <f>HYPERLINK("https://files.afu.se/Downloads/Transcripts/0%20-%20Government/USA%20-%20NASA%20Johnson/2014 06 04 - NASA Johnson - Space Station Live  Optical Communication From Space_e8-mITnP2YI - transcript (automated).pdf","Transcript Link")</f>
        <v>Transcript Link</v>
      </c>
      <c r="M1788" s="2" t="str">
        <f>HYPERLINK("https://files.afu.se/Downloads/Transcripts/0%20-%20Government/USA%20-%20NASA%20Johnson/2014 06 04 - NASA Johnson - Space Station Live  Optical Communication From Space_e8-mITnP2YI - transcript (automated).pdf","Transcript Link")</f>
        <v>Transcript Link</v>
      </c>
    </row>
    <row r="1789" ht="180" spans="1:13">
      <c r="A1789" s="1" t="s">
        <v>7838</v>
      </c>
      <c r="B1789" s="1" t="s">
        <v>13</v>
      </c>
      <c r="C1789" s="4" t="s">
        <v>7839</v>
      </c>
      <c r="D1789" s="1" t="s">
        <v>7840</v>
      </c>
      <c r="E1789" s="1" t="s">
        <v>7841</v>
      </c>
      <c r="F1789" s="4" t="s">
        <v>17</v>
      </c>
      <c r="G1789" s="1" t="s">
        <v>18</v>
      </c>
      <c r="H1789" s="1" t="s">
        <v>19</v>
      </c>
      <c r="I1789" s="1" t="s">
        <v>20</v>
      </c>
      <c r="J1789" s="1" t="s">
        <v>7842</v>
      </c>
      <c r="K1789" s="1" t="s">
        <v>22</v>
      </c>
      <c r="L1789" s="1" t="str">
        <f>HYPERLINK("https://files.afu.se/Downloads/Transcripts/0%20-%20Government/USA%20-%20NASA%20Johnson/2014 06 03 - NASA Johnson - Space Station Live  Subregional Bone Loss_coZRUh_O2S8 - transcript (automated).pdf","Transcript Link")</f>
        <v>Transcript Link</v>
      </c>
      <c r="M1789" s="2" t="str">
        <f>HYPERLINK("https://files.afu.se/Downloads/Transcripts/0%20-%20Government/USA%20-%20NASA%20Johnson/2014 06 03 - NASA Johnson - Space Station Live  Subregional Bone Loss_coZRUh_O2S8 - transcript (automated).pdf","Transcript Link")</f>
        <v>Transcript Link</v>
      </c>
    </row>
    <row r="1790" ht="180" spans="1:13">
      <c r="A1790" s="1" t="s">
        <v>7838</v>
      </c>
      <c r="B1790" s="1" t="s">
        <v>13</v>
      </c>
      <c r="C1790" s="4" t="s">
        <v>7843</v>
      </c>
      <c r="D1790" s="1" t="s">
        <v>7844</v>
      </c>
      <c r="E1790" s="1" t="s">
        <v>7845</v>
      </c>
      <c r="F1790" s="4" t="s">
        <v>17</v>
      </c>
      <c r="G1790" s="1" t="s">
        <v>18</v>
      </c>
      <c r="H1790" s="1" t="s">
        <v>19</v>
      </c>
      <c r="I1790" s="1" t="s">
        <v>20</v>
      </c>
      <c r="J1790" s="1" t="s">
        <v>7846</v>
      </c>
      <c r="K1790" s="1" t="s">
        <v>22</v>
      </c>
      <c r="L1790" s="1" t="str">
        <f>HYPERLINK("https://files.afu.se/Downloads/Transcripts/0%20-%20Government/USA%20-%20NASA%20Johnson/2014 06 03 - NASA Johnson - Space Station Live  Testing New Communications Systems In Space_vXvjddJ_Xzk - transcript (automated).pdf","Transcript Link")</f>
        <v>Transcript Link</v>
      </c>
      <c r="M1790" s="2" t="str">
        <f>HYPERLINK("https://files.afu.se/Downloads/Transcripts/0%20-%20Government/USA%20-%20NASA%20Johnson/2014 06 03 - NASA Johnson - Space Station Live  Testing New Communications Systems In Space_vXvjddJ_Xzk - transcript (automated).pdf","Transcript Link")</f>
        <v>Transcript Link</v>
      </c>
    </row>
    <row r="1791" ht="180" spans="1:13">
      <c r="A1791" s="1" t="s">
        <v>7838</v>
      </c>
      <c r="B1791" s="1" t="s">
        <v>13</v>
      </c>
      <c r="C1791" s="4" t="s">
        <v>7847</v>
      </c>
      <c r="D1791" s="1" t="s">
        <v>7848</v>
      </c>
      <c r="E1791" s="1" t="s">
        <v>7849</v>
      </c>
      <c r="F1791" s="4" t="s">
        <v>17</v>
      </c>
      <c r="G1791" s="1" t="s">
        <v>18</v>
      </c>
      <c r="H1791" s="1" t="s">
        <v>19</v>
      </c>
      <c r="I1791" s="1" t="s">
        <v>20</v>
      </c>
      <c r="J1791" s="1" t="s">
        <v>7850</v>
      </c>
      <c r="K1791" s="1" t="s">
        <v>22</v>
      </c>
      <c r="L1791" s="1" t="str">
        <f>HYPERLINK("https://files.afu.se/Downloads/Transcripts/0%20-%20Government/USA%20-%20NASA%20Johnson/2014 06 03 - NASA Johnson - Researching Bacteria's Virulence in Space_CSsSky_8myg - transcript (automated).pdf","Transcript Link")</f>
        <v>Transcript Link</v>
      </c>
      <c r="M1791" s="2" t="str">
        <f>HYPERLINK("https://files.afu.se/Downloads/Transcripts/0%20-%20Government/USA%20-%20NASA%20Johnson/2014 06 03 - NASA Johnson - Researching Bacteria's Virulence in Space_CSsSky_8myg - transcript (automated).pdf","Transcript Link")</f>
        <v>Transcript Link</v>
      </c>
    </row>
    <row r="1792" ht="180" spans="1:13">
      <c r="A1792" s="1" t="s">
        <v>7851</v>
      </c>
      <c r="B1792" s="1" t="s">
        <v>13</v>
      </c>
      <c r="C1792" s="4" t="s">
        <v>7852</v>
      </c>
      <c r="D1792" s="1" t="s">
        <v>7853</v>
      </c>
      <c r="E1792" s="1" t="s">
        <v>7854</v>
      </c>
      <c r="F1792" s="4" t="s">
        <v>17</v>
      </c>
      <c r="G1792" s="1" t="s">
        <v>18</v>
      </c>
      <c r="H1792" s="1" t="s">
        <v>19</v>
      </c>
      <c r="I1792" s="1" t="s">
        <v>20</v>
      </c>
      <c r="J1792" s="1" t="s">
        <v>7855</v>
      </c>
      <c r="K1792" s="1" t="s">
        <v>22</v>
      </c>
      <c r="L1792" s="1" t="str">
        <f>HYPERLINK("https://files.afu.se/Downloads/Transcripts/0%20-%20Government/USA%20-%20NASA%20Johnson/2014 05 30 - NASA Johnson - Space Station Live  Osteoporosis Research_9pRa5X07Vdk - transcript (automated).pdf","Transcript Link")</f>
        <v>Transcript Link</v>
      </c>
      <c r="M1792" s="2" t="str">
        <f>HYPERLINK("https://files.afu.se/Downloads/Transcripts/0%20-%20Government/USA%20-%20NASA%20Johnson/2014 05 30 - NASA Johnson - Space Station Live  Osteoporosis Research_9pRa5X07Vdk - transcript (automated).pdf","Transcript Link")</f>
        <v>Transcript Link</v>
      </c>
    </row>
    <row r="1793" ht="180" spans="1:13">
      <c r="A1793" s="1" t="s">
        <v>7851</v>
      </c>
      <c r="B1793" s="1" t="s">
        <v>13</v>
      </c>
      <c r="C1793" s="4" t="s">
        <v>7856</v>
      </c>
      <c r="D1793" s="1" t="s">
        <v>7857</v>
      </c>
      <c r="E1793" s="1" t="s">
        <v>7858</v>
      </c>
      <c r="F1793" s="4" t="s">
        <v>17</v>
      </c>
      <c r="G1793" s="1" t="s">
        <v>18</v>
      </c>
      <c r="H1793" s="1" t="s">
        <v>19</v>
      </c>
      <c r="I1793" s="1" t="s">
        <v>20</v>
      </c>
      <c r="J1793" s="1" t="s">
        <v>7859</v>
      </c>
      <c r="K1793" s="1" t="s">
        <v>22</v>
      </c>
      <c r="L1793" s="1" t="str">
        <f>HYPERLINK("https://files.afu.se/Downloads/Transcripts/0%20-%20Government/USA%20-%20NASA%20Johnson/2014 05 30 - NASA Johnson - Space Station Live  Astronaut Reid Wiseman_OVKubdxYGFk - transcript (automated).pdf","Transcript Link")</f>
        <v>Transcript Link</v>
      </c>
      <c r="M1793" s="2" t="str">
        <f>HYPERLINK("https://files.afu.se/Downloads/Transcripts/0%20-%20Government/USA%20-%20NASA%20Johnson/2014 05 30 - NASA Johnson - Space Station Live  Astronaut Reid Wiseman_OVKubdxYGFk - transcript (automated).pdf","Transcript Link")</f>
        <v>Transcript Link</v>
      </c>
    </row>
    <row r="1794" ht="180" spans="1:13">
      <c r="A1794" s="1" t="s">
        <v>7851</v>
      </c>
      <c r="B1794" s="1" t="s">
        <v>13</v>
      </c>
      <c r="C1794" s="4" t="s">
        <v>7860</v>
      </c>
      <c r="D1794" s="1" t="s">
        <v>7861</v>
      </c>
      <c r="E1794" s="1" t="s">
        <v>5059</v>
      </c>
      <c r="F1794" s="4" t="s">
        <v>17</v>
      </c>
      <c r="G1794" s="1" t="s">
        <v>18</v>
      </c>
      <c r="H1794" s="1" t="s">
        <v>19</v>
      </c>
      <c r="I1794" s="1" t="s">
        <v>20</v>
      </c>
      <c r="J1794" s="1" t="s">
        <v>7862</v>
      </c>
      <c r="K1794" s="1" t="s">
        <v>22</v>
      </c>
      <c r="L1794" s="1" t="str">
        <f>HYPERLINK("https://files.afu.se/Downloads/Transcripts/0%20-%20Government/USA%20-%20NASA%20Johnson/2014 05 30 - NASA Johnson - Space to Ground  New Crew Boards ISS  May 30, 2014_eLYeJXH5n44 - transcript (automated).pdf","Transcript Link")</f>
        <v>Transcript Link</v>
      </c>
      <c r="M1794" s="2" t="str">
        <f>HYPERLINK("https://files.afu.se/Downloads/Transcripts/0%20-%20Government/USA%20-%20NASA%20Johnson/2014 05 30 - NASA Johnson - Space to Ground  New Crew Boards ISS  May 30, 2014_eLYeJXH5n44 - transcript (automated).pdf","Transcript Link")</f>
        <v>Transcript Link</v>
      </c>
    </row>
    <row r="1795" ht="180" spans="1:13">
      <c r="A1795" s="1" t="s">
        <v>7863</v>
      </c>
      <c r="B1795" s="1" t="s">
        <v>13</v>
      </c>
      <c r="C1795" s="4" t="s">
        <v>7864</v>
      </c>
      <c r="D1795" s="1" t="s">
        <v>7865</v>
      </c>
      <c r="E1795" s="1" t="s">
        <v>7866</v>
      </c>
      <c r="F1795" s="4" t="s">
        <v>17</v>
      </c>
      <c r="G1795" s="1" t="s">
        <v>18</v>
      </c>
      <c r="H1795" s="1" t="s">
        <v>19</v>
      </c>
      <c r="I1795" s="1" t="s">
        <v>20</v>
      </c>
      <c r="J1795" s="1" t="s">
        <v>7867</v>
      </c>
      <c r="K1795" s="1" t="s">
        <v>22</v>
      </c>
      <c r="L1795" s="1" t="str">
        <f>HYPERLINK("https://files.afu.se/Downloads/Transcripts/0%20-%20Government/USA%20-%20NASA%20Johnson/2014 05 29 - NASA Johnson - Space Station Live _h1u2kBuPu2c - transcript (automated).pdf","Transcript Link")</f>
        <v>Transcript Link</v>
      </c>
      <c r="M1795" s="2" t="str">
        <f>HYPERLINK("https://files.afu.se/Downloads/Transcripts/0%20-%20Government/USA%20-%20NASA%20Johnson/2014 05 29 - NASA Johnson - Space Station Live _h1u2kBuPu2c - transcript (automated).pdf","Transcript Link")</f>
        <v>Transcript Link</v>
      </c>
    </row>
    <row r="1796" ht="180" spans="1:13">
      <c r="A1796" s="1" t="s">
        <v>7863</v>
      </c>
      <c r="B1796" s="1" t="s">
        <v>13</v>
      </c>
      <c r="C1796" s="4" t="s">
        <v>7868</v>
      </c>
      <c r="D1796" s="1" t="s">
        <v>7869</v>
      </c>
      <c r="E1796" s="1" t="s">
        <v>7870</v>
      </c>
      <c r="F1796" s="4" t="s">
        <v>17</v>
      </c>
      <c r="G1796" s="1" t="s">
        <v>18</v>
      </c>
      <c r="H1796" s="1" t="s">
        <v>19</v>
      </c>
      <c r="I1796" s="1" t="s">
        <v>20</v>
      </c>
      <c r="J1796" s="1" t="s">
        <v>7871</v>
      </c>
      <c r="K1796" s="1" t="s">
        <v>22</v>
      </c>
      <c r="L1796" s="1" t="str">
        <f>HYPERLINK("https://files.afu.se/Downloads/Transcripts/0%20-%20Government/USA%20-%20NASA%20Johnson/2014 05 29 - NASA Johnson - Meet the Station's Expedition 40 Crew_zqhlzn49_q0 - transcript (automated).pdf","Transcript Link")</f>
        <v>Transcript Link</v>
      </c>
      <c r="M1796" s="2" t="str">
        <f>HYPERLINK("https://files.afu.se/Downloads/Transcripts/0%20-%20Government/USA%20-%20NASA%20Johnson/2014 05 29 - NASA Johnson - Meet the Station's Expedition 40 Crew_zqhlzn49_q0 - transcript (automated).pdf","Transcript Link")</f>
        <v>Transcript Link</v>
      </c>
    </row>
    <row r="1797" ht="180" spans="1:13">
      <c r="A1797" s="1" t="s">
        <v>7863</v>
      </c>
      <c r="B1797" s="1" t="s">
        <v>13</v>
      </c>
      <c r="C1797" s="4" t="s">
        <v>7872</v>
      </c>
      <c r="D1797" s="1" t="s">
        <v>7873</v>
      </c>
      <c r="E1797" s="1" t="s">
        <v>7874</v>
      </c>
      <c r="F1797" s="4" t="s">
        <v>17</v>
      </c>
      <c r="G1797" s="1" t="s">
        <v>18</v>
      </c>
      <c r="H1797" s="1" t="s">
        <v>19</v>
      </c>
      <c r="I1797" s="1" t="s">
        <v>20</v>
      </c>
      <c r="J1797" s="1" t="s">
        <v>7875</v>
      </c>
      <c r="K1797" s="1" t="s">
        <v>22</v>
      </c>
      <c r="L1797" s="1" t="str">
        <f>HYPERLINK("https://files.afu.se/Downloads/Transcripts/0%20-%20Government/USA%20-%20NASA%20Johnson/2014 05 29 - NASA Johnson - Welcome Aboard! New Crew Arrives on Space Station_4yqmhsrfBoQ - transcript (automated).pdf","Transcript Link")</f>
        <v>Transcript Link</v>
      </c>
      <c r="M1797" s="2" t="str">
        <f>HYPERLINK("https://files.afu.se/Downloads/Transcripts/0%20-%20Government/USA%20-%20NASA%20Johnson/2014 05 29 - NASA Johnson - Welcome Aboard! New Crew Arrives on Space Station_4yqmhsrfBoQ - transcript (automated).pdf","Transcript Link")</f>
        <v>Transcript Link</v>
      </c>
    </row>
    <row r="1798" ht="180" spans="1:13">
      <c r="A1798" s="1" t="s">
        <v>7863</v>
      </c>
      <c r="B1798" s="1" t="s">
        <v>13</v>
      </c>
      <c r="C1798" s="4" t="s">
        <v>7876</v>
      </c>
      <c r="D1798" s="1" t="s">
        <v>7877</v>
      </c>
      <c r="E1798" s="1" t="s">
        <v>7878</v>
      </c>
      <c r="F1798" s="4" t="s">
        <v>17</v>
      </c>
      <c r="G1798" s="1" t="s">
        <v>18</v>
      </c>
      <c r="H1798" s="1" t="s">
        <v>19</v>
      </c>
      <c r="I1798" s="1" t="s">
        <v>20</v>
      </c>
      <c r="J1798" s="1" t="s">
        <v>7879</v>
      </c>
      <c r="K1798" s="1" t="s">
        <v>22</v>
      </c>
      <c r="L1798" s="1" t="str">
        <f>HYPERLINK("https://files.afu.se/Downloads/Transcripts/0%20-%20Government/USA%20-%20NASA%20Johnson/2014 05 29 - NASA Johnson - Expedition 40 Soyuz Docks to Space Station_w0RuyH592S0 - transcript (automated).pdf","Transcript Link")</f>
        <v>Transcript Link</v>
      </c>
      <c r="M1798" s="2" t="str">
        <f>HYPERLINK("https://files.afu.se/Downloads/Transcripts/0%20-%20Government/USA%20-%20NASA%20Johnson/2014 05 29 - NASA Johnson - Expedition 40 Soyuz Docks to Space Station_w0RuyH592S0 - transcript (automated).pdf","Transcript Link")</f>
        <v>Transcript Link</v>
      </c>
    </row>
    <row r="1799" ht="180" spans="1:13">
      <c r="A1799" s="1" t="s">
        <v>7880</v>
      </c>
      <c r="B1799" s="1" t="s">
        <v>13</v>
      </c>
      <c r="C1799" s="4" t="s">
        <v>7881</v>
      </c>
      <c r="D1799" s="1" t="s">
        <v>7882</v>
      </c>
      <c r="E1799" s="1" t="s">
        <v>7883</v>
      </c>
      <c r="F1799" s="4" t="s">
        <v>17</v>
      </c>
      <c r="G1799" s="1" t="s">
        <v>18</v>
      </c>
      <c r="H1799" s="1" t="s">
        <v>19</v>
      </c>
      <c r="I1799" s="1" t="s">
        <v>20</v>
      </c>
      <c r="J1799" s="1" t="s">
        <v>7884</v>
      </c>
      <c r="K1799" s="1" t="s">
        <v>22</v>
      </c>
      <c r="L1799" s="1" t="str">
        <f>HYPERLINK("https://files.afu.se/Downloads/Transcripts/0%20-%20Government/USA%20-%20NASA%20Johnson/2014 05 28 - NASA Johnson - New Crew Begins Journey to Space Station_g-NsdyAYO0g - transcript (automated).pdf","Transcript Link")</f>
        <v>Transcript Link</v>
      </c>
      <c r="M1799" s="2" t="str">
        <f>HYPERLINK("https://files.afu.se/Downloads/Transcripts/0%20-%20Government/USA%20-%20NASA%20Johnson/2014 05 28 - NASA Johnson - New Crew Begins Journey to Space Station_g-NsdyAYO0g - transcript (automated).pdf","Transcript Link")</f>
        <v>Transcript Link</v>
      </c>
    </row>
    <row r="1800" ht="180" spans="1:13">
      <c r="A1800" s="1" t="s">
        <v>7880</v>
      </c>
      <c r="B1800" s="1" t="s">
        <v>13</v>
      </c>
      <c r="C1800" s="4" t="s">
        <v>7885</v>
      </c>
      <c r="D1800" s="1" t="s">
        <v>7886</v>
      </c>
      <c r="E1800" s="1" t="s">
        <v>7887</v>
      </c>
      <c r="F1800" s="4" t="s">
        <v>17</v>
      </c>
      <c r="G1800" s="1" t="s">
        <v>18</v>
      </c>
      <c r="H1800" s="1" t="s">
        <v>19</v>
      </c>
      <c r="I1800" s="1" t="s">
        <v>20</v>
      </c>
      <c r="J1800" s="1" t="s">
        <v>7888</v>
      </c>
      <c r="K1800" s="1" t="s">
        <v>22</v>
      </c>
      <c r="L1800" s="1" t="str">
        <f>HYPERLINK("https://files.afu.se/Downloads/Transcripts/0%20-%20Government/USA%20-%20NASA%20Johnson/2014 05 28 - NASA Johnson - Alexander Gerst Crew Profile_dobPM34aJs8 - transcript (automated).pdf","Transcript Link")</f>
        <v>Transcript Link</v>
      </c>
      <c r="M1800" s="2" t="str">
        <f>HYPERLINK("https://files.afu.se/Downloads/Transcripts/0%20-%20Government/USA%20-%20NASA%20Johnson/2014 05 28 - NASA Johnson - Alexander Gerst Crew Profile_dobPM34aJs8 - transcript (automated).pdf","Transcript Link")</f>
        <v>Transcript Link</v>
      </c>
    </row>
    <row r="1801" ht="180" spans="1:13">
      <c r="A1801" s="1" t="s">
        <v>7880</v>
      </c>
      <c r="B1801" s="1" t="s">
        <v>13</v>
      </c>
      <c r="C1801" s="4" t="s">
        <v>7889</v>
      </c>
      <c r="D1801" s="1" t="s">
        <v>7890</v>
      </c>
      <c r="E1801" s="1" t="s">
        <v>7891</v>
      </c>
      <c r="F1801" s="4" t="s">
        <v>17</v>
      </c>
      <c r="G1801" s="1" t="s">
        <v>18</v>
      </c>
      <c r="H1801" s="1" t="s">
        <v>19</v>
      </c>
      <c r="I1801" s="1" t="s">
        <v>20</v>
      </c>
      <c r="J1801" s="1" t="s">
        <v>7892</v>
      </c>
      <c r="K1801" s="1" t="s">
        <v>22</v>
      </c>
      <c r="L1801" s="1" t="str">
        <f>HYPERLINK("https://files.afu.se/Downloads/Transcripts/0%20-%20Government/USA%20-%20NASA%20Johnson/2014 05 28 - NASA Johnson - Reid Wiseman Crew Profile_T7OcgHp4Zp4 - transcript (automated).pdf","Transcript Link")</f>
        <v>Transcript Link</v>
      </c>
      <c r="M1801" s="2" t="str">
        <f>HYPERLINK("https://files.afu.se/Downloads/Transcripts/0%20-%20Government/USA%20-%20NASA%20Johnson/2014 05 28 - NASA Johnson - Reid Wiseman Crew Profile_T7OcgHp4Zp4 - transcript (automated).pdf","Transcript Link")</f>
        <v>Transcript Link</v>
      </c>
    </row>
    <row r="1802" ht="180" spans="1:13">
      <c r="A1802" s="1" t="s">
        <v>7880</v>
      </c>
      <c r="B1802" s="1" t="s">
        <v>13</v>
      </c>
      <c r="C1802" s="4" t="s">
        <v>7893</v>
      </c>
      <c r="D1802" s="1" t="s">
        <v>7894</v>
      </c>
      <c r="E1802" s="1" t="s">
        <v>7895</v>
      </c>
      <c r="F1802" s="4" t="s">
        <v>17</v>
      </c>
      <c r="G1802" s="1" t="s">
        <v>18</v>
      </c>
      <c r="H1802" s="1" t="s">
        <v>19</v>
      </c>
      <c r="I1802" s="1" t="s">
        <v>20</v>
      </c>
      <c r="J1802" s="1" t="s">
        <v>7896</v>
      </c>
      <c r="K1802" s="1" t="s">
        <v>22</v>
      </c>
      <c r="L1802" s="1" t="str">
        <f>HYPERLINK("https://files.afu.se/Downloads/Transcripts/0%20-%20Government/USA%20-%20NASA%20Johnson/2014 05 28 - NASA Johnson - Max Suraev Crew Profile_PrOdwo8gU6I - transcript (automated).pdf","Transcript Link")</f>
        <v>Transcript Link</v>
      </c>
      <c r="M1802" s="2" t="str">
        <f>HYPERLINK("https://files.afu.se/Downloads/Transcripts/0%20-%20Government/USA%20-%20NASA%20Johnson/2014 05 28 - NASA Johnson - Max Suraev Crew Profile_PrOdwo8gU6I - transcript (automated).pdf","Transcript Link")</f>
        <v>Transcript Link</v>
      </c>
    </row>
    <row r="1803" ht="180" spans="1:13">
      <c r="A1803" s="1" t="s">
        <v>7897</v>
      </c>
      <c r="B1803" s="1" t="s">
        <v>13</v>
      </c>
      <c r="C1803" s="4" t="s">
        <v>7898</v>
      </c>
      <c r="D1803" s="1" t="s">
        <v>7899</v>
      </c>
      <c r="E1803" s="1" t="s">
        <v>7900</v>
      </c>
      <c r="F1803" s="4" t="s">
        <v>17</v>
      </c>
      <c r="G1803" s="1" t="s">
        <v>18</v>
      </c>
      <c r="H1803" s="1" t="s">
        <v>19</v>
      </c>
      <c r="I1803" s="1" t="s">
        <v>20</v>
      </c>
      <c r="J1803" s="1" t="s">
        <v>7901</v>
      </c>
      <c r="K1803" s="1" t="s">
        <v>22</v>
      </c>
      <c r="L1803" s="1" t="str">
        <f>HYPERLINK("https://files.afu.se/Downloads/Transcripts/0%20-%20Government/USA%20-%20NASA%20Johnson/2014 05 27 - NASA Johnson - Expedition 40 41 Mission Overview_0OxoEnzAhFg - transcript (automated).pdf","Transcript Link")</f>
        <v>Transcript Link</v>
      </c>
      <c r="M1803" s="2" t="str">
        <f>HYPERLINK("https://files.afu.se/Downloads/Transcripts/0%20-%20Government/USA%20-%20NASA%20Johnson/2014 05 27 - NASA Johnson - Expedition 40 41 Mission Overview_0OxoEnzAhFg - transcript (automated).pdf","Transcript Link")</f>
        <v>Transcript Link</v>
      </c>
    </row>
    <row r="1804" ht="180" spans="1:13">
      <c r="A1804" s="1" t="s">
        <v>7897</v>
      </c>
      <c r="B1804" s="1" t="s">
        <v>13</v>
      </c>
      <c r="C1804" s="4" t="s">
        <v>7902</v>
      </c>
      <c r="D1804" s="1" t="s">
        <v>7903</v>
      </c>
      <c r="E1804" s="1" t="s">
        <v>7904</v>
      </c>
      <c r="F1804" s="4" t="s">
        <v>17</v>
      </c>
      <c r="G1804" s="1" t="s">
        <v>18</v>
      </c>
      <c r="H1804" s="1" t="s">
        <v>19</v>
      </c>
      <c r="I1804" s="1" t="s">
        <v>20</v>
      </c>
      <c r="J1804" s="1" t="s">
        <v>7905</v>
      </c>
      <c r="K1804" s="1" t="s">
        <v>22</v>
      </c>
      <c r="L1804" s="1" t="str">
        <f>HYPERLINK("https://files.afu.se/Downloads/Transcripts/0%20-%20Government/USA%20-%20NASA%20Johnson/2014 05 27 - NASA Johnson - Space Station Live  Exploration Flight Test 1 Operations_SSGhP0aOcAQ - transcript (automated).pdf","Transcript Link")</f>
        <v>Transcript Link</v>
      </c>
      <c r="M1804" s="2" t="str">
        <f>HYPERLINK("https://files.afu.se/Downloads/Transcripts/0%20-%20Government/USA%20-%20NASA%20Johnson/2014 05 27 - NASA Johnson - Space Station Live  Exploration Flight Test 1 Operations_SSGhP0aOcAQ - transcript (automated).pdf","Transcript Link")</f>
        <v>Transcript Link</v>
      </c>
    </row>
    <row r="1805" ht="180" spans="1:13">
      <c r="A1805" s="1" t="s">
        <v>7897</v>
      </c>
      <c r="B1805" s="1" t="s">
        <v>13</v>
      </c>
      <c r="C1805" s="4" t="s">
        <v>7906</v>
      </c>
      <c r="D1805" s="1" t="s">
        <v>7907</v>
      </c>
      <c r="E1805" s="1" t="s">
        <v>7908</v>
      </c>
      <c r="F1805" s="4" t="s">
        <v>17</v>
      </c>
      <c r="G1805" s="1" t="s">
        <v>18</v>
      </c>
      <c r="H1805" s="1" t="s">
        <v>19</v>
      </c>
      <c r="I1805" s="1" t="s">
        <v>20</v>
      </c>
      <c r="J1805" s="1" t="s">
        <v>7909</v>
      </c>
      <c r="K1805" s="1" t="s">
        <v>22</v>
      </c>
      <c r="L1805" s="1" t="str">
        <f>HYPERLINK("https://files.afu.se/Downloads/Transcripts/0%20-%20Government/USA%20-%20NASA%20Johnson/2014 05 27 - NASA Johnson - Expedition 40 Crew Profile_2v-3Cehq-d4 - transcript (automated).pdf","Transcript Link")</f>
        <v>Transcript Link</v>
      </c>
      <c r="M1805" s="2" t="str">
        <f>HYPERLINK("https://files.afu.se/Downloads/Transcripts/0%20-%20Government/USA%20-%20NASA%20Johnson/2014 05 27 - NASA Johnson - Expedition 40 Crew Profile_2v-3Cehq-d4 - transcript (automated).pdf","Transcript Link")</f>
        <v>Transcript Link</v>
      </c>
    </row>
    <row r="1806" ht="180" spans="1:13">
      <c r="A1806" s="1" t="s">
        <v>7910</v>
      </c>
      <c r="B1806" s="1" t="s">
        <v>13</v>
      </c>
      <c r="C1806" s="4" t="s">
        <v>7911</v>
      </c>
      <c r="D1806" s="1" t="s">
        <v>7912</v>
      </c>
      <c r="E1806" s="1" t="s">
        <v>7913</v>
      </c>
      <c r="F1806" s="4" t="s">
        <v>17</v>
      </c>
      <c r="G1806" s="1" t="s">
        <v>18</v>
      </c>
      <c r="H1806" s="1" t="s">
        <v>19</v>
      </c>
      <c r="I1806" s="1" t="s">
        <v>20</v>
      </c>
      <c r="J1806" s="1" t="s">
        <v>7914</v>
      </c>
      <c r="K1806" s="1" t="s">
        <v>22</v>
      </c>
      <c r="L1806" s="1" t="str">
        <f>HYPERLINK("https://files.afu.se/Downloads/Transcripts/0%20-%20Government/USA%20-%20NASA%20Johnson/2014 05 23 - NASA Johnson - Space Station Live  Short, High-Intensity Exercise to Stay in Space Shape_Q9Z6-1Lt00o - transcript (automated).pdf","Transcript Link")</f>
        <v>Transcript Link</v>
      </c>
      <c r="M1806" s="2" t="str">
        <f>HYPERLINK("https://files.afu.se/Downloads/Transcripts/0%20-%20Government/USA%20-%20NASA%20Johnson/2014 05 23 - NASA Johnson - Space Station Live  Short, High-Intensity Exercise to Stay in Space Shape_Q9Z6-1Lt00o - transcript (automated).pdf","Transcript Link")</f>
        <v>Transcript Link</v>
      </c>
    </row>
    <row r="1807" ht="180" spans="1:13">
      <c r="A1807" s="1" t="s">
        <v>7910</v>
      </c>
      <c r="B1807" s="1" t="s">
        <v>13</v>
      </c>
      <c r="C1807" s="4" t="s">
        <v>7915</v>
      </c>
      <c r="D1807" s="1" t="s">
        <v>7916</v>
      </c>
      <c r="E1807" s="1" t="s">
        <v>5059</v>
      </c>
      <c r="F1807" s="4" t="s">
        <v>17</v>
      </c>
      <c r="G1807" s="1" t="s">
        <v>18</v>
      </c>
      <c r="H1807" s="1" t="s">
        <v>19</v>
      </c>
      <c r="I1807" s="1" t="s">
        <v>20</v>
      </c>
      <c r="J1807" s="1" t="s">
        <v>7917</v>
      </c>
      <c r="K1807" s="1" t="s">
        <v>22</v>
      </c>
      <c r="L1807" s="1" t="str">
        <f>HYPERLINK("https://files.afu.se/Downloads/Transcripts/0%20-%20Government/USA%20-%20NASA%20Johnson/2014 05 23 - NASA Johnson - Space To Ground  Ready To Fly  May 23, 2014_jywPZvL7Vu0 - transcript (automated).pdf","Transcript Link")</f>
        <v>Transcript Link</v>
      </c>
      <c r="M1807" s="2" t="str">
        <f>HYPERLINK("https://files.afu.se/Downloads/Transcripts/0%20-%20Government/USA%20-%20NASA%20Johnson/2014 05 23 - NASA Johnson - Space To Ground  Ready To Fly  May 23, 2014_jywPZvL7Vu0 - transcript (automated).pdf","Transcript Link")</f>
        <v>Transcript Link</v>
      </c>
    </row>
    <row r="1808" ht="195" spans="1:13">
      <c r="A1808" s="1" t="s">
        <v>7918</v>
      </c>
      <c r="B1808" s="1" t="s">
        <v>13</v>
      </c>
      <c r="C1808" s="4" t="s">
        <v>7919</v>
      </c>
      <c r="D1808" s="1" t="s">
        <v>7920</v>
      </c>
      <c r="E1808" s="1" t="s">
        <v>7921</v>
      </c>
      <c r="F1808" s="4" t="s">
        <v>17</v>
      </c>
      <c r="G1808" s="1" t="s">
        <v>18</v>
      </c>
      <c r="H1808" s="1" t="s">
        <v>19</v>
      </c>
      <c r="I1808" s="1" t="s">
        <v>20</v>
      </c>
      <c r="J1808" s="1" t="s">
        <v>7922</v>
      </c>
      <c r="K1808" s="1" t="s">
        <v>22</v>
      </c>
      <c r="L1808" s="1" t="str">
        <f>HYPERLINK("https://files.afu.se/Downloads/Transcripts/0%20-%20Government/USA%20-%20NASA%20Johnson/2014 05 22 - NASA Johnson - Space Station Live  3D Printing in Space_vgZymJC4a-g - transcript (automated).pdf","Transcript Link")</f>
        <v>Transcript Link</v>
      </c>
      <c r="M1808" s="2" t="str">
        <f>HYPERLINK("https://files.afu.se/Downloads/Transcripts/0%20-%20Government/USA%20-%20NASA%20Johnson/2014 05 22 - NASA Johnson - Space Station Live  3D Printing in Space_vgZymJC4a-g - transcript (automated).pdf","Transcript Link")</f>
        <v>Transcript Link</v>
      </c>
    </row>
    <row r="1809" ht="180" spans="1:13">
      <c r="A1809" s="1" t="s">
        <v>7923</v>
      </c>
      <c r="B1809" s="1" t="s">
        <v>13</v>
      </c>
      <c r="C1809" s="4" t="s">
        <v>7924</v>
      </c>
      <c r="D1809" s="1" t="s">
        <v>7925</v>
      </c>
      <c r="E1809" s="1" t="s">
        <v>7926</v>
      </c>
      <c r="F1809" s="4" t="s">
        <v>17</v>
      </c>
      <c r="G1809" s="1" t="s">
        <v>18</v>
      </c>
      <c r="H1809" s="1" t="s">
        <v>19</v>
      </c>
      <c r="I1809" s="1" t="s">
        <v>20</v>
      </c>
      <c r="J1809" s="1" t="s">
        <v>7927</v>
      </c>
      <c r="K1809" s="1" t="s">
        <v>22</v>
      </c>
      <c r="L1809" s="1" t="str">
        <f>HYPERLINK("https://files.afu.se/Downloads/Transcripts/0%20-%20Government/USA%20-%20NASA%20Johnson/2014 05 21 - NASA Johnson - Rodent Research in Microgravity_wUgBiEgF138 - transcript (automated).pdf","Transcript Link")</f>
        <v>Transcript Link</v>
      </c>
      <c r="M1809" s="2" t="str">
        <f>HYPERLINK("https://files.afu.se/Downloads/Transcripts/0%20-%20Government/USA%20-%20NASA%20Johnson/2014 05 21 - NASA Johnson - Rodent Research in Microgravity_wUgBiEgF138 - transcript (automated).pdf","Transcript Link")</f>
        <v>Transcript Link</v>
      </c>
    </row>
    <row r="1810" ht="180" spans="1:13">
      <c r="A1810" s="1" t="s">
        <v>7923</v>
      </c>
      <c r="B1810" s="1" t="s">
        <v>13</v>
      </c>
      <c r="C1810" s="4" t="s">
        <v>7928</v>
      </c>
      <c r="D1810" s="1" t="s">
        <v>7929</v>
      </c>
      <c r="E1810" s="1" t="s">
        <v>7930</v>
      </c>
      <c r="F1810" s="4" t="s">
        <v>17</v>
      </c>
      <c r="G1810" s="1" t="s">
        <v>18</v>
      </c>
      <c r="H1810" s="1" t="s">
        <v>19</v>
      </c>
      <c r="I1810" s="1" t="s">
        <v>20</v>
      </c>
      <c r="J1810" s="1" t="s">
        <v>7931</v>
      </c>
      <c r="K1810" s="1" t="s">
        <v>22</v>
      </c>
      <c r="L1810" s="1" t="str">
        <f>HYPERLINK("https://files.afu.se/Downloads/Transcripts/0%20-%20Government/USA%20-%20NASA%20Johnson/2014 05 21 - NASA Johnson - Space Station Live  CASIS Manages Station U.S. National Laboratory__Hv3WDLqm3Q - transcript (automated).pdf","Transcript Link")</f>
        <v>Transcript Link</v>
      </c>
      <c r="M1810" s="2" t="str">
        <f>HYPERLINK("https://files.afu.se/Downloads/Transcripts/0%20-%20Government/USA%20-%20NASA%20Johnson/2014 05 21 - NASA Johnson - Space Station Live  CASIS Manages Station U.S. National Laboratory__Hv3WDLqm3Q - transcript (automated).pdf","Transcript Link")</f>
        <v>Transcript Link</v>
      </c>
    </row>
    <row r="1811" ht="180" spans="1:13">
      <c r="A1811" s="1" t="s">
        <v>7923</v>
      </c>
      <c r="B1811" s="1" t="s">
        <v>13</v>
      </c>
      <c r="C1811" s="4" t="s">
        <v>7932</v>
      </c>
      <c r="D1811" s="1" t="s">
        <v>7933</v>
      </c>
      <c r="E1811" s="1" t="s">
        <v>7934</v>
      </c>
      <c r="F1811" s="4" t="s">
        <v>17</v>
      </c>
      <c r="G1811" s="1" t="s">
        <v>18</v>
      </c>
      <c r="H1811" s="1" t="s">
        <v>19</v>
      </c>
      <c r="I1811" s="1" t="s">
        <v>20</v>
      </c>
      <c r="J1811" s="1" t="s">
        <v>7935</v>
      </c>
      <c r="K1811" s="1" t="s">
        <v>22</v>
      </c>
      <c r="L1811" s="1" t="str">
        <f>HYPERLINK("https://files.afu.se/Downloads/Transcripts/0%20-%20Government/USA%20-%20NASA%20Johnson/2014 05 21 - NASA Johnson - Expedition 40 41 Pre-Launch Activities at Baikonur Cosmodrome_EnpPsLf43r4 - transcript (automated).pdf","Transcript Link")</f>
        <v>Transcript Link</v>
      </c>
      <c r="M1811" s="2" t="str">
        <f>HYPERLINK("https://files.afu.se/Downloads/Transcripts/0%20-%20Government/USA%20-%20NASA%20Johnson/2014 05 21 - NASA Johnson - Expedition 40 41 Pre-Launch Activities at Baikonur Cosmodrome_EnpPsLf43r4 - transcript (automated).pdf","Transcript Link")</f>
        <v>Transcript Link</v>
      </c>
    </row>
    <row r="1812" ht="180" spans="1:13">
      <c r="A1812" s="1" t="s">
        <v>7923</v>
      </c>
      <c r="B1812" s="1" t="s">
        <v>13</v>
      </c>
      <c r="C1812" s="4" t="s">
        <v>7936</v>
      </c>
      <c r="D1812" s="1" t="s">
        <v>7937</v>
      </c>
      <c r="E1812" s="1" t="s">
        <v>7938</v>
      </c>
      <c r="F1812" s="4" t="s">
        <v>17</v>
      </c>
      <c r="G1812" s="1" t="s">
        <v>18</v>
      </c>
      <c r="H1812" s="1" t="s">
        <v>19</v>
      </c>
      <c r="I1812" s="1" t="s">
        <v>20</v>
      </c>
      <c r="J1812" s="1" t="s">
        <v>7939</v>
      </c>
      <c r="K1812" s="1" t="s">
        <v>22</v>
      </c>
      <c r="L1812" s="1" t="str">
        <f>HYPERLINK("https://files.afu.se/Downloads/Transcripts/0%20-%20Government/USA%20-%20NASA%20Johnson/2014 05 21 - NASA Johnson - Next Station Crew Tours Red Square on May 8_5bqqGcdtLYA - transcript (automated).pdf","Transcript Link")</f>
        <v>Transcript Link</v>
      </c>
      <c r="M1812" s="2" t="str">
        <f>HYPERLINK("https://files.afu.se/Downloads/Transcripts/0%20-%20Government/USA%20-%20NASA%20Johnson/2014 05 21 - NASA Johnson - Next Station Crew Tours Red Square on May 8_5bqqGcdtLYA - transcript (automated).pdf","Transcript Link")</f>
        <v>Transcript Link</v>
      </c>
    </row>
    <row r="1813" ht="180" spans="1:13">
      <c r="A1813" s="1" t="s">
        <v>7940</v>
      </c>
      <c r="B1813" s="1" t="s">
        <v>13</v>
      </c>
      <c r="C1813" s="4" t="s">
        <v>7941</v>
      </c>
      <c r="D1813" s="1" t="s">
        <v>7942</v>
      </c>
      <c r="E1813" s="1" t="s">
        <v>7943</v>
      </c>
      <c r="F1813" s="4" t="s">
        <v>17</v>
      </c>
      <c r="G1813" s="1" t="s">
        <v>18</v>
      </c>
      <c r="H1813" s="1" t="s">
        <v>19</v>
      </c>
      <c r="I1813" s="1" t="s">
        <v>20</v>
      </c>
      <c r="J1813" s="1" t="s">
        <v>7944</v>
      </c>
      <c r="K1813" s="1" t="s">
        <v>22</v>
      </c>
      <c r="L1813" s="1" t="str">
        <f>HYPERLINK("https://files.afu.se/Downloads/Transcripts/0%20-%20Government/USA%20-%20NASA%20Johnson/2014 05 19 - NASA Johnson - Space Station Live  X-Hab Academic Innovation Challenge_zgR5treTe6s - transcript (automated).pdf","Transcript Link")</f>
        <v>Transcript Link</v>
      </c>
      <c r="M1813" s="2" t="str">
        <f>HYPERLINK("https://files.afu.se/Downloads/Transcripts/0%20-%20Government/USA%20-%20NASA%20Johnson/2014 05 19 - NASA Johnson - Space Station Live  X-Hab Academic Innovation Challenge_zgR5treTe6s - transcript (automated).pdf","Transcript Link")</f>
        <v>Transcript Link</v>
      </c>
    </row>
    <row r="1814" ht="180" spans="1:13">
      <c r="A1814" s="1" t="s">
        <v>7945</v>
      </c>
      <c r="B1814" s="1" t="s">
        <v>13</v>
      </c>
      <c r="C1814" s="4" t="s">
        <v>7946</v>
      </c>
      <c r="D1814" s="1" t="s">
        <v>7947</v>
      </c>
      <c r="E1814" s="1" t="s">
        <v>7948</v>
      </c>
      <c r="F1814" s="4" t="s">
        <v>17</v>
      </c>
      <c r="G1814" s="1" t="s">
        <v>18</v>
      </c>
      <c r="H1814" s="1" t="s">
        <v>19</v>
      </c>
      <c r="I1814" s="1" t="s">
        <v>20</v>
      </c>
      <c r="J1814" s="1" t="s">
        <v>7949</v>
      </c>
      <c r="K1814" s="1" t="s">
        <v>22</v>
      </c>
      <c r="L1814" s="1" t="str">
        <f>HYPERLINK("https://files.afu.se/Downloads/Transcripts/0%20-%20Government/USA%20-%20NASA%20Johnson/2014 05 16 - NASA Johnson - Space Station Live  Force Shoes_WhGWOQr0m6E - transcript (automated).pdf","Transcript Link")</f>
        <v>Transcript Link</v>
      </c>
      <c r="M1814" s="2" t="str">
        <f>HYPERLINK("https://files.afu.se/Downloads/Transcripts/0%20-%20Government/USA%20-%20NASA%20Johnson/2014 05 16 - NASA Johnson - Space Station Live  Force Shoes_WhGWOQr0m6E - transcript (automated).pdf","Transcript Link")</f>
        <v>Transcript Link</v>
      </c>
    </row>
    <row r="1815" ht="180" spans="1:13">
      <c r="A1815" s="1" t="s">
        <v>7945</v>
      </c>
      <c r="B1815" s="1" t="s">
        <v>13</v>
      </c>
      <c r="C1815" s="4" t="s">
        <v>7950</v>
      </c>
      <c r="D1815" s="1" t="s">
        <v>7951</v>
      </c>
      <c r="E1815" s="1" t="s">
        <v>5059</v>
      </c>
      <c r="F1815" s="4" t="s">
        <v>17</v>
      </c>
      <c r="G1815" s="1" t="s">
        <v>18</v>
      </c>
      <c r="H1815" s="1" t="s">
        <v>19</v>
      </c>
      <c r="I1815" s="1" t="s">
        <v>20</v>
      </c>
      <c r="J1815" s="1" t="s">
        <v>7952</v>
      </c>
      <c r="K1815" s="1" t="s">
        <v>22</v>
      </c>
      <c r="L1815" s="1" t="str">
        <f>HYPERLINK("https://files.afu.se/Downloads/Transcripts/0%20-%20Government/USA%20-%20NASA%20Johnson/2014 05 16 - NASA Johnson - Space to Ground  Return to Earth  05 16 2014_90MbOj7lD-Q - transcript (automated).pdf","Transcript Link")</f>
        <v>Transcript Link</v>
      </c>
      <c r="M1815" s="2" t="str">
        <f>HYPERLINK("https://files.afu.se/Downloads/Transcripts/0%20-%20Government/USA%20-%20NASA%20Johnson/2014 05 16 - NASA Johnson - Space to Ground  Return to Earth  05 16 2014_90MbOj7lD-Q - transcript (automated).pdf","Transcript Link")</f>
        <v>Transcript Link</v>
      </c>
    </row>
    <row r="1816" ht="210" spans="1:13">
      <c r="A1816" s="1" t="s">
        <v>7953</v>
      </c>
      <c r="B1816" s="1" t="s">
        <v>13</v>
      </c>
      <c r="C1816" s="4" t="s">
        <v>7954</v>
      </c>
      <c r="D1816" s="1" t="s">
        <v>7955</v>
      </c>
      <c r="E1816" s="1" t="s">
        <v>7956</v>
      </c>
      <c r="F1816" s="4" t="s">
        <v>17</v>
      </c>
      <c r="G1816" s="1" t="s">
        <v>18</v>
      </c>
      <c r="H1816" s="1" t="s">
        <v>19</v>
      </c>
      <c r="I1816" s="1" t="s">
        <v>20</v>
      </c>
      <c r="J1816" s="1" t="s">
        <v>7957</v>
      </c>
      <c r="K1816" s="1" t="s">
        <v>22</v>
      </c>
      <c r="L1816" s="1" t="str">
        <f>HYPERLINK("https://files.afu.se/Downloads/Transcripts/0%20-%20Government/USA%20-%20NASA%20Johnson/2014 05 15 - NASA Johnson - Expedition 40 Departs to Launch Site_YeaxbbhOnX4 - transcript (automated).pdf","Transcript Link")</f>
        <v>Transcript Link</v>
      </c>
      <c r="M1816" s="2" t="str">
        <f>HYPERLINK("https://files.afu.se/Downloads/Transcripts/0%20-%20Government/USA%20-%20NASA%20Johnson/2014 05 15 - NASA Johnson - Expedition 40 Departs to Launch Site_YeaxbbhOnX4 - transcript (automated).pdf","Transcript Link")</f>
        <v>Transcript Link</v>
      </c>
    </row>
    <row r="1817" ht="180" spans="1:13">
      <c r="A1817" s="1" t="s">
        <v>7958</v>
      </c>
      <c r="B1817" s="1" t="s">
        <v>13</v>
      </c>
      <c r="C1817" s="4" t="s">
        <v>7959</v>
      </c>
      <c r="D1817" s="1" t="s">
        <v>7960</v>
      </c>
      <c r="E1817" s="1" t="s">
        <v>7961</v>
      </c>
      <c r="F1817" s="4" t="s">
        <v>17</v>
      </c>
      <c r="G1817" s="1" t="s">
        <v>18</v>
      </c>
      <c r="H1817" s="1" t="s">
        <v>19</v>
      </c>
      <c r="I1817" s="1" t="s">
        <v>20</v>
      </c>
      <c r="J1817" s="1" t="s">
        <v>7962</v>
      </c>
      <c r="K1817" s="1" t="s">
        <v>22</v>
      </c>
      <c r="L1817" s="1" t="str">
        <f>HYPERLINK("https://files.afu.se/Downloads/Transcripts/0%20-%20Government/USA%20-%20NASA%20Johnson/2014 05 14 - NASA Johnson - Welcome Home Expedition 39!_y0gy1WqB1n4 - transcript (automated).pdf","Transcript Link")</f>
        <v>Transcript Link</v>
      </c>
      <c r="M1817" s="2" t="str">
        <f>HYPERLINK("https://files.afu.se/Downloads/Transcripts/0%20-%20Government/USA%20-%20NASA%20Johnson/2014 05 14 - NASA Johnson - Welcome Home Expedition 39!_y0gy1WqB1n4 - transcript (automated).pdf","Transcript Link")</f>
        <v>Transcript Link</v>
      </c>
    </row>
    <row r="1818" ht="180" spans="1:13">
      <c r="A1818" s="1" t="s">
        <v>7958</v>
      </c>
      <c r="B1818" s="1" t="s">
        <v>13</v>
      </c>
      <c r="C1818" s="4" t="s">
        <v>7963</v>
      </c>
      <c r="D1818" s="1" t="s">
        <v>7964</v>
      </c>
      <c r="E1818" s="1" t="s">
        <v>7965</v>
      </c>
      <c r="F1818" s="4" t="s">
        <v>17</v>
      </c>
      <c r="G1818" s="1" t="s">
        <v>18</v>
      </c>
      <c r="H1818" s="1" t="s">
        <v>19</v>
      </c>
      <c r="I1818" s="1" t="s">
        <v>20</v>
      </c>
      <c r="J1818" s="1" t="s">
        <v>7966</v>
      </c>
      <c r="K1818" s="1" t="s">
        <v>22</v>
      </c>
      <c r="L1818" s="1" t="str">
        <f>HYPERLINK("https://files.afu.se/Downloads/Transcripts/0%20-%20Government/USA%20-%20NASA%20Johnson/2014 05 14 - NASA Johnson - The Power of NASA Interns_Tq-mef33XBg - transcript (automated).pdf","Transcript Link")</f>
        <v>Transcript Link</v>
      </c>
      <c r="M1818" s="2" t="str">
        <f>HYPERLINK("https://files.afu.se/Downloads/Transcripts/0%20-%20Government/USA%20-%20NASA%20Johnson/2014 05 14 - NASA Johnson - The Power of NASA Interns_Tq-mef33XBg - transcript (automated).pdf","Transcript Link")</f>
        <v>Transcript Link</v>
      </c>
    </row>
    <row r="1819" ht="180" spans="1:13">
      <c r="A1819" s="1" t="s">
        <v>7967</v>
      </c>
      <c r="B1819" s="1" t="s">
        <v>13</v>
      </c>
      <c r="C1819" s="4" t="s">
        <v>7968</v>
      </c>
      <c r="D1819" s="1" t="s">
        <v>7969</v>
      </c>
      <c r="E1819" s="1" t="s">
        <v>7970</v>
      </c>
      <c r="F1819" s="4" t="s">
        <v>17</v>
      </c>
      <c r="G1819" s="1" t="s">
        <v>18</v>
      </c>
      <c r="H1819" s="1" t="s">
        <v>19</v>
      </c>
      <c r="I1819" s="1" t="s">
        <v>20</v>
      </c>
      <c r="J1819" s="1" t="s">
        <v>7971</v>
      </c>
      <c r="K1819" s="1" t="s">
        <v>22</v>
      </c>
      <c r="L1819" s="1" t="str">
        <f>HYPERLINK("https://files.afu.se/Downloads/Transcripts/0%20-%20Government/USA%20-%20NASA%20Johnson/2014 05 13 - NASA Johnson - Expedition 39 Soyuz Undocks from Station_rX6lI__Trvw - transcript (automated).pdf","Transcript Link")</f>
        <v>Transcript Link</v>
      </c>
      <c r="M1819" s="2" t="str">
        <f>HYPERLINK("https://files.afu.se/Downloads/Transcripts/0%20-%20Government/USA%20-%20NASA%20Johnson/2014 05 13 - NASA Johnson - Expedition 39 Soyuz Undocks from Station_rX6lI__Trvw - transcript (automated).pdf","Transcript Link")</f>
        <v>Transcript Link</v>
      </c>
    </row>
    <row r="1820" ht="180" spans="1:13">
      <c r="A1820" s="1" t="s">
        <v>7967</v>
      </c>
      <c r="B1820" s="1" t="s">
        <v>13</v>
      </c>
      <c r="C1820" s="4" t="s">
        <v>7972</v>
      </c>
      <c r="D1820" s="1" t="s">
        <v>7973</v>
      </c>
      <c r="E1820" s="1" t="s">
        <v>7974</v>
      </c>
      <c r="F1820" s="4" t="s">
        <v>17</v>
      </c>
      <c r="G1820" s="1" t="s">
        <v>18</v>
      </c>
      <c r="H1820" s="1" t="s">
        <v>19</v>
      </c>
      <c r="I1820" s="1" t="s">
        <v>20</v>
      </c>
      <c r="J1820" s="1" t="s">
        <v>7975</v>
      </c>
      <c r="K1820" s="1" t="s">
        <v>22</v>
      </c>
      <c r="L1820" s="1" t="str">
        <f>HYPERLINK("https://files.afu.se/Downloads/Transcripts/0%20-%20Government/USA%20-%20NASA%20Johnson/2014 05 13 - NASA Johnson - Station Crewmates Board Soyuz for Journey Home_dfa6H1oWgEA - transcript (automated).pdf","Transcript Link")</f>
        <v>Transcript Link</v>
      </c>
      <c r="M1820" s="2" t="str">
        <f>HYPERLINK("https://files.afu.se/Downloads/Transcripts/0%20-%20Government/USA%20-%20NASA%20Johnson/2014 05 13 - NASA Johnson - Station Crewmates Board Soyuz for Journey Home_dfa6H1oWgEA - transcript (automated).pdf","Transcript Link")</f>
        <v>Transcript Link</v>
      </c>
    </row>
    <row r="1821" ht="180" spans="1:13">
      <c r="A1821" s="1" t="s">
        <v>7967</v>
      </c>
      <c r="B1821" s="1" t="s">
        <v>13</v>
      </c>
      <c r="C1821" s="4" t="s">
        <v>7976</v>
      </c>
      <c r="D1821" s="1" t="s">
        <v>7977</v>
      </c>
      <c r="E1821" s="1" t="s">
        <v>7978</v>
      </c>
      <c r="F1821" s="4" t="s">
        <v>17</v>
      </c>
      <c r="G1821" s="1" t="s">
        <v>18</v>
      </c>
      <c r="H1821" s="1" t="s">
        <v>19</v>
      </c>
      <c r="I1821" s="1" t="s">
        <v>20</v>
      </c>
      <c r="J1821" s="1" t="s">
        <v>7979</v>
      </c>
      <c r="K1821" s="1" t="s">
        <v>22</v>
      </c>
      <c r="L1821" s="1" t="str">
        <f>HYPERLINK("https://files.afu.se/Downloads/Transcripts/0%20-%20Government/USA%20-%20NASA%20Johnson/2014 05 13 - NASA Johnson - Space Station Live  Latest Science on the Orbital Laboratory_hxe4JHOFxM0 - transcript (automated).pdf","Transcript Link")</f>
        <v>Transcript Link</v>
      </c>
      <c r="M1821" s="2" t="str">
        <f>HYPERLINK("https://files.afu.se/Downloads/Transcripts/0%20-%20Government/USA%20-%20NASA%20Johnson/2014 05 13 - NASA Johnson - Space Station Live  Latest Science on the Orbital Laboratory_hxe4JHOFxM0 - transcript (automated).pdf","Transcript Link")</f>
        <v>Transcript Link</v>
      </c>
    </row>
    <row r="1822" ht="180" spans="1:13">
      <c r="A1822" s="1" t="s">
        <v>7980</v>
      </c>
      <c r="B1822" s="1" t="s">
        <v>13</v>
      </c>
      <c r="C1822" s="4" t="s">
        <v>7981</v>
      </c>
      <c r="D1822" s="1" t="s">
        <v>7982</v>
      </c>
      <c r="E1822" s="1" t="s">
        <v>7983</v>
      </c>
      <c r="F1822" s="4" t="s">
        <v>17</v>
      </c>
      <c r="G1822" s="1" t="s">
        <v>18</v>
      </c>
      <c r="H1822" s="1" t="s">
        <v>19</v>
      </c>
      <c r="I1822" s="1" t="s">
        <v>20</v>
      </c>
      <c r="J1822" s="1" t="s">
        <v>7984</v>
      </c>
      <c r="K1822" s="1" t="s">
        <v>22</v>
      </c>
      <c r="L1822" s="1" t="str">
        <f>HYPERLINK("https://files.afu.se/Downloads/Transcripts/0%20-%20Government/USA%20-%20NASA%20Johnson/2014 05 12 - NASA Johnson - Expedition 39 40 Change of Command Ceremony_mDekX5D6428 - transcript (automated).pdf","Transcript Link")</f>
        <v>Transcript Link</v>
      </c>
      <c r="M1822" s="2" t="str">
        <f>HYPERLINK("https://files.afu.se/Downloads/Transcripts/0%20-%20Government/USA%20-%20NASA%20Johnson/2014 05 12 - NASA Johnson - Expedition 39 40 Change of Command Ceremony_mDekX5D6428 - transcript (automated).pdf","Transcript Link")</f>
        <v>Transcript Link</v>
      </c>
    </row>
    <row r="1823" ht="180" spans="1:13">
      <c r="A1823" s="1" t="s">
        <v>7980</v>
      </c>
      <c r="B1823" s="1" t="s">
        <v>13</v>
      </c>
      <c r="C1823" s="4" t="s">
        <v>7985</v>
      </c>
      <c r="D1823" s="1" t="s">
        <v>7986</v>
      </c>
      <c r="E1823" s="1" t="s">
        <v>7987</v>
      </c>
      <c r="F1823" s="4" t="s">
        <v>17</v>
      </c>
      <c r="G1823" s="1" t="s">
        <v>18</v>
      </c>
      <c r="H1823" s="1" t="s">
        <v>19</v>
      </c>
      <c r="I1823" s="1" t="s">
        <v>20</v>
      </c>
      <c r="J1823" s="1" t="s">
        <v>7988</v>
      </c>
      <c r="K1823" s="1" t="s">
        <v>22</v>
      </c>
      <c r="L1823" s="1" t="str">
        <f>HYPERLINK("https://files.afu.se/Downloads/Transcripts/0%20-%20Government/USA%20-%20NASA%20Johnson/2014 05 12 - NASA Johnson - Bone Remodeling in Microgravity_Jsa5Etrx3fs - transcript (automated).pdf","Transcript Link")</f>
        <v>Transcript Link</v>
      </c>
      <c r="M1823" s="2" t="str">
        <f>HYPERLINK("https://files.afu.se/Downloads/Transcripts/0%20-%20Government/USA%20-%20NASA%20Johnson/2014 05 12 - NASA Johnson - Bone Remodeling in Microgravity_Jsa5Etrx3fs - transcript (automated).pdf","Transcript Link")</f>
        <v>Transcript Link</v>
      </c>
    </row>
    <row r="1824" ht="180" spans="1:13">
      <c r="A1824" s="1" t="s">
        <v>7989</v>
      </c>
      <c r="B1824" s="1" t="s">
        <v>13</v>
      </c>
      <c r="C1824" s="4" t="s">
        <v>7990</v>
      </c>
      <c r="D1824" s="1" t="s">
        <v>7991</v>
      </c>
      <c r="E1824" s="1" t="s">
        <v>7992</v>
      </c>
      <c r="F1824" s="4" t="s">
        <v>17</v>
      </c>
      <c r="G1824" s="1" t="s">
        <v>18</v>
      </c>
      <c r="H1824" s="1" t="s">
        <v>19</v>
      </c>
      <c r="I1824" s="1" t="s">
        <v>20</v>
      </c>
      <c r="J1824" s="1" t="s">
        <v>7993</v>
      </c>
      <c r="K1824" s="1" t="s">
        <v>22</v>
      </c>
      <c r="L1824" s="1" t="str">
        <f>HYPERLINK("https://files.afu.se/Downloads/Transcripts/0%20-%20Government/USA%20-%20NASA%20Johnson/2014 05 09 - NASA Johnson - Space Station Live  Testing a New Spacesuit for an Asteroid Spacewalk_T-3S248Lqxw - transcript (automated).pdf","Transcript Link")</f>
        <v>Transcript Link</v>
      </c>
      <c r="M1824" s="2" t="str">
        <f>HYPERLINK("https://files.afu.se/Downloads/Transcripts/0%20-%20Government/USA%20-%20NASA%20Johnson/2014 05 09 - NASA Johnson - Space Station Live  Testing a New Spacesuit for an Asteroid Spacewalk_T-3S248Lqxw - transcript (automated).pdf","Transcript Link")</f>
        <v>Transcript Link</v>
      </c>
    </row>
    <row r="1825" ht="180" spans="1:13">
      <c r="A1825" s="1" t="s">
        <v>7989</v>
      </c>
      <c r="B1825" s="1" t="s">
        <v>13</v>
      </c>
      <c r="C1825" s="4" t="s">
        <v>7994</v>
      </c>
      <c r="D1825" s="1" t="s">
        <v>7995</v>
      </c>
      <c r="E1825" s="1" t="s">
        <v>7996</v>
      </c>
      <c r="F1825" s="4" t="s">
        <v>17</v>
      </c>
      <c r="G1825" s="1" t="s">
        <v>18</v>
      </c>
      <c r="H1825" s="1" t="s">
        <v>19</v>
      </c>
      <c r="I1825" s="1" t="s">
        <v>20</v>
      </c>
      <c r="J1825" s="1" t="s">
        <v>7997</v>
      </c>
      <c r="K1825" s="1" t="s">
        <v>22</v>
      </c>
      <c r="L1825" s="1" t="str">
        <f>HYPERLINK("https://files.afu.se/Downloads/Transcripts/0%20-%20Government/USA%20-%20NASA%20Johnson/2014 05 09 - NASA Johnson - Asteroid Initiative  Practicing for a Future Mission to an Asteroid_vJw0cYldD80 - transcript (automated).pdf","Transcript Link")</f>
        <v>Transcript Link</v>
      </c>
      <c r="M1825" s="2" t="str">
        <f>HYPERLINK("https://files.afu.se/Downloads/Transcripts/0%20-%20Government/USA%20-%20NASA%20Johnson/2014 05 09 - NASA Johnson - Asteroid Initiative  Practicing for a Future Mission to an Asteroid_vJw0cYldD80 - transcript (automated).pdf","Transcript Link")</f>
        <v>Transcript Link</v>
      </c>
    </row>
    <row r="1826" ht="180" spans="1:13">
      <c r="A1826" s="1" t="s">
        <v>7989</v>
      </c>
      <c r="B1826" s="1" t="s">
        <v>13</v>
      </c>
      <c r="C1826" s="4" t="s">
        <v>7998</v>
      </c>
      <c r="D1826" s="1" t="s">
        <v>7999</v>
      </c>
      <c r="E1826" s="1" t="s">
        <v>5059</v>
      </c>
      <c r="F1826" s="4" t="s">
        <v>17</v>
      </c>
      <c r="G1826" s="1" t="s">
        <v>18</v>
      </c>
      <c r="H1826" s="1" t="s">
        <v>19</v>
      </c>
      <c r="I1826" s="1" t="s">
        <v>20</v>
      </c>
      <c r="J1826" s="1" t="s">
        <v>8000</v>
      </c>
      <c r="K1826" s="1" t="s">
        <v>22</v>
      </c>
      <c r="L1826" s="1" t="str">
        <f>HYPERLINK("https://files.afu.se/Downloads/Transcripts/0%20-%20Government/USA%20-%20NASA%20Johnson/2014 05 09 - NASA Johnson - Space to Ground - 5 09 2014_rvey9CPXdfc - transcript (automated).pdf","Transcript Link")</f>
        <v>Transcript Link</v>
      </c>
      <c r="M1826" s="2" t="str">
        <f>HYPERLINK("https://files.afu.se/Downloads/Transcripts/0%20-%20Government/USA%20-%20NASA%20Johnson/2014 05 09 - NASA Johnson - Space to Ground - 5 09 2014_rvey9CPXdfc - transcript (automated).pdf","Transcript Link")</f>
        <v>Transcript Link</v>
      </c>
    </row>
    <row r="1827" ht="180" spans="1:13">
      <c r="A1827" s="1" t="s">
        <v>8001</v>
      </c>
      <c r="B1827" s="1" t="s">
        <v>13</v>
      </c>
      <c r="C1827" s="4" t="s">
        <v>8002</v>
      </c>
      <c r="D1827" s="1" t="s">
        <v>8003</v>
      </c>
      <c r="E1827" s="1" t="s">
        <v>8004</v>
      </c>
      <c r="F1827" s="4" t="s">
        <v>17</v>
      </c>
      <c r="G1827" s="1" t="s">
        <v>18</v>
      </c>
      <c r="H1827" s="1" t="s">
        <v>19</v>
      </c>
      <c r="I1827" s="1" t="s">
        <v>20</v>
      </c>
      <c r="J1827" s="1" t="s">
        <v>8005</v>
      </c>
      <c r="K1827" s="1" t="s">
        <v>22</v>
      </c>
      <c r="L1827" s="1" t="str">
        <f>HYPERLINK("https://files.afu.se/Downloads/Transcripts/0%20-%20Government/USA%20-%20NASA%20Johnson/2014 05 08 - NASA Johnson - Expedition 39 NFL Draft Message_PPPn55TBnHc - transcript (automated).pdf","Transcript Link")</f>
        <v>Transcript Link</v>
      </c>
      <c r="M1827" s="2" t="str">
        <f>HYPERLINK("https://files.afu.se/Downloads/Transcripts/0%20-%20Government/USA%20-%20NASA%20Johnson/2014 05 08 - NASA Johnson - Expedition 39 NFL Draft Message_PPPn55TBnHc - transcript (automated).pdf","Transcript Link")</f>
        <v>Transcript Link</v>
      </c>
    </row>
    <row r="1828" ht="180" spans="1:13">
      <c r="A1828" s="1" t="s">
        <v>8006</v>
      </c>
      <c r="B1828" s="1" t="s">
        <v>13</v>
      </c>
      <c r="C1828" s="4" t="s">
        <v>8007</v>
      </c>
      <c r="D1828" s="1" t="s">
        <v>8008</v>
      </c>
      <c r="E1828" s="1" t="s">
        <v>8009</v>
      </c>
      <c r="F1828" s="4" t="s">
        <v>17</v>
      </c>
      <c r="G1828" s="1" t="s">
        <v>18</v>
      </c>
      <c r="H1828" s="1" t="s">
        <v>19</v>
      </c>
      <c r="I1828" s="1" t="s">
        <v>20</v>
      </c>
      <c r="J1828" s="1" t="s">
        <v>8010</v>
      </c>
      <c r="K1828" s="1" t="s">
        <v>22</v>
      </c>
      <c r="L1828" s="1" t="str">
        <f>HYPERLINK("https://files.afu.se/Downloads/Transcripts/0%20-%20Government/USA%20-%20NASA%20Johnson/2014 05 07 - NASA Johnson - Florida Students Learn About Station Operations_hdEHYRK9Fwo - transcript (automated).pdf","Transcript Link")</f>
        <v>Transcript Link</v>
      </c>
      <c r="M1828" s="2" t="str">
        <f>HYPERLINK("https://files.afu.se/Downloads/Transcripts/0%20-%20Government/USA%20-%20NASA%20Johnson/2014 05 07 - NASA Johnson - Florida Students Learn About Station Operations_hdEHYRK9Fwo - transcript (automated).pdf","Transcript Link")</f>
        <v>Transcript Link</v>
      </c>
    </row>
    <row r="1829" ht="180" spans="1:13">
      <c r="A1829" s="1" t="s">
        <v>8006</v>
      </c>
      <c r="B1829" s="1" t="s">
        <v>13</v>
      </c>
      <c r="C1829" s="4" t="s">
        <v>8011</v>
      </c>
      <c r="D1829" s="1" t="s">
        <v>8012</v>
      </c>
      <c r="E1829" s="1" t="s">
        <v>8013</v>
      </c>
      <c r="F1829" s="4" t="s">
        <v>17</v>
      </c>
      <c r="G1829" s="1" t="s">
        <v>18</v>
      </c>
      <c r="H1829" s="1" t="s">
        <v>19</v>
      </c>
      <c r="I1829" s="1" t="s">
        <v>20</v>
      </c>
      <c r="J1829" s="1" t="s">
        <v>8014</v>
      </c>
      <c r="K1829" s="1" t="s">
        <v>22</v>
      </c>
      <c r="L1829" s="1" t="str">
        <f>HYPERLINK("https://files.afu.se/Downloads/Transcripts/0%20-%20Government/USA%20-%20NASA%20Johnson/2014 05 07 - NASA Johnson - Space Station Live  Imaging Earth from the Station_HWeGYVeRxxg - transcript (automated).pdf","Transcript Link")</f>
        <v>Transcript Link</v>
      </c>
      <c r="M1829" s="2" t="str">
        <f>HYPERLINK("https://files.afu.se/Downloads/Transcripts/0%20-%20Government/USA%20-%20NASA%20Johnson/2014 05 07 - NASA Johnson - Space Station Live  Imaging Earth from the Station_HWeGYVeRxxg - transcript (automated).pdf","Transcript Link")</f>
        <v>Transcript Link</v>
      </c>
    </row>
    <row r="1830" ht="180" spans="1:13">
      <c r="A1830" s="1" t="s">
        <v>8006</v>
      </c>
      <c r="B1830" s="1" t="s">
        <v>13</v>
      </c>
      <c r="C1830" s="4" t="s">
        <v>8015</v>
      </c>
      <c r="D1830" s="1" t="s">
        <v>8016</v>
      </c>
      <c r="E1830" s="1" t="s">
        <v>8017</v>
      </c>
      <c r="F1830" s="4" t="s">
        <v>17</v>
      </c>
      <c r="G1830" s="1" t="s">
        <v>18</v>
      </c>
      <c r="H1830" s="1" t="s">
        <v>19</v>
      </c>
      <c r="I1830" s="1" t="s">
        <v>20</v>
      </c>
      <c r="J1830" s="1" t="s">
        <v>8018</v>
      </c>
      <c r="K1830" s="1" t="s">
        <v>22</v>
      </c>
      <c r="L1830" s="1" t="str">
        <f>HYPERLINK("https://files.afu.se/Downloads/Transcripts/0%20-%20Government/USA%20-%20NASA%20Johnson/2014 05 07 - NASA Johnson - Expedition 40 41 Final Exams_EdTl0Lzj93g - transcript (automated).pdf","Transcript Link")</f>
        <v>Transcript Link</v>
      </c>
      <c r="M1830" s="2" t="str">
        <f>HYPERLINK("https://files.afu.se/Downloads/Transcripts/0%20-%20Government/USA%20-%20NASA%20Johnson/2014 05 07 - NASA Johnson - Expedition 40 41 Final Exams_EdTl0Lzj93g - transcript (automated).pdf","Transcript Link")</f>
        <v>Transcript Link</v>
      </c>
    </row>
    <row r="1831" ht="180" spans="1:13">
      <c r="A1831" s="1" t="s">
        <v>8019</v>
      </c>
      <c r="B1831" s="1" t="s">
        <v>13</v>
      </c>
      <c r="C1831" s="4" t="s">
        <v>8020</v>
      </c>
      <c r="D1831" s="1" t="s">
        <v>8021</v>
      </c>
      <c r="E1831" s="1" t="s">
        <v>8022</v>
      </c>
      <c r="F1831" s="4" t="s">
        <v>17</v>
      </c>
      <c r="G1831" s="1" t="s">
        <v>18</v>
      </c>
      <c r="H1831" s="1" t="s">
        <v>19</v>
      </c>
      <c r="I1831" s="1" t="s">
        <v>20</v>
      </c>
      <c r="J1831" s="1" t="s">
        <v>8023</v>
      </c>
      <c r="K1831" s="1" t="s">
        <v>22</v>
      </c>
      <c r="L1831" s="1" t="str">
        <f>HYPERLINK("https://files.afu.se/Downloads/Transcripts/0%20-%20Government/USA%20-%20NASA%20Johnson/2014 05 06 - NASA Johnson - Space Station Live  Studying How Plants Sense Gravity_6_jVQCx7AGc - transcript (automated).pdf","Transcript Link")</f>
        <v>Transcript Link</v>
      </c>
      <c r="M1831" s="2" t="str">
        <f>HYPERLINK("https://files.afu.se/Downloads/Transcripts/0%20-%20Government/USA%20-%20NASA%20Johnson/2014 05 06 - NASA Johnson - Space Station Live  Studying How Plants Sense Gravity_6_jVQCx7AGc - transcript (automated).pdf","Transcript Link")</f>
        <v>Transcript Link</v>
      </c>
    </row>
    <row r="1832" ht="180" spans="1:13">
      <c r="A1832" s="1" t="s">
        <v>8024</v>
      </c>
      <c r="B1832" s="1" t="s">
        <v>13</v>
      </c>
      <c r="C1832" s="4" t="s">
        <v>8025</v>
      </c>
      <c r="D1832" s="1" t="s">
        <v>8026</v>
      </c>
      <c r="E1832" s="1" t="s">
        <v>8027</v>
      </c>
      <c r="F1832" s="4" t="s">
        <v>17</v>
      </c>
      <c r="G1832" s="1" t="s">
        <v>18</v>
      </c>
      <c r="H1832" s="1" t="s">
        <v>19</v>
      </c>
      <c r="I1832" s="1" t="s">
        <v>20</v>
      </c>
      <c r="J1832" s="1" t="s">
        <v>8028</v>
      </c>
      <c r="K1832" s="1" t="s">
        <v>22</v>
      </c>
      <c r="L1832" s="1" t="str">
        <f>HYPERLINK("https://files.afu.se/Downloads/Transcripts/0%20-%20Government/USA%20-%20NASA%20Johnson/2014 05 05 - NASA Johnson - Music in Space, May 2, 2014_P_eBWWlYgV8 - transcript (automated).pdf","Transcript Link")</f>
        <v>Transcript Link</v>
      </c>
      <c r="M1832" s="2" t="str">
        <f>HYPERLINK("https://files.afu.se/Downloads/Transcripts/0%20-%20Government/USA%20-%20NASA%20Johnson/2014 05 05 - NASA Johnson - Music in Space, May 2, 2014_P_eBWWlYgV8 - transcript (automated).pdf","Transcript Link")</f>
        <v>Transcript Link</v>
      </c>
    </row>
    <row r="1833" ht="180" spans="1:13">
      <c r="A1833" s="1" t="s">
        <v>8029</v>
      </c>
      <c r="B1833" s="1" t="s">
        <v>13</v>
      </c>
      <c r="C1833" s="4" t="s">
        <v>8030</v>
      </c>
      <c r="D1833" s="1" t="s">
        <v>8031</v>
      </c>
      <c r="E1833" s="1" t="s">
        <v>8032</v>
      </c>
      <c r="F1833" s="4" t="s">
        <v>17</v>
      </c>
      <c r="G1833" s="1" t="s">
        <v>18</v>
      </c>
      <c r="H1833" s="1" t="s">
        <v>19</v>
      </c>
      <c r="I1833" s="1" t="s">
        <v>20</v>
      </c>
      <c r="J1833" s="1" t="s">
        <v>8033</v>
      </c>
      <c r="K1833" s="1" t="s">
        <v>22</v>
      </c>
      <c r="L1833" s="1" t="str">
        <f>HYPERLINK("https://files.afu.se/Downloads/Transcripts/0%20-%20Government/USA%20-%20NASA%20Johnson/2014 05 02 - NASA Johnson -  Music in Space  Event with Commander Koichi Wakata_0nZ3lytNWiE - transcript (automated).pdf","Transcript Link")</f>
        <v>Transcript Link</v>
      </c>
      <c r="M1833" s="2" t="str">
        <f>HYPERLINK("https://files.afu.se/Downloads/Transcripts/0%20-%20Government/USA%20-%20NASA%20Johnson/2014 05 02 - NASA Johnson -  Music in Space  Event with Commander Koichi Wakata_0nZ3lytNWiE - transcript (automated).pdf","Transcript Link")</f>
        <v>Transcript Link</v>
      </c>
    </row>
    <row r="1834" ht="180" spans="1:13">
      <c r="A1834" s="1" t="s">
        <v>8029</v>
      </c>
      <c r="B1834" s="1" t="s">
        <v>13</v>
      </c>
      <c r="C1834" s="4" t="s">
        <v>8034</v>
      </c>
      <c r="D1834" s="1" t="s">
        <v>8035</v>
      </c>
      <c r="E1834" s="1" t="s">
        <v>8036</v>
      </c>
      <c r="F1834" s="4" t="s">
        <v>17</v>
      </c>
      <c r="G1834" s="1" t="s">
        <v>18</v>
      </c>
      <c r="H1834" s="1" t="s">
        <v>19</v>
      </c>
      <c r="I1834" s="1" t="s">
        <v>20</v>
      </c>
      <c r="J1834" s="1" t="s">
        <v>8037</v>
      </c>
      <c r="K1834" s="1" t="s">
        <v>22</v>
      </c>
      <c r="L1834" s="1" t="str">
        <f>HYPERLINK("https://files.afu.se/Downloads/Transcripts/0%20-%20Government/USA%20-%20NASA%20Johnson/2014 05 02 - NASA Johnson - Space Station Live  Commercial Crew Manager Talks Spaceflight Future_XGIYrcwcWV4 - transcript (automated).pdf","Transcript Link")</f>
        <v>Transcript Link</v>
      </c>
      <c r="M1834" s="2" t="str">
        <f>HYPERLINK("https://files.afu.se/Downloads/Transcripts/0%20-%20Government/USA%20-%20NASA%20Johnson/2014 05 02 - NASA Johnson - Space Station Live  Commercial Crew Manager Talks Spaceflight Future_XGIYrcwcWV4 - transcript (automated).pdf","Transcript Link")</f>
        <v>Transcript Link</v>
      </c>
    </row>
    <row r="1835" ht="180" spans="1:13">
      <c r="A1835" s="1" t="s">
        <v>8029</v>
      </c>
      <c r="B1835" s="1" t="s">
        <v>13</v>
      </c>
      <c r="C1835" s="4" t="s">
        <v>8038</v>
      </c>
      <c r="D1835" s="1" t="s">
        <v>8039</v>
      </c>
      <c r="E1835" s="1" t="s">
        <v>5059</v>
      </c>
      <c r="F1835" s="4" t="s">
        <v>17</v>
      </c>
      <c r="G1835" s="1" t="s">
        <v>18</v>
      </c>
      <c r="H1835" s="1" t="s">
        <v>19</v>
      </c>
      <c r="I1835" s="1" t="s">
        <v>20</v>
      </c>
      <c r="J1835" s="1" t="s">
        <v>8040</v>
      </c>
      <c r="K1835" s="1" t="s">
        <v>22</v>
      </c>
      <c r="L1835" s="1" t="str">
        <f>HYPERLINK("https://files.afu.se/Downloads/Transcripts/0%20-%20Government/USA%20-%20NASA%20Johnson/2014 05 02 - NASA Johnson - Space to Ground - 5 02 2014_JiMyvj0jsLY - transcript (automated).pdf","Transcript Link")</f>
        <v>Transcript Link</v>
      </c>
      <c r="M1835" s="2" t="str">
        <f>HYPERLINK("https://files.afu.se/Downloads/Transcripts/0%20-%20Government/USA%20-%20NASA%20Johnson/2014 05 02 - NASA Johnson - Space to Ground - 5 02 2014_JiMyvj0jsLY - transcript (automated).pdf","Transcript Link")</f>
        <v>Transcript Link</v>
      </c>
    </row>
    <row r="1836" ht="180" spans="1:13">
      <c r="A1836" s="1" t="s">
        <v>8041</v>
      </c>
      <c r="B1836" s="1" t="s">
        <v>13</v>
      </c>
      <c r="C1836" s="4" t="s">
        <v>8042</v>
      </c>
      <c r="D1836" s="1" t="s">
        <v>8043</v>
      </c>
      <c r="E1836" s="1" t="s">
        <v>8044</v>
      </c>
      <c r="F1836" s="4" t="s">
        <v>17</v>
      </c>
      <c r="G1836" s="1" t="s">
        <v>18</v>
      </c>
      <c r="H1836" s="1" t="s">
        <v>19</v>
      </c>
      <c r="I1836" s="1" t="s">
        <v>20</v>
      </c>
      <c r="J1836" s="1" t="s">
        <v>8045</v>
      </c>
      <c r="K1836" s="1" t="s">
        <v>22</v>
      </c>
      <c r="L1836" s="1" t="str">
        <f>HYPERLINK("https://files.afu.se/Downloads/Transcripts/0%20-%20Government/USA%20-%20NASA%20Johnson/2014 05 01 - NASA Johnson - Space Station Live  Molecular Behavior of Solids, Liquids and Gases_mxUgl7Qngxg - transcript (automated).pdf","Transcript Link")</f>
        <v>Transcript Link</v>
      </c>
      <c r="M1836" s="2" t="str">
        <f>HYPERLINK("https://files.afu.se/Downloads/Transcripts/0%20-%20Government/USA%20-%20NASA%20Johnson/2014 05 01 - NASA Johnson - Space Station Live  Molecular Behavior of Solids, Liquids and Gases_mxUgl7Qngxg - transcript (automated).pdf","Transcript Link")</f>
        <v>Transcript Link</v>
      </c>
    </row>
    <row r="1837" ht="180" spans="1:13">
      <c r="A1837" s="1" t="s">
        <v>8046</v>
      </c>
      <c r="B1837" s="1" t="s">
        <v>13</v>
      </c>
      <c r="C1837" s="4" t="s">
        <v>8047</v>
      </c>
      <c r="D1837" s="1" t="s">
        <v>8048</v>
      </c>
      <c r="E1837" s="1" t="s">
        <v>8049</v>
      </c>
      <c r="F1837" s="4" t="s">
        <v>17</v>
      </c>
      <c r="G1837" s="1" t="s">
        <v>18</v>
      </c>
      <c r="H1837" s="1" t="s">
        <v>19</v>
      </c>
      <c r="I1837" s="1" t="s">
        <v>20</v>
      </c>
      <c r="J1837" s="1" t="s">
        <v>8050</v>
      </c>
      <c r="K1837" s="1" t="s">
        <v>22</v>
      </c>
      <c r="L1837" s="1" t="str">
        <f>HYPERLINK("https://files.afu.se/Downloads/Transcripts/0%20-%20Government/USA%20-%20NASA%20Johnson/2014 04 30 - NASA Johnson - Space Station Live  Studying Plants in Space for Better Medicine_KlRleRABIdg - transcript (automated).pdf","Transcript Link")</f>
        <v>Transcript Link</v>
      </c>
      <c r="M1837" s="2" t="str">
        <f>HYPERLINK("https://files.afu.se/Downloads/Transcripts/0%20-%20Government/USA%20-%20NASA%20Johnson/2014 04 30 - NASA Johnson - Space Station Live  Studying Plants in Space for Better Medicine_KlRleRABIdg - transcript (automated).pdf","Transcript Link")</f>
        <v>Transcript Link</v>
      </c>
    </row>
    <row r="1838" ht="180" spans="1:13">
      <c r="A1838" s="1" t="s">
        <v>8051</v>
      </c>
      <c r="B1838" s="1" t="s">
        <v>13</v>
      </c>
      <c r="C1838" s="4" t="s">
        <v>8052</v>
      </c>
      <c r="D1838" s="1" t="s">
        <v>8053</v>
      </c>
      <c r="E1838" s="1" t="s">
        <v>8054</v>
      </c>
      <c r="F1838" s="4" t="s">
        <v>17</v>
      </c>
      <c r="G1838" s="1" t="s">
        <v>18</v>
      </c>
      <c r="H1838" s="1" t="s">
        <v>19</v>
      </c>
      <c r="I1838" s="1" t="s">
        <v>20</v>
      </c>
      <c r="J1838" s="1" t="s">
        <v>8055</v>
      </c>
      <c r="K1838" s="1" t="s">
        <v>22</v>
      </c>
      <c r="L1838" s="1" t="str">
        <f>HYPERLINK("https://files.afu.se/Downloads/Transcripts/0%20-%20Government/USA%20-%20NASA%20Johnson/2014 04 29 - NASA Johnson - Space Station Live  Robotic Cargo Transfers from Dragon_iDqg74xqZB4 - transcript (automated).pdf","Transcript Link")</f>
        <v>Transcript Link</v>
      </c>
      <c r="M1838" s="2" t="str">
        <f>HYPERLINK("https://files.afu.se/Downloads/Transcripts/0%20-%20Government/USA%20-%20NASA%20Johnson/2014 04 29 - NASA Johnson - Space Station Live  Robotic Cargo Transfers from Dragon_iDqg74xqZB4 - transcript (automated).pdf","Transcript Link")</f>
        <v>Transcript Link</v>
      </c>
    </row>
    <row r="1839" ht="180" spans="1:13">
      <c r="A1839" s="1" t="s">
        <v>8056</v>
      </c>
      <c r="B1839" s="1" t="s">
        <v>13</v>
      </c>
      <c r="C1839" s="4" t="s">
        <v>8057</v>
      </c>
      <c r="D1839" s="1" t="s">
        <v>8058</v>
      </c>
      <c r="E1839" s="1" t="s">
        <v>8059</v>
      </c>
      <c r="F1839" s="4" t="s">
        <v>17</v>
      </c>
      <c r="G1839" s="1" t="s">
        <v>18</v>
      </c>
      <c r="H1839" s="1" t="s">
        <v>19</v>
      </c>
      <c r="I1839" s="1" t="s">
        <v>20</v>
      </c>
      <c r="J1839" s="1" t="s">
        <v>8060</v>
      </c>
      <c r="K1839" s="1" t="s">
        <v>22</v>
      </c>
      <c r="L1839" s="1" t="str">
        <f>HYPERLINK("https://files.afu.se/Downloads/Transcripts/0%20-%20Government/USA%20-%20NASA%20Johnson/2014 04 28 - NASA Johnson - Space Station Live   The Big Move _-4KWnWx1q3M - transcript (automated).pdf","Transcript Link")</f>
        <v>Transcript Link</v>
      </c>
      <c r="M1839" s="2" t="str">
        <f>HYPERLINK("https://files.afu.se/Downloads/Transcripts/0%20-%20Government/USA%20-%20NASA%20Johnson/2014 04 28 - NASA Johnson - Space Station Live   The Big Move _-4KWnWx1q3M - transcript (automated).pdf","Transcript Link")</f>
        <v>Transcript Link</v>
      </c>
    </row>
    <row r="1840" ht="180" spans="1:13">
      <c r="A1840" s="1" t="s">
        <v>8061</v>
      </c>
      <c r="B1840" s="1" t="s">
        <v>13</v>
      </c>
      <c r="C1840" s="4" t="s">
        <v>8062</v>
      </c>
      <c r="D1840" s="1" t="s">
        <v>8063</v>
      </c>
      <c r="E1840" s="1" t="s">
        <v>8064</v>
      </c>
      <c r="F1840" s="4" t="s">
        <v>17</v>
      </c>
      <c r="G1840" s="1" t="s">
        <v>18</v>
      </c>
      <c r="H1840" s="1" t="s">
        <v>19</v>
      </c>
      <c r="I1840" s="1" t="s">
        <v>20</v>
      </c>
      <c r="J1840" s="1" t="s">
        <v>8065</v>
      </c>
      <c r="K1840" s="1" t="s">
        <v>22</v>
      </c>
      <c r="L1840" s="1" t="str">
        <f>HYPERLINK("https://files.afu.se/Downloads/Transcripts/0%20-%20Government/USA%20-%20NASA%20Johnson/2014 04 25 - NASA Johnson - Space Station Live  Adjusting to Life After Space_QEBkes31Z8U - transcript (automated).pdf","Transcript Link")</f>
        <v>Transcript Link</v>
      </c>
      <c r="M1840" s="2" t="str">
        <f>HYPERLINK("https://files.afu.se/Downloads/Transcripts/0%20-%20Government/USA%20-%20NASA%20Johnson/2014 04 25 - NASA Johnson - Space Station Live  Adjusting to Life After Space_QEBkes31Z8U - transcript (automated).pdf","Transcript Link")</f>
        <v>Transcript Link</v>
      </c>
    </row>
    <row r="1841" ht="180" spans="1:13">
      <c r="A1841" s="1" t="s">
        <v>8061</v>
      </c>
      <c r="B1841" s="1" t="s">
        <v>13</v>
      </c>
      <c r="C1841" s="4" t="s">
        <v>8066</v>
      </c>
      <c r="D1841" s="1" t="s">
        <v>8067</v>
      </c>
      <c r="E1841" s="1" t="s">
        <v>5059</v>
      </c>
      <c r="F1841" s="4" t="s">
        <v>17</v>
      </c>
      <c r="G1841" s="1" t="s">
        <v>18</v>
      </c>
      <c r="H1841" s="1" t="s">
        <v>19</v>
      </c>
      <c r="I1841" s="1" t="s">
        <v>20</v>
      </c>
      <c r="J1841" s="1" t="s">
        <v>8068</v>
      </c>
      <c r="K1841" s="1" t="s">
        <v>22</v>
      </c>
      <c r="L1841" s="1" t="str">
        <f>HYPERLINK("https://files.afu.se/Downloads/Transcripts/0%20-%20Government/USA%20-%20NASA%20Johnson/2014 04 25 - NASA Johnson - Space to Ground - 4 25 2014_Y21wlqIKkb0 - transcript (automated).pdf","Transcript Link")</f>
        <v>Transcript Link</v>
      </c>
      <c r="M1841" s="2" t="str">
        <f>HYPERLINK("https://files.afu.se/Downloads/Transcripts/0%20-%20Government/USA%20-%20NASA%20Johnson/2014 04 25 - NASA Johnson - Space to Ground - 4 25 2014_Y21wlqIKkb0 - transcript (automated).pdf","Transcript Link")</f>
        <v>Transcript Link</v>
      </c>
    </row>
    <row r="1842" ht="180" spans="1:13">
      <c r="A1842" s="1" t="s">
        <v>8069</v>
      </c>
      <c r="B1842" s="1" t="s">
        <v>13</v>
      </c>
      <c r="C1842" s="4" t="s">
        <v>8070</v>
      </c>
      <c r="D1842" s="1" t="s">
        <v>8071</v>
      </c>
      <c r="E1842" s="1" t="s">
        <v>8072</v>
      </c>
      <c r="F1842" s="4" t="s">
        <v>17</v>
      </c>
      <c r="G1842" s="1" t="s">
        <v>18</v>
      </c>
      <c r="H1842" s="1" t="s">
        <v>19</v>
      </c>
      <c r="I1842" s="1" t="s">
        <v>20</v>
      </c>
      <c r="J1842" s="1" t="s">
        <v>8073</v>
      </c>
      <c r="K1842" s="1" t="s">
        <v>22</v>
      </c>
      <c r="L1842" s="1" t="str">
        <f>HYPERLINK("https://files.afu.se/Downloads/Transcripts/0%20-%20Government/USA%20-%20NASA%20Johnson/2014 04 24 - NASA Johnson - Space Station Live  Destination Station  Indianapolis_D1B2fwK4vd0 - transcript (automated).pdf","Transcript Link")</f>
        <v>Transcript Link</v>
      </c>
      <c r="M1842" s="2" t="str">
        <f>HYPERLINK("https://files.afu.se/Downloads/Transcripts/0%20-%20Government/USA%20-%20NASA%20Johnson/2014 04 24 - NASA Johnson - Space Station Live  Destination Station  Indianapolis_D1B2fwK4vd0 - transcript (automated).pdf","Transcript Link")</f>
        <v>Transcript Link</v>
      </c>
    </row>
    <row r="1843" ht="180" spans="1:13">
      <c r="A1843" s="1" t="s">
        <v>8069</v>
      </c>
      <c r="B1843" s="1" t="s">
        <v>13</v>
      </c>
      <c r="C1843" s="4" t="s">
        <v>8074</v>
      </c>
      <c r="D1843" s="1" t="s">
        <v>8075</v>
      </c>
      <c r="E1843" s="1" t="s">
        <v>8076</v>
      </c>
      <c r="F1843" s="4" t="s">
        <v>17</v>
      </c>
      <c r="G1843" s="1" t="s">
        <v>18</v>
      </c>
      <c r="H1843" s="1" t="s">
        <v>19</v>
      </c>
      <c r="I1843" s="1" t="s">
        <v>20</v>
      </c>
      <c r="J1843" s="1" t="s">
        <v>8077</v>
      </c>
      <c r="K1843" s="1" t="s">
        <v>22</v>
      </c>
      <c r="L1843" s="1" t="str">
        <f>HYPERLINK("https://files.afu.se/Downloads/Transcripts/0%20-%20Government/USA%20-%20NASA%20Johnson/2014 04 24 - NASA Johnson - Space Station Live  Gardening in Space_bTNUHsTwq0A - transcript (automated).pdf","Transcript Link")</f>
        <v>Transcript Link</v>
      </c>
      <c r="M1843" s="2" t="str">
        <f>HYPERLINK("https://files.afu.se/Downloads/Transcripts/0%20-%20Government/USA%20-%20NASA%20Johnson/2014 04 24 - NASA Johnson - Space Station Live  Gardening in Space_bTNUHsTwq0A - transcript (automated).pdf","Transcript Link")</f>
        <v>Transcript Link</v>
      </c>
    </row>
    <row r="1844" ht="180" spans="1:13">
      <c r="A1844" s="1" t="s">
        <v>8069</v>
      </c>
      <c r="B1844" s="1" t="s">
        <v>13</v>
      </c>
      <c r="C1844" s="4" t="s">
        <v>8078</v>
      </c>
      <c r="D1844" s="1" t="s">
        <v>8079</v>
      </c>
      <c r="E1844" s="1" t="s">
        <v>8080</v>
      </c>
      <c r="F1844" s="4" t="s">
        <v>17</v>
      </c>
      <c r="G1844" s="1" t="s">
        <v>18</v>
      </c>
      <c r="H1844" s="1" t="s">
        <v>19</v>
      </c>
      <c r="I1844" s="1" t="s">
        <v>20</v>
      </c>
      <c r="J1844" s="1" t="s">
        <v>8081</v>
      </c>
      <c r="K1844" s="1" t="s">
        <v>22</v>
      </c>
      <c r="L1844" s="1" t="str">
        <f>HYPERLINK("https://files.afu.se/Downloads/Transcripts/0%20-%20Government/USA%20-%20NASA%20Johnson/2014 04 24 - NASA Johnson - Test Version of Orion is Dropped C-17_ZPATyyn39uM - transcript (automated).pdf","Transcript Link")</f>
        <v>Transcript Link</v>
      </c>
      <c r="M1844" s="2" t="str">
        <f>HYPERLINK("https://files.afu.se/Downloads/Transcripts/0%20-%20Government/USA%20-%20NASA%20Johnson/2014 04 24 - NASA Johnson - Test Version of Orion is Dropped C-17_ZPATyyn39uM - transcript (automated).pdf","Transcript Link")</f>
        <v>Transcript Link</v>
      </c>
    </row>
    <row r="1845" ht="180" spans="1:13">
      <c r="A1845" s="1" t="s">
        <v>8082</v>
      </c>
      <c r="B1845" s="1" t="s">
        <v>13</v>
      </c>
      <c r="C1845" s="4" t="s">
        <v>8083</v>
      </c>
      <c r="D1845" s="1" t="s">
        <v>8084</v>
      </c>
      <c r="E1845" s="1" t="s">
        <v>8085</v>
      </c>
      <c r="F1845" s="4" t="s">
        <v>17</v>
      </c>
      <c r="G1845" s="1" t="s">
        <v>18</v>
      </c>
      <c r="H1845" s="1" t="s">
        <v>19</v>
      </c>
      <c r="I1845" s="1" t="s">
        <v>20</v>
      </c>
      <c r="J1845" s="1" t="s">
        <v>8086</v>
      </c>
      <c r="K1845" s="1" t="s">
        <v>22</v>
      </c>
      <c r="L1845" s="1" t="str">
        <f>HYPERLINK("https://files.afu.se/Downloads/Transcripts/0%20-%20Government/USA%20-%20NASA%20Johnson/2014 04 23 - NASA Johnson - Shuttle Carrier Aircraft_WcI1e4KiDv0 - transcript (automated).pdf","Transcript Link")</f>
        <v>Transcript Link</v>
      </c>
      <c r="M1845" s="2" t="str">
        <f>HYPERLINK("https://files.afu.se/Downloads/Transcripts/0%20-%20Government/USA%20-%20NASA%20Johnson/2014 04 23 - NASA Johnson - Shuttle Carrier Aircraft_WcI1e4KiDv0 - transcript (automated).pdf","Transcript Link")</f>
        <v>Transcript Link</v>
      </c>
    </row>
    <row r="1846" ht="180" spans="1:13">
      <c r="A1846" s="1" t="s">
        <v>8087</v>
      </c>
      <c r="B1846" s="1" t="s">
        <v>13</v>
      </c>
      <c r="C1846" s="4" t="s">
        <v>8088</v>
      </c>
      <c r="D1846" s="1" t="s">
        <v>8089</v>
      </c>
      <c r="E1846" s="1" t="s">
        <v>8090</v>
      </c>
      <c r="F1846" s="4" t="s">
        <v>17</v>
      </c>
      <c r="G1846" s="1" t="s">
        <v>18</v>
      </c>
      <c r="H1846" s="1" t="s">
        <v>19</v>
      </c>
      <c r="I1846" s="1" t="s">
        <v>20</v>
      </c>
      <c r="J1846" s="1" t="s">
        <v>8091</v>
      </c>
      <c r="K1846" s="1" t="s">
        <v>22</v>
      </c>
      <c r="L1846" s="1" t="str">
        <f>HYPERLINK("https://files.afu.se/Downloads/Transcripts/0%20-%20Government/USA%20-%20NASA%20Johnson/2014 04 22 - NASA Johnson - The Neutral Buoyancy Lab - We're Open for Business!_ioxNYPrn228 - transcript (automated).pdf","Transcript Link")</f>
        <v>Transcript Link</v>
      </c>
      <c r="M1846" s="2" t="str">
        <f>HYPERLINK("https://files.afu.se/Downloads/Transcripts/0%20-%20Government/USA%20-%20NASA%20Johnson/2014 04 22 - NASA Johnson - The Neutral Buoyancy Lab - We're Open for Business!_ioxNYPrn228 - transcript (automated).pdf","Transcript Link")</f>
        <v>Transcript Link</v>
      </c>
    </row>
    <row r="1847" ht="180" spans="1:13">
      <c r="A1847" s="1" t="s">
        <v>8087</v>
      </c>
      <c r="B1847" s="1" t="s">
        <v>13</v>
      </c>
      <c r="C1847" s="4" t="s">
        <v>8092</v>
      </c>
      <c r="D1847" s="1" t="s">
        <v>8093</v>
      </c>
      <c r="E1847" s="1" t="s">
        <v>8094</v>
      </c>
      <c r="F1847" s="4" t="s">
        <v>17</v>
      </c>
      <c r="G1847" s="1" t="s">
        <v>18</v>
      </c>
      <c r="H1847" s="1" t="s">
        <v>19</v>
      </c>
      <c r="I1847" s="1" t="s">
        <v>20</v>
      </c>
      <c r="J1847" s="1" t="s">
        <v>8095</v>
      </c>
      <c r="K1847" s="1" t="s">
        <v>22</v>
      </c>
      <c r="L1847" s="1" t="str">
        <f>HYPERLINK("https://files.afu.se/Downloads/Transcripts/0%20-%20Government/USA%20-%20NASA%20Johnson/2014 04 22 - NASA Johnson - Space Station Live  Earth Observation From Space_0rgshsCRHN0 - transcript (automated).pdf","Transcript Link")</f>
        <v>Transcript Link</v>
      </c>
      <c r="M1847" s="2" t="str">
        <f>HYPERLINK("https://files.afu.se/Downloads/Transcripts/0%20-%20Government/USA%20-%20NASA%20Johnson/2014 04 22 - NASA Johnson - Space Station Live  Earth Observation From Space_0rgshsCRHN0 - transcript (automated).pdf","Transcript Link")</f>
        <v>Transcript Link</v>
      </c>
    </row>
    <row r="1848" ht="180" spans="1:13">
      <c r="A1848" s="1" t="s">
        <v>8096</v>
      </c>
      <c r="B1848" s="1" t="s">
        <v>13</v>
      </c>
      <c r="C1848" s="4" t="s">
        <v>8097</v>
      </c>
      <c r="D1848" s="1" t="s">
        <v>8098</v>
      </c>
      <c r="E1848" s="1" t="s">
        <v>5059</v>
      </c>
      <c r="F1848" s="4" t="s">
        <v>17</v>
      </c>
      <c r="G1848" s="1" t="s">
        <v>18</v>
      </c>
      <c r="H1848" s="1" t="s">
        <v>19</v>
      </c>
      <c r="I1848" s="1" t="s">
        <v>20</v>
      </c>
      <c r="J1848" s="1" t="s">
        <v>8099</v>
      </c>
      <c r="K1848" s="1" t="s">
        <v>22</v>
      </c>
      <c r="L1848" s="1" t="str">
        <f>HYPERLINK("https://files.afu.se/Downloads/Transcripts/0%20-%20Government/USA%20-%20NASA%20Johnson/2014 04 18 - NASA Johnson - Space to Ground - 4 18 2014_fIQMdNhpPgQ - transcript (automated).pdf","Transcript Link")</f>
        <v>Transcript Link</v>
      </c>
      <c r="M1848" s="2" t="str">
        <f>HYPERLINK("https://files.afu.se/Downloads/Transcripts/0%20-%20Government/USA%20-%20NASA%20Johnson/2014 04 18 - NASA Johnson - Space to Ground - 4 18 2014_fIQMdNhpPgQ - transcript (automated).pdf","Transcript Link")</f>
        <v>Transcript Link</v>
      </c>
    </row>
    <row r="1849" ht="180" spans="1:13">
      <c r="A1849" s="1" t="s">
        <v>8100</v>
      </c>
      <c r="B1849" s="1" t="s">
        <v>13</v>
      </c>
      <c r="C1849" s="4" t="s">
        <v>8101</v>
      </c>
      <c r="D1849" s="1" t="s">
        <v>8102</v>
      </c>
      <c r="E1849" s="1" t="s">
        <v>8103</v>
      </c>
      <c r="F1849" s="4" t="s">
        <v>17</v>
      </c>
      <c r="G1849" s="1" t="s">
        <v>18</v>
      </c>
      <c r="H1849" s="1" t="s">
        <v>19</v>
      </c>
      <c r="I1849" s="1" t="s">
        <v>20</v>
      </c>
      <c r="J1849" s="1" t="s">
        <v>8104</v>
      </c>
      <c r="K1849" s="1" t="s">
        <v>22</v>
      </c>
      <c r="L1849" s="1" t="str">
        <f>HYPERLINK("https://files.afu.se/Downloads/Transcripts/0%20-%20Government/USA%20-%20NASA%20Johnson/2014 04 16 - NASA Johnson - Space Station Live  Spacewalk to Replace a Failed Computer_PHlcmLQM9Ug - transcript (automated).pdf","Transcript Link")</f>
        <v>Transcript Link</v>
      </c>
      <c r="M1849" s="2" t="str">
        <f>HYPERLINK("https://files.afu.se/Downloads/Transcripts/0%20-%20Government/USA%20-%20NASA%20Johnson/2014 04 16 - NASA Johnson - Space Station Live  Spacewalk to Replace a Failed Computer_PHlcmLQM9Ug - transcript (automated).pdf","Transcript Link")</f>
        <v>Transcript Link</v>
      </c>
    </row>
    <row r="1850" ht="195" spans="1:13">
      <c r="A1850" s="1" t="s">
        <v>8100</v>
      </c>
      <c r="B1850" s="1" t="s">
        <v>13</v>
      </c>
      <c r="C1850" s="4" t="s">
        <v>8105</v>
      </c>
      <c r="D1850" s="1" t="s">
        <v>8106</v>
      </c>
      <c r="E1850" s="1" t="s">
        <v>8107</v>
      </c>
      <c r="F1850" s="4" t="s">
        <v>17</v>
      </c>
      <c r="G1850" s="1" t="s">
        <v>18</v>
      </c>
      <c r="H1850" s="1" t="s">
        <v>19</v>
      </c>
      <c r="I1850" s="1" t="s">
        <v>20</v>
      </c>
      <c r="J1850" s="1" t="s">
        <v>8108</v>
      </c>
      <c r="K1850" s="1" t="s">
        <v>22</v>
      </c>
      <c r="L1850" s="1" t="str">
        <f>HYPERLINK("https://files.afu.se/Downloads/Transcripts/0%20-%20Government/USA%20-%20NASA%20Johnson/2014 04 16 - NASA Johnson - Space Station Live  Satellites Connected to Smartphones_rO4apgo_1e4 - transcript (automated).pdf","Transcript Link")</f>
        <v>Transcript Link</v>
      </c>
      <c r="M1850" s="2" t="str">
        <f>HYPERLINK("https://files.afu.se/Downloads/Transcripts/0%20-%20Government/USA%20-%20NASA%20Johnson/2014 04 16 - NASA Johnson - Space Station Live  Satellites Connected to Smartphones_rO4apgo_1e4 - transcript (automated).pdf","Transcript Link")</f>
        <v>Transcript Link</v>
      </c>
    </row>
    <row r="1851" ht="180" spans="1:13">
      <c r="A1851" s="1" t="s">
        <v>8100</v>
      </c>
      <c r="B1851" s="1" t="s">
        <v>13</v>
      </c>
      <c r="C1851" s="4" t="s">
        <v>8109</v>
      </c>
      <c r="D1851" s="1" t="s">
        <v>8110</v>
      </c>
      <c r="E1851" s="1" t="s">
        <v>8111</v>
      </c>
      <c r="F1851" s="4" t="s">
        <v>17</v>
      </c>
      <c r="G1851" s="1" t="s">
        <v>18</v>
      </c>
      <c r="H1851" s="1" t="s">
        <v>19</v>
      </c>
      <c r="I1851" s="1" t="s">
        <v>20</v>
      </c>
      <c r="J1851" s="1" t="s">
        <v>8112</v>
      </c>
      <c r="K1851" s="1" t="s">
        <v>22</v>
      </c>
      <c r="L1851" s="1" t="str">
        <f>HYPERLINK("https://files.afu.se/Downloads/Transcripts/0%20-%20Government/USA%20-%20NASA%20Johnson/2014 04 16 - NASA Johnson - Astronaut Mike Hopkins  Workout in Space 5_LPA4HNFURnU - transcript (automated).pdf","Transcript Link")</f>
        <v>Transcript Link</v>
      </c>
      <c r="M1851" s="2" t="str">
        <f>HYPERLINK("https://files.afu.se/Downloads/Transcripts/0%20-%20Government/USA%20-%20NASA%20Johnson/2014 04 16 - NASA Johnson - Astronaut Mike Hopkins  Workout in Space 5_LPA4HNFURnU - transcript (automated).pdf","Transcript Link")</f>
        <v>Transcript Link</v>
      </c>
    </row>
    <row r="1852" ht="180" spans="1:13">
      <c r="A1852" s="1" t="s">
        <v>8113</v>
      </c>
      <c r="B1852" s="1" t="s">
        <v>13</v>
      </c>
      <c r="C1852" s="4" t="s">
        <v>8114</v>
      </c>
      <c r="D1852" s="1" t="s">
        <v>8115</v>
      </c>
      <c r="E1852" s="1" t="s">
        <v>8116</v>
      </c>
      <c r="F1852" s="4" t="s">
        <v>17</v>
      </c>
      <c r="G1852" s="1" t="s">
        <v>18</v>
      </c>
      <c r="H1852" s="1" t="s">
        <v>19</v>
      </c>
      <c r="I1852" s="1" t="s">
        <v>20</v>
      </c>
      <c r="J1852" s="1" t="s">
        <v>8117</v>
      </c>
      <c r="K1852" s="1" t="s">
        <v>22</v>
      </c>
      <c r="L1852" s="1" t="str">
        <f>HYPERLINK("https://files.afu.se/Downloads/Transcripts/0%20-%20Government/USA%20-%20NASA%20Johnson/2014 04 14 - NASA Johnson - Flying Robots in Space with Megan Levins_xTlaGbsHq9A - transcript (automated).pdf","Transcript Link")</f>
        <v>Transcript Link</v>
      </c>
      <c r="M1852" s="2" t="str">
        <f>HYPERLINK("https://files.afu.se/Downloads/Transcripts/0%20-%20Government/USA%20-%20NASA%20Johnson/2014 04 14 - NASA Johnson - Flying Robots in Space with Megan Levins_xTlaGbsHq9A - transcript (automated).pdf","Transcript Link")</f>
        <v>Transcript Link</v>
      </c>
    </row>
    <row r="1853" ht="180" spans="1:13">
      <c r="A1853" s="1" t="s">
        <v>8113</v>
      </c>
      <c r="B1853" s="1" t="s">
        <v>13</v>
      </c>
      <c r="C1853" s="4" t="s">
        <v>8118</v>
      </c>
      <c r="D1853" s="1" t="s">
        <v>8119</v>
      </c>
      <c r="E1853" s="1" t="s">
        <v>8120</v>
      </c>
      <c r="F1853" s="4" t="s">
        <v>17</v>
      </c>
      <c r="G1853" s="1" t="s">
        <v>18</v>
      </c>
      <c r="H1853" s="1" t="s">
        <v>19</v>
      </c>
      <c r="I1853" s="1" t="s">
        <v>20</v>
      </c>
      <c r="J1853" s="1" t="s">
        <v>8121</v>
      </c>
      <c r="K1853" s="1" t="s">
        <v>22</v>
      </c>
      <c r="L1853" s="1" t="str">
        <f>HYPERLINK("https://files.afu.se/Downloads/Transcripts/0%20-%20Government/USA%20-%20NASA%20Johnson/2014 04 14 - NASA Johnson - Space Station Live  Improving Capturing Earth Imagery_wAogqm7sxoM - transcript (automated).pdf","Transcript Link")</f>
        <v>Transcript Link</v>
      </c>
      <c r="M1853" s="2" t="str">
        <f>HYPERLINK("https://files.afu.se/Downloads/Transcripts/0%20-%20Government/USA%20-%20NASA%20Johnson/2014 04 14 - NASA Johnson - Space Station Live  Improving Capturing Earth Imagery_wAogqm7sxoM - transcript (automated).pdf","Transcript Link")</f>
        <v>Transcript Link</v>
      </c>
    </row>
    <row r="1854" ht="180" spans="1:13">
      <c r="A1854" s="1" t="s">
        <v>8113</v>
      </c>
      <c r="B1854" s="1" t="s">
        <v>13</v>
      </c>
      <c r="C1854" s="4" t="s">
        <v>8122</v>
      </c>
      <c r="D1854" s="1" t="s">
        <v>8123</v>
      </c>
      <c r="E1854" s="1" t="s">
        <v>8124</v>
      </c>
      <c r="F1854" s="4" t="s">
        <v>17</v>
      </c>
      <c r="G1854" s="1" t="s">
        <v>18</v>
      </c>
      <c r="H1854" s="1" t="s">
        <v>19</v>
      </c>
      <c r="I1854" s="1" t="s">
        <v>20</v>
      </c>
      <c r="J1854" s="1" t="s">
        <v>8125</v>
      </c>
      <c r="K1854" s="1" t="s">
        <v>22</v>
      </c>
      <c r="L1854" s="1" t="str">
        <f>HYPERLINK("https://files.afu.se/Downloads/Transcripts/0%20-%20Government/USA%20-%20NASA%20Johnson/2014 04 14 - NASA Johnson - Space Station Live  Walking in Space to Fix a Computer_BMFB2oudXZc - transcript (automated).pdf","Transcript Link")</f>
        <v>Transcript Link</v>
      </c>
      <c r="M1854" s="2" t="str">
        <f>HYPERLINK("https://files.afu.se/Downloads/Transcripts/0%20-%20Government/USA%20-%20NASA%20Johnson/2014 04 14 - NASA Johnson - Space Station Live  Walking in Space to Fix a Computer_BMFB2oudXZc - transcript (automated).pdf","Transcript Link")</f>
        <v>Transcript Link</v>
      </c>
    </row>
    <row r="1855" ht="180" spans="1:13">
      <c r="A1855" s="1" t="s">
        <v>8113</v>
      </c>
      <c r="B1855" s="1" t="s">
        <v>13</v>
      </c>
      <c r="C1855" s="4" t="s">
        <v>8126</v>
      </c>
      <c r="D1855" s="1" t="s">
        <v>8127</v>
      </c>
      <c r="E1855" s="1" t="s">
        <v>8128</v>
      </c>
      <c r="F1855" s="4" t="s">
        <v>17</v>
      </c>
      <c r="G1855" s="1" t="s">
        <v>18</v>
      </c>
      <c r="H1855" s="1" t="s">
        <v>19</v>
      </c>
      <c r="I1855" s="1" t="s">
        <v>20</v>
      </c>
      <c r="J1855" s="1" t="s">
        <v>8129</v>
      </c>
      <c r="K1855" s="1" t="s">
        <v>22</v>
      </c>
      <c r="L1855" s="1" t="str">
        <f>HYPERLINK("https://files.afu.se/Downloads/Transcripts/0%20-%20Government/USA%20-%20NASA%20Johnson/2014 04 14 - NASA Johnson - Space Station Live  How Do Roots Grow in Space_irQHIhwDqGQ - transcript (automated).pdf","Transcript Link")</f>
        <v>Transcript Link</v>
      </c>
      <c r="M1855" s="2" t="str">
        <f>HYPERLINK("https://files.afu.se/Downloads/Transcripts/0%20-%20Government/USA%20-%20NASA%20Johnson/2014 04 14 - NASA Johnson - Space Station Live  How Do Roots Grow in Space_irQHIhwDqGQ - transcript (automated).pdf","Transcript Link")</f>
        <v>Transcript Link</v>
      </c>
    </row>
    <row r="1856" ht="180" spans="1:13">
      <c r="A1856" s="1" t="s">
        <v>8130</v>
      </c>
      <c r="B1856" s="1" t="s">
        <v>13</v>
      </c>
      <c r="C1856" s="4" t="s">
        <v>8131</v>
      </c>
      <c r="D1856" s="1" t="s">
        <v>8132</v>
      </c>
      <c r="E1856" s="1" t="s">
        <v>5059</v>
      </c>
      <c r="F1856" s="4" t="s">
        <v>17</v>
      </c>
      <c r="G1856" s="1" t="s">
        <v>18</v>
      </c>
      <c r="H1856" s="1" t="s">
        <v>19</v>
      </c>
      <c r="I1856" s="1" t="s">
        <v>20</v>
      </c>
      <c r="J1856" s="1" t="s">
        <v>8133</v>
      </c>
      <c r="K1856" s="1" t="s">
        <v>22</v>
      </c>
      <c r="L1856" s="1" t="str">
        <f>HYPERLINK("https://files.afu.se/Downloads/Transcripts/0%20-%20Government/USA%20-%20NASA%20Johnson/2014 04 11 - NASA Johnson - Space to Ground - 4 11 2014_Nm2_BwnCL7I - transcript (automated).pdf","Transcript Link")</f>
        <v>Transcript Link</v>
      </c>
      <c r="M1856" s="2" t="str">
        <f>HYPERLINK("https://files.afu.se/Downloads/Transcripts/0%20-%20Government/USA%20-%20NASA%20Johnson/2014 04 11 - NASA Johnson - Space to Ground - 4 11 2014_Nm2_BwnCL7I - transcript (automated).pdf","Transcript Link")</f>
        <v>Transcript Link</v>
      </c>
    </row>
    <row r="1857" ht="180" spans="1:13">
      <c r="A1857" s="1" t="s">
        <v>8134</v>
      </c>
      <c r="B1857" s="1" t="s">
        <v>13</v>
      </c>
      <c r="C1857" s="4" t="s">
        <v>8135</v>
      </c>
      <c r="D1857" s="1" t="s">
        <v>8136</v>
      </c>
      <c r="E1857" s="1" t="s">
        <v>8137</v>
      </c>
      <c r="F1857" s="4" t="s">
        <v>17</v>
      </c>
      <c r="G1857" s="1" t="s">
        <v>18</v>
      </c>
      <c r="H1857" s="1" t="s">
        <v>19</v>
      </c>
      <c r="I1857" s="1" t="s">
        <v>20</v>
      </c>
      <c r="J1857" s="1" t="s">
        <v>8138</v>
      </c>
      <c r="K1857" s="1" t="s">
        <v>22</v>
      </c>
      <c r="L1857" s="1" t="str">
        <f>HYPERLINK("https://files.afu.se/Downloads/Transcripts/0%20-%20Government/USA%20-%20NASA%20Johnson/2014 04 10 - NASA Johnson - Space Station Live  Scott Kelly Discusses Year-Long Mission_KcAvwEKwScM - transcript (automated).pdf","Transcript Link")</f>
        <v>Transcript Link</v>
      </c>
      <c r="M1857" s="2" t="str">
        <f>HYPERLINK("https://files.afu.se/Downloads/Transcripts/0%20-%20Government/USA%20-%20NASA%20Johnson/2014 04 10 - NASA Johnson - Space Station Live  Scott Kelly Discusses Year-Long Mission_KcAvwEKwScM - transcript (automated).pdf","Transcript Link")</f>
        <v>Transcript Link</v>
      </c>
    </row>
    <row r="1858" ht="180" spans="1:13">
      <c r="A1858" s="1" t="s">
        <v>8139</v>
      </c>
      <c r="B1858" s="1" t="s">
        <v>13</v>
      </c>
      <c r="C1858" s="4" t="s">
        <v>8140</v>
      </c>
      <c r="D1858" s="1" t="s">
        <v>8141</v>
      </c>
      <c r="E1858" s="1" t="s">
        <v>8142</v>
      </c>
      <c r="F1858" s="4" t="s">
        <v>17</v>
      </c>
      <c r="G1858" s="1" t="s">
        <v>18</v>
      </c>
      <c r="H1858" s="1" t="s">
        <v>19</v>
      </c>
      <c r="I1858" s="1" t="s">
        <v>20</v>
      </c>
      <c r="J1858" s="1" t="s">
        <v>8143</v>
      </c>
      <c r="K1858" s="1" t="s">
        <v>22</v>
      </c>
      <c r="L1858" s="1" t="str">
        <f>HYPERLINK("https://files.afu.se/Downloads/Transcripts/0%20-%20Government/USA%20-%20NASA%20Johnson/2014 04 09 - NASA Johnson - Astronaut Mike Hopkins  Workout in Space 4_L04fa4JvdAQ - transcript (automated).pdf","Transcript Link")</f>
        <v>Transcript Link</v>
      </c>
      <c r="M1858" s="2" t="str">
        <f>HYPERLINK("https://files.afu.se/Downloads/Transcripts/0%20-%20Government/USA%20-%20NASA%20Johnson/2014 04 09 - NASA Johnson - Astronaut Mike Hopkins  Workout in Space 4_L04fa4JvdAQ - transcript (automated).pdf","Transcript Link")</f>
        <v>Transcript Link</v>
      </c>
    </row>
    <row r="1859" ht="210" spans="1:13">
      <c r="A1859" s="1" t="s">
        <v>8139</v>
      </c>
      <c r="B1859" s="1" t="s">
        <v>13</v>
      </c>
      <c r="C1859" s="4" t="s">
        <v>8144</v>
      </c>
      <c r="D1859" s="1" t="s">
        <v>8145</v>
      </c>
      <c r="E1859" s="1" t="s">
        <v>8146</v>
      </c>
      <c r="F1859" s="4" t="s">
        <v>17</v>
      </c>
      <c r="G1859" s="1" t="s">
        <v>18</v>
      </c>
      <c r="H1859" s="1" t="s">
        <v>19</v>
      </c>
      <c r="I1859" s="1" t="s">
        <v>20</v>
      </c>
      <c r="J1859" s="1" t="s">
        <v>8147</v>
      </c>
      <c r="K1859" s="1" t="s">
        <v>22</v>
      </c>
      <c r="L1859" s="1" t="str">
        <f>HYPERLINK("https://files.afu.se/Downloads/Transcripts/0%20-%20Government/USA%20-%20NASA%20Johnson/2014 04 09 - NASA Johnson - Space Station Live  Binary Colloidal Alloy Test_iEabhqI0i-0 - transcript (automated).pdf","Transcript Link")</f>
        <v>Transcript Link</v>
      </c>
      <c r="M1859" s="2" t="str">
        <f>HYPERLINK("https://files.afu.se/Downloads/Transcripts/0%20-%20Government/USA%20-%20NASA%20Johnson/2014 04 09 - NASA Johnson - Space Station Live  Binary Colloidal Alloy Test_iEabhqI0i-0 - transcript (automated).pdf","Transcript Link")</f>
        <v>Transcript Link</v>
      </c>
    </row>
    <row r="1860" ht="180" spans="1:13">
      <c r="A1860" s="1" t="s">
        <v>8148</v>
      </c>
      <c r="B1860" s="1" t="s">
        <v>13</v>
      </c>
      <c r="C1860" s="4" t="s">
        <v>8149</v>
      </c>
      <c r="D1860" s="1" t="s">
        <v>8150</v>
      </c>
      <c r="E1860" s="1" t="s">
        <v>8151</v>
      </c>
      <c r="F1860" s="4" t="s">
        <v>17</v>
      </c>
      <c r="G1860" s="1" t="s">
        <v>18</v>
      </c>
      <c r="H1860" s="1" t="s">
        <v>19</v>
      </c>
      <c r="I1860" s="1" t="s">
        <v>20</v>
      </c>
      <c r="J1860" s="1" t="s">
        <v>8152</v>
      </c>
      <c r="K1860" s="1" t="s">
        <v>22</v>
      </c>
      <c r="L1860" s="1" t="str">
        <f>HYPERLINK("https://files.afu.se/Downloads/Transcripts/0%20-%20Government/USA%20-%20NASA%20Johnson/2014 04 04 - NASA Johnson - Space Station Live  Story Time From Space_r7wxiT3lDOU - transcript (automated).pdf","Transcript Link")</f>
        <v>Transcript Link</v>
      </c>
      <c r="M1860" s="2" t="str">
        <f>HYPERLINK("https://files.afu.se/Downloads/Transcripts/0%20-%20Government/USA%20-%20NASA%20Johnson/2014 04 04 - NASA Johnson - Space Station Live  Story Time From Space_r7wxiT3lDOU - transcript (automated).pdf","Transcript Link")</f>
        <v>Transcript Link</v>
      </c>
    </row>
    <row r="1861" ht="180" spans="1:13">
      <c r="A1861" s="1" t="s">
        <v>8148</v>
      </c>
      <c r="B1861" s="1" t="s">
        <v>13</v>
      </c>
      <c r="C1861" s="4" t="s">
        <v>8153</v>
      </c>
      <c r="D1861" s="1" t="s">
        <v>8154</v>
      </c>
      <c r="E1861" s="1" t="s">
        <v>5059</v>
      </c>
      <c r="F1861" s="4" t="s">
        <v>17</v>
      </c>
      <c r="G1861" s="1" t="s">
        <v>18</v>
      </c>
      <c r="H1861" s="1" t="s">
        <v>19</v>
      </c>
      <c r="I1861" s="1" t="s">
        <v>20</v>
      </c>
      <c r="J1861" s="1" t="s">
        <v>8155</v>
      </c>
      <c r="K1861" s="1" t="s">
        <v>22</v>
      </c>
      <c r="L1861" s="1" t="str">
        <f>HYPERLINK("https://files.afu.se/Downloads/Transcripts/0%20-%20Government/USA%20-%20NASA%20Johnson/2014 04 04 - NASA Johnson - Space to Ground - 4 4 2014_-s09OuW8JPo - transcript (automated).pdf","Transcript Link")</f>
        <v>Transcript Link</v>
      </c>
      <c r="M1861" s="2" t="str">
        <f>HYPERLINK("https://files.afu.se/Downloads/Transcripts/0%20-%20Government/USA%20-%20NASA%20Johnson/2014 04 04 - NASA Johnson - Space to Ground - 4 4 2014_-s09OuW8JPo - transcript (automated).pdf","Transcript Link")</f>
        <v>Transcript Link</v>
      </c>
    </row>
    <row r="1862" ht="180" spans="1:13">
      <c r="A1862" s="1" t="s">
        <v>8156</v>
      </c>
      <c r="B1862" s="1" t="s">
        <v>13</v>
      </c>
      <c r="C1862" s="4" t="s">
        <v>8157</v>
      </c>
      <c r="D1862" s="1" t="s">
        <v>8158</v>
      </c>
      <c r="E1862" s="1" t="s">
        <v>8159</v>
      </c>
      <c r="F1862" s="4" t="s">
        <v>17</v>
      </c>
      <c r="G1862" s="1" t="s">
        <v>18</v>
      </c>
      <c r="H1862" s="1" t="s">
        <v>19</v>
      </c>
      <c r="I1862" s="1" t="s">
        <v>20</v>
      </c>
      <c r="J1862" s="1" t="s">
        <v>8160</v>
      </c>
      <c r="K1862" s="1" t="s">
        <v>22</v>
      </c>
      <c r="L1862" s="1" t="str">
        <f>HYPERLINK("https://files.afu.se/Downloads/Transcripts/0%20-%20Government/USA%20-%20NASA%20Johnson/2014 04 03 - NASA Johnson - Space Station Live   Crowdsourced  Microbes Heading to Station_BMmIouNDv6M - transcript (automated).pdf","Transcript Link")</f>
        <v>Transcript Link</v>
      </c>
      <c r="M1862" s="2" t="str">
        <f>HYPERLINK("https://files.afu.se/Downloads/Transcripts/0%20-%20Government/USA%20-%20NASA%20Johnson/2014 04 03 - NASA Johnson - Space Station Live   Crowdsourced  Microbes Heading to Station_BMmIouNDv6M - transcript (automated).pdf","Transcript Link")</f>
        <v>Transcript Link</v>
      </c>
    </row>
    <row r="1863" ht="180" spans="1:13">
      <c r="A1863" s="1" t="s">
        <v>8156</v>
      </c>
      <c r="B1863" s="1" t="s">
        <v>13</v>
      </c>
      <c r="C1863" s="4" t="s">
        <v>8161</v>
      </c>
      <c r="D1863" s="1" t="s">
        <v>8162</v>
      </c>
      <c r="E1863" s="1" t="s">
        <v>8163</v>
      </c>
      <c r="F1863" s="4" t="s">
        <v>17</v>
      </c>
      <c r="G1863" s="1" t="s">
        <v>18</v>
      </c>
      <c r="H1863" s="1" t="s">
        <v>19</v>
      </c>
      <c r="I1863" s="1" t="s">
        <v>20</v>
      </c>
      <c r="J1863" s="1" t="s">
        <v>8164</v>
      </c>
      <c r="K1863" s="1" t="s">
        <v>22</v>
      </c>
      <c r="L1863" s="1" t="str">
        <f>HYPERLINK("https://files.afu.se/Downloads/Transcripts/0%20-%20Government/USA%20-%20NASA%20Johnson/2014 04 03 - NASA Johnson - Animation of Station's Cyclops Satellite Deployer_ygvMe7roCaw - transcript (automated).pdf","Transcript Link")</f>
        <v>Transcript Link</v>
      </c>
      <c r="M1863" s="2" t="str">
        <f>HYPERLINK("https://files.afu.se/Downloads/Transcripts/0%20-%20Government/USA%20-%20NASA%20Johnson/2014 04 03 - NASA Johnson - Animation of Station's Cyclops Satellite Deployer_ygvMe7roCaw - transcript (automated).pdf","Transcript Link")</f>
        <v>Transcript Link</v>
      </c>
    </row>
    <row r="1864" ht="180" spans="1:13">
      <c r="A1864" s="1" t="s">
        <v>8165</v>
      </c>
      <c r="B1864" s="1" t="s">
        <v>13</v>
      </c>
      <c r="C1864" s="4" t="s">
        <v>8166</v>
      </c>
      <c r="D1864" s="1" t="s">
        <v>8167</v>
      </c>
      <c r="E1864" s="1" t="s">
        <v>8168</v>
      </c>
      <c r="F1864" s="4" t="s">
        <v>17</v>
      </c>
      <c r="G1864" s="1" t="s">
        <v>18</v>
      </c>
      <c r="H1864" s="1" t="s">
        <v>19</v>
      </c>
      <c r="I1864" s="1" t="s">
        <v>20</v>
      </c>
      <c r="J1864" s="1" t="s">
        <v>8169</v>
      </c>
      <c r="K1864" s="1" t="s">
        <v>22</v>
      </c>
      <c r="L1864" s="1" t="str">
        <f>HYPERLINK("https://files.afu.se/Downloads/Transcripts/0%20-%20Government/USA%20-%20NASA%20Johnson/2014 04 02 - NASA Johnson - Space Station Live  Hybrid Training_xHm075F1yZQ - transcript (automated).pdf","Transcript Link")</f>
        <v>Transcript Link</v>
      </c>
      <c r="M1864" s="2" t="str">
        <f>HYPERLINK("https://files.afu.se/Downloads/Transcripts/0%20-%20Government/USA%20-%20NASA%20Johnson/2014 04 02 - NASA Johnson - Space Station Live  Hybrid Training_xHm075F1yZQ - transcript (automated).pdf","Transcript Link")</f>
        <v>Transcript Link</v>
      </c>
    </row>
    <row r="1865" ht="180" spans="1:13">
      <c r="A1865" s="1" t="s">
        <v>8170</v>
      </c>
      <c r="B1865" s="1" t="s">
        <v>13</v>
      </c>
      <c r="C1865" s="4" t="s">
        <v>8171</v>
      </c>
      <c r="D1865" s="1" t="s">
        <v>8172</v>
      </c>
      <c r="E1865" s="1" t="s">
        <v>8173</v>
      </c>
      <c r="F1865" s="4" t="s">
        <v>17</v>
      </c>
      <c r="G1865" s="1" t="s">
        <v>18</v>
      </c>
      <c r="H1865" s="1" t="s">
        <v>19</v>
      </c>
      <c r="I1865" s="1" t="s">
        <v>20</v>
      </c>
      <c r="J1865" s="1" t="s">
        <v>8174</v>
      </c>
      <c r="K1865" s="1" t="s">
        <v>22</v>
      </c>
      <c r="L1865" s="1" t="str">
        <f>HYPERLINK("https://files.afu.se/Downloads/Transcripts/0%20-%20Government/USA%20-%20NASA%20Johnson/2014 04 01 - NASA Johnson - Space Station Live  Multi-Gas Monitor Device_Pr8Aj5rgU_8 - transcript (automated).pdf","Transcript Link")</f>
        <v>Transcript Link</v>
      </c>
      <c r="M1865" s="2" t="str">
        <f>HYPERLINK("https://files.afu.se/Downloads/Transcripts/0%20-%20Government/USA%20-%20NASA%20Johnson/2014 04 01 - NASA Johnson - Space Station Live  Multi-Gas Monitor Device_Pr8Aj5rgU_8 - transcript (automated).pdf","Transcript Link")</f>
        <v>Transcript Link</v>
      </c>
    </row>
    <row r="1866" ht="180" spans="1:13">
      <c r="A1866" s="1" t="s">
        <v>8175</v>
      </c>
      <c r="B1866" s="1" t="s">
        <v>13</v>
      </c>
      <c r="C1866" s="4" t="s">
        <v>8176</v>
      </c>
      <c r="D1866" s="1" t="s">
        <v>8177</v>
      </c>
      <c r="E1866" s="1" t="s">
        <v>8178</v>
      </c>
      <c r="F1866" s="4" t="s">
        <v>17</v>
      </c>
      <c r="G1866" s="1" t="s">
        <v>18</v>
      </c>
      <c r="H1866" s="1" t="s">
        <v>19</v>
      </c>
      <c r="I1866" s="1" t="s">
        <v>20</v>
      </c>
      <c r="J1866" s="1" t="s">
        <v>8179</v>
      </c>
      <c r="K1866" s="1" t="s">
        <v>22</v>
      </c>
      <c r="L1866" s="1" t="str">
        <f>HYPERLINK("https://files.afu.se/Downloads/Transcripts/0%20-%20Government/USA%20-%20NASA%20Johnson/2014 03 31 - NASA Johnson - Expedition 39 Flight Engineer Steve Swanson_20uz55rpYAo - transcript (automated).pdf","Transcript Link")</f>
        <v>Transcript Link</v>
      </c>
      <c r="M1866" s="2" t="str">
        <f>HYPERLINK("https://files.afu.se/Downloads/Transcripts/0%20-%20Government/USA%20-%20NASA%20Johnson/2014 03 31 - NASA Johnson - Expedition 39 Flight Engineer Steve Swanson_20uz55rpYAo - transcript (automated).pdf","Transcript Link")</f>
        <v>Transcript Link</v>
      </c>
    </row>
    <row r="1867" ht="180" spans="1:13">
      <c r="A1867" s="1" t="s">
        <v>8175</v>
      </c>
      <c r="B1867" s="1" t="s">
        <v>13</v>
      </c>
      <c r="C1867" s="4" t="s">
        <v>8180</v>
      </c>
      <c r="D1867" s="1" t="s">
        <v>8181</v>
      </c>
      <c r="E1867" s="1" t="s">
        <v>8182</v>
      </c>
      <c r="F1867" s="4" t="s">
        <v>17</v>
      </c>
      <c r="G1867" s="1" t="s">
        <v>18</v>
      </c>
      <c r="H1867" s="1" t="s">
        <v>19</v>
      </c>
      <c r="I1867" s="1" t="s">
        <v>20</v>
      </c>
      <c r="J1867" s="1" t="s">
        <v>8183</v>
      </c>
      <c r="K1867" s="1" t="s">
        <v>22</v>
      </c>
      <c r="L1867" s="1" t="str">
        <f>HYPERLINK("https://files.afu.se/Downloads/Transcripts/0%20-%20Government/USA%20-%20NASA%20Johnson/2014 03 31 - NASA Johnson - Expedition 39 Flight Engineer Alexander Skvortsov_fsaIJX_DBWs - transcript (automated).pdf","Transcript Link")</f>
        <v>Transcript Link</v>
      </c>
      <c r="M1867" s="2" t="str">
        <f>HYPERLINK("https://files.afu.se/Downloads/Transcripts/0%20-%20Government/USA%20-%20NASA%20Johnson/2014 03 31 - NASA Johnson - Expedition 39 Flight Engineer Alexander Skvortsov_fsaIJX_DBWs - transcript (automated).pdf","Transcript Link")</f>
        <v>Transcript Link</v>
      </c>
    </row>
    <row r="1868" ht="180" spans="1:13">
      <c r="A1868" s="1" t="s">
        <v>8175</v>
      </c>
      <c r="B1868" s="1" t="s">
        <v>13</v>
      </c>
      <c r="C1868" s="4" t="s">
        <v>8184</v>
      </c>
      <c r="D1868" s="1" t="s">
        <v>8185</v>
      </c>
      <c r="E1868" s="1" t="s">
        <v>8186</v>
      </c>
      <c r="F1868" s="4" t="s">
        <v>17</v>
      </c>
      <c r="G1868" s="1" t="s">
        <v>18</v>
      </c>
      <c r="H1868" s="1" t="s">
        <v>19</v>
      </c>
      <c r="I1868" s="1" t="s">
        <v>20</v>
      </c>
      <c r="J1868" s="1" t="s">
        <v>8187</v>
      </c>
      <c r="K1868" s="1" t="s">
        <v>22</v>
      </c>
      <c r="L1868" s="1" t="str">
        <f>HYPERLINK("https://files.afu.se/Downloads/Transcripts/0%20-%20Government/USA%20-%20NASA%20Johnson/2014 03 31 - NASA Johnson - Expedition 39 Flight Engineer Oleg Artemyev_se6_0AeVPGA - transcript (automated).pdf","Transcript Link")</f>
        <v>Transcript Link</v>
      </c>
      <c r="M1868" s="2" t="str">
        <f>HYPERLINK("https://files.afu.se/Downloads/Transcripts/0%20-%20Government/USA%20-%20NASA%20Johnson/2014 03 31 - NASA Johnson - Expedition 39 Flight Engineer Oleg Artemyev_se6_0AeVPGA - transcript (automated).pdf","Transcript Link")</f>
        <v>Transcript Link</v>
      </c>
    </row>
    <row r="1869" ht="180" spans="1:13">
      <c r="A1869" s="1" t="s">
        <v>8188</v>
      </c>
      <c r="B1869" s="1" t="s">
        <v>13</v>
      </c>
      <c r="C1869" s="4" t="s">
        <v>8189</v>
      </c>
      <c r="D1869" s="1" t="s">
        <v>8190</v>
      </c>
      <c r="E1869" s="1" t="s">
        <v>8191</v>
      </c>
      <c r="F1869" s="4" t="s">
        <v>17</v>
      </c>
      <c r="G1869" s="1" t="s">
        <v>18</v>
      </c>
      <c r="H1869" s="1" t="s">
        <v>19</v>
      </c>
      <c r="I1869" s="1" t="s">
        <v>20</v>
      </c>
      <c r="J1869" s="1" t="s">
        <v>8192</v>
      </c>
      <c r="K1869" s="1" t="s">
        <v>22</v>
      </c>
      <c r="L1869" s="1" t="str">
        <f>HYPERLINK("https://files.afu.se/Downloads/Transcripts/0%20-%20Government/USA%20-%20NASA%20Johnson/2014 03 28 - NASA Johnson - Space Station Live  Expedition 39 Hatch Opening and Crew Greeting_-D4osuNnrMc - transcript (automated).pdf","Transcript Link")</f>
        <v>Transcript Link</v>
      </c>
      <c r="M1869" s="2" t="str">
        <f>HYPERLINK("https://files.afu.se/Downloads/Transcripts/0%20-%20Government/USA%20-%20NASA%20Johnson/2014 03 28 - NASA Johnson - Space Station Live  Expedition 39 Hatch Opening and Crew Greeting_-D4osuNnrMc - transcript (automated).pdf","Transcript Link")</f>
        <v>Transcript Link</v>
      </c>
    </row>
    <row r="1870" ht="180" spans="1:13">
      <c r="A1870" s="1" t="s">
        <v>8188</v>
      </c>
      <c r="B1870" s="1" t="s">
        <v>13</v>
      </c>
      <c r="C1870" s="4" t="s">
        <v>8193</v>
      </c>
      <c r="D1870" s="1" t="s">
        <v>8194</v>
      </c>
      <c r="E1870" s="1" t="s">
        <v>8195</v>
      </c>
      <c r="F1870" s="4" t="s">
        <v>17</v>
      </c>
      <c r="G1870" s="1" t="s">
        <v>18</v>
      </c>
      <c r="H1870" s="1" t="s">
        <v>19</v>
      </c>
      <c r="I1870" s="1" t="s">
        <v>20</v>
      </c>
      <c r="J1870" s="1" t="s">
        <v>8196</v>
      </c>
      <c r="K1870" s="1" t="s">
        <v>22</v>
      </c>
      <c r="L1870" s="1" t="str">
        <f>HYPERLINK("https://files.afu.se/Downloads/Transcripts/0%20-%20Government/USA%20-%20NASA%20Johnson/2014 03 28 - NASA Johnson - Space Station Live  Micro-7 Experiment to Launch on SpaceX-3_4PsY00wNjnQ - transcript (automated).pdf","Transcript Link")</f>
        <v>Transcript Link</v>
      </c>
      <c r="M1870" s="2" t="str">
        <f>HYPERLINK("https://files.afu.se/Downloads/Transcripts/0%20-%20Government/USA%20-%20NASA%20Johnson/2014 03 28 - NASA Johnson - Space Station Live  Micro-7 Experiment to Launch on SpaceX-3_4PsY00wNjnQ - transcript (automated).pdf","Transcript Link")</f>
        <v>Transcript Link</v>
      </c>
    </row>
    <row r="1871" ht="180" spans="1:13">
      <c r="A1871" s="1" t="s">
        <v>8188</v>
      </c>
      <c r="B1871" s="1" t="s">
        <v>13</v>
      </c>
      <c r="C1871" s="4" t="s">
        <v>8197</v>
      </c>
      <c r="D1871" s="1" t="s">
        <v>8198</v>
      </c>
      <c r="E1871" s="1" t="s">
        <v>8199</v>
      </c>
      <c r="F1871" s="4" t="s">
        <v>17</v>
      </c>
      <c r="G1871" s="1" t="s">
        <v>18</v>
      </c>
      <c r="H1871" s="1" t="s">
        <v>19</v>
      </c>
      <c r="I1871" s="1" t="s">
        <v>20</v>
      </c>
      <c r="J1871" s="1" t="s">
        <v>8200</v>
      </c>
      <c r="K1871" s="1" t="s">
        <v>22</v>
      </c>
      <c r="L1871" s="1" t="str">
        <f>HYPERLINK("https://files.afu.se/Downloads/Transcripts/0%20-%20Government/USA%20-%20NASA%20Johnson/2014 03 28 - NASA Johnson - Space to Ground - 3 28 2014_u0yumDyPS7U - transcript (automated).pdf","Transcript Link")</f>
        <v>Transcript Link</v>
      </c>
      <c r="M1871" s="2" t="str">
        <f>HYPERLINK("https://files.afu.se/Downloads/Transcripts/0%20-%20Government/USA%20-%20NASA%20Johnson/2014 03 28 - NASA Johnson - Space to Ground - 3 28 2014_u0yumDyPS7U - transcript (automated).pdf","Transcript Link")</f>
        <v>Transcript Link</v>
      </c>
    </row>
    <row r="1872" ht="180" spans="1:13">
      <c r="A1872" s="1" t="s">
        <v>8188</v>
      </c>
      <c r="B1872" s="1" t="s">
        <v>13</v>
      </c>
      <c r="C1872" s="4" t="s">
        <v>8201</v>
      </c>
      <c r="D1872" s="1" t="s">
        <v>8202</v>
      </c>
      <c r="E1872" s="1" t="s">
        <v>8203</v>
      </c>
      <c r="F1872" s="4" t="s">
        <v>17</v>
      </c>
      <c r="G1872" s="1" t="s">
        <v>18</v>
      </c>
      <c r="H1872" s="1" t="s">
        <v>19</v>
      </c>
      <c r="I1872" s="1" t="s">
        <v>20</v>
      </c>
      <c r="J1872" s="1" t="s">
        <v>8204</v>
      </c>
      <c r="K1872" s="1" t="s">
        <v>22</v>
      </c>
      <c r="L1872" s="1" t="str">
        <f>HYPERLINK("https://files.afu.se/Downloads/Transcripts/0%20-%20Government/USA%20-%20NASA%20Johnson/2014 03 28 - NASA Johnson - Expedition 39 Docks to Station After Two Day Trip_7bq_03LEXiA - transcript (automated).pdf","Transcript Link")</f>
        <v>Transcript Link</v>
      </c>
      <c r="M1872" s="2" t="str">
        <f>HYPERLINK("https://files.afu.se/Downloads/Transcripts/0%20-%20Government/USA%20-%20NASA%20Johnson/2014 03 28 - NASA Johnson - Expedition 39 Docks to Station After Two Day Trip_7bq_03LEXiA - transcript (automated).pdf","Transcript Link")</f>
        <v>Transcript Link</v>
      </c>
    </row>
    <row r="1873" ht="180" spans="1:13">
      <c r="A1873" s="1" t="s">
        <v>8205</v>
      </c>
      <c r="B1873" s="1" t="s">
        <v>13</v>
      </c>
      <c r="C1873" s="4" t="s">
        <v>8206</v>
      </c>
      <c r="D1873" s="1" t="s">
        <v>8207</v>
      </c>
      <c r="E1873" s="1" t="s">
        <v>8208</v>
      </c>
      <c r="F1873" s="4" t="s">
        <v>17</v>
      </c>
      <c r="G1873" s="1" t="s">
        <v>18</v>
      </c>
      <c r="H1873" s="1" t="s">
        <v>19</v>
      </c>
      <c r="I1873" s="1" t="s">
        <v>20</v>
      </c>
      <c r="J1873" s="1" t="s">
        <v>8209</v>
      </c>
      <c r="K1873" s="1" t="s">
        <v>22</v>
      </c>
      <c r="L1873" s="1" t="str">
        <f>HYPERLINK("https://files.afu.se/Downloads/Transcripts/0%20-%20Government/USA%20-%20NASA%20Johnson/2014 03 27 - NASA Johnson - Space Station Live  Protein Crystal Growth for Treatment of Immunological Disorders_Yn-ZiAxeUBg - transcript (automated).pdf","Transcript Link")</f>
        <v>Transcript Link</v>
      </c>
      <c r="M1873" s="2" t="str">
        <f>HYPERLINK("https://files.afu.se/Downloads/Transcripts/0%20-%20Government/USA%20-%20NASA%20Johnson/2014 03 27 - NASA Johnson - Space Station Live  Protein Crystal Growth for Treatment of Immunological Disorders_Yn-ZiAxeUBg - transcript (automated).pdf","Transcript Link")</f>
        <v>Transcript Link</v>
      </c>
    </row>
    <row r="1874" ht="180" spans="1:13">
      <c r="A1874" s="1" t="s">
        <v>8205</v>
      </c>
      <c r="B1874" s="1" t="s">
        <v>13</v>
      </c>
      <c r="C1874" s="4" t="s">
        <v>8210</v>
      </c>
      <c r="D1874" s="1" t="s">
        <v>7835</v>
      </c>
      <c r="E1874" s="1" t="s">
        <v>8211</v>
      </c>
      <c r="F1874" s="4" t="s">
        <v>17</v>
      </c>
      <c r="G1874" s="1" t="s">
        <v>18</v>
      </c>
      <c r="H1874" s="1" t="s">
        <v>19</v>
      </c>
      <c r="I1874" s="1" t="s">
        <v>20</v>
      </c>
      <c r="J1874" s="1" t="s">
        <v>8212</v>
      </c>
      <c r="K1874" s="1" t="s">
        <v>22</v>
      </c>
      <c r="L1874" s="1" t="str">
        <f>HYPERLINK("https://files.afu.se/Downloads/Transcripts/0%20-%20Government/USA%20-%20NASA%20Johnson/2014 03 27 - NASA Johnson - Space Station Live  Optical Communication From Space_I-QhM18OQZE - transcript (automated).pdf","Transcript Link")</f>
        <v>Transcript Link</v>
      </c>
      <c r="M1874" s="2" t="str">
        <f>HYPERLINK("https://files.afu.se/Downloads/Transcripts/0%20-%20Government/USA%20-%20NASA%20Johnson/2014 03 27 - NASA Johnson - Space Station Live  Optical Communication From Space_I-QhM18OQZE - transcript (automated).pdf","Transcript Link")</f>
        <v>Transcript Link</v>
      </c>
    </row>
    <row r="1875" ht="180" spans="1:13">
      <c r="A1875" s="1" t="s">
        <v>8213</v>
      </c>
      <c r="B1875" s="1" t="s">
        <v>13</v>
      </c>
      <c r="C1875" s="4" t="s">
        <v>8214</v>
      </c>
      <c r="D1875" s="1" t="s">
        <v>8215</v>
      </c>
      <c r="E1875" s="1" t="s">
        <v>8216</v>
      </c>
      <c r="F1875" s="4" t="s">
        <v>17</v>
      </c>
      <c r="G1875" s="1" t="s">
        <v>18</v>
      </c>
      <c r="H1875" s="1" t="s">
        <v>19</v>
      </c>
      <c r="I1875" s="1" t="s">
        <v>20</v>
      </c>
      <c r="J1875" s="1" t="s">
        <v>8217</v>
      </c>
      <c r="K1875" s="1" t="s">
        <v>22</v>
      </c>
      <c r="L1875" s="1" t="str">
        <f>HYPERLINK("https://files.afu.se/Downloads/Transcripts/0%20-%20Government/USA%20-%20NASA%20Johnson/2014 03 26 - NASA Johnson - Soyuz Docking With Station Delayed to Thursday_IJJk_lYuIGg - transcript (automated).pdf","Transcript Link")</f>
        <v>Transcript Link</v>
      </c>
      <c r="M1875" s="2" t="str">
        <f>HYPERLINK("https://files.afu.se/Downloads/Transcripts/0%20-%20Government/USA%20-%20NASA%20Johnson/2014 03 26 - NASA Johnson - Soyuz Docking With Station Delayed to Thursday_IJJk_lYuIGg - transcript (automated).pdf","Transcript Link")</f>
        <v>Transcript Link</v>
      </c>
    </row>
    <row r="1876" ht="180" spans="1:13">
      <c r="A1876" s="1" t="s">
        <v>8213</v>
      </c>
      <c r="B1876" s="1" t="s">
        <v>13</v>
      </c>
      <c r="C1876" s="4" t="s">
        <v>8218</v>
      </c>
      <c r="D1876" s="1" t="s">
        <v>8219</v>
      </c>
      <c r="E1876" s="1" t="s">
        <v>8220</v>
      </c>
      <c r="F1876" s="4" t="s">
        <v>17</v>
      </c>
      <c r="G1876" s="1" t="s">
        <v>18</v>
      </c>
      <c r="H1876" s="1" t="s">
        <v>19</v>
      </c>
      <c r="I1876" s="1" t="s">
        <v>20</v>
      </c>
      <c r="J1876" s="1" t="s">
        <v>8221</v>
      </c>
      <c r="K1876" s="1" t="s">
        <v>22</v>
      </c>
      <c r="L1876" s="1" t="str">
        <f>HYPERLINK("https://files.afu.se/Downloads/Transcripts/0%20-%20Government/USA%20-%20NASA%20Johnson/2014 03 26 - NASA Johnson - Expedition 39 40 Mission Overview_YWzRCbLvIrc - transcript (automated).pdf","Transcript Link")</f>
        <v>Transcript Link</v>
      </c>
      <c r="M1876" s="2" t="str">
        <f>HYPERLINK("https://files.afu.se/Downloads/Transcripts/0%20-%20Government/USA%20-%20NASA%20Johnson/2014 03 26 - NASA Johnson - Expedition 39 40 Mission Overview_YWzRCbLvIrc - transcript (automated).pdf","Transcript Link")</f>
        <v>Transcript Link</v>
      </c>
    </row>
    <row r="1877" ht="180" spans="1:13">
      <c r="A1877" s="1" t="s">
        <v>8213</v>
      </c>
      <c r="B1877" s="1" t="s">
        <v>13</v>
      </c>
      <c r="C1877" s="4" t="s">
        <v>8222</v>
      </c>
      <c r="D1877" s="1" t="s">
        <v>8223</v>
      </c>
      <c r="E1877" s="1" t="s">
        <v>8224</v>
      </c>
      <c r="F1877" s="4" t="s">
        <v>17</v>
      </c>
      <c r="G1877" s="1" t="s">
        <v>18</v>
      </c>
      <c r="H1877" s="1" t="s">
        <v>19</v>
      </c>
      <c r="I1877" s="1" t="s">
        <v>20</v>
      </c>
      <c r="J1877" s="1" t="s">
        <v>8225</v>
      </c>
      <c r="K1877" s="1" t="s">
        <v>22</v>
      </c>
      <c r="L1877" s="1" t="str">
        <f>HYPERLINK("https://files.afu.se/Downloads/Transcripts/0%20-%20Government/USA%20-%20NASA%20Johnson/2014 03 26 - NASA Johnson - Meet the Station's Expedition 39 Crew_0DUn_N2o9G0 - transcript (automated).pdf","Transcript Link")</f>
        <v>Transcript Link</v>
      </c>
      <c r="M1877" s="2" t="str">
        <f>HYPERLINK("https://files.afu.se/Downloads/Transcripts/0%20-%20Government/USA%20-%20NASA%20Johnson/2014 03 26 - NASA Johnson - Meet the Station's Expedition 39 Crew_0DUn_N2o9G0 - transcript (automated).pdf","Transcript Link")</f>
        <v>Transcript Link</v>
      </c>
    </row>
    <row r="1878" ht="180" spans="1:13">
      <c r="A1878" s="1" t="s">
        <v>8226</v>
      </c>
      <c r="B1878" s="1" t="s">
        <v>13</v>
      </c>
      <c r="C1878" s="4" t="s">
        <v>8227</v>
      </c>
      <c r="D1878" s="1" t="s">
        <v>8228</v>
      </c>
      <c r="E1878" s="1" t="s">
        <v>8229</v>
      </c>
      <c r="F1878" s="4" t="s">
        <v>17</v>
      </c>
      <c r="G1878" s="1" t="s">
        <v>18</v>
      </c>
      <c r="H1878" s="1" t="s">
        <v>19</v>
      </c>
      <c r="I1878" s="1" t="s">
        <v>20</v>
      </c>
      <c r="J1878" s="1" t="s">
        <v>8230</v>
      </c>
      <c r="K1878" s="1" t="s">
        <v>22</v>
      </c>
      <c r="L1878" s="1" t="str">
        <f>HYPERLINK("https://files.afu.se/Downloads/Transcripts/0%20-%20Government/USA%20-%20NASA%20Johnson/2014 03 25 - NASA Johnson - Expedition 39 40 Launches to the International Space Station_E_fZI-Vltrc - transcript (automated).pdf","Transcript Link")</f>
        <v>Transcript Link</v>
      </c>
      <c r="M1878" s="2" t="str">
        <f>HYPERLINK("https://files.afu.se/Downloads/Transcripts/0%20-%20Government/USA%20-%20NASA%20Johnson/2014 03 25 - NASA Johnson - Expedition 39 40 Launches to the International Space Station_E_fZI-Vltrc - transcript (automated).pdf","Transcript Link")</f>
        <v>Transcript Link</v>
      </c>
    </row>
    <row r="1879" ht="180" spans="1:13">
      <c r="A1879" s="1" t="s">
        <v>8226</v>
      </c>
      <c r="B1879" s="1" t="s">
        <v>13</v>
      </c>
      <c r="C1879" s="4" t="s">
        <v>8231</v>
      </c>
      <c r="D1879" s="1" t="s">
        <v>8232</v>
      </c>
      <c r="E1879" s="1" t="s">
        <v>8233</v>
      </c>
      <c r="F1879" s="4" t="s">
        <v>17</v>
      </c>
      <c r="G1879" s="1" t="s">
        <v>18</v>
      </c>
      <c r="H1879" s="1" t="s">
        <v>19</v>
      </c>
      <c r="I1879" s="1" t="s">
        <v>20</v>
      </c>
      <c r="J1879" s="1" t="s">
        <v>8234</v>
      </c>
      <c r="K1879" s="1" t="s">
        <v>22</v>
      </c>
      <c r="L1879" s="1" t="str">
        <f>HYPERLINK("https://files.afu.se/Downloads/Transcripts/0%20-%20Government/USA%20-%20NASA%20Johnson/2014 03 25 - NASA Johnson - Space Station Live  Astronaut Steve Swanson Interview_N1zF4BM50Dk - transcript (automated).pdf","Transcript Link")</f>
        <v>Transcript Link</v>
      </c>
      <c r="M1879" s="2" t="str">
        <f>HYPERLINK("https://files.afu.se/Downloads/Transcripts/0%20-%20Government/USA%20-%20NASA%20Johnson/2014 03 25 - NASA Johnson - Space Station Live  Astronaut Steve Swanson Interview_N1zF4BM50Dk - transcript (automated).pdf","Transcript Link")</f>
        <v>Transcript Link</v>
      </c>
    </row>
    <row r="1880" ht="180" spans="1:13">
      <c r="A1880" s="1" t="s">
        <v>8235</v>
      </c>
      <c r="B1880" s="1" t="s">
        <v>13</v>
      </c>
      <c r="C1880" s="4" t="s">
        <v>8236</v>
      </c>
      <c r="D1880" s="1" t="s">
        <v>8237</v>
      </c>
      <c r="E1880" s="1" t="s">
        <v>8238</v>
      </c>
      <c r="F1880" s="4" t="s">
        <v>17</v>
      </c>
      <c r="G1880" s="1" t="s">
        <v>18</v>
      </c>
      <c r="H1880" s="1" t="s">
        <v>19</v>
      </c>
      <c r="I1880" s="1" t="s">
        <v>20</v>
      </c>
      <c r="J1880" s="1" t="s">
        <v>8239</v>
      </c>
      <c r="K1880" s="1" t="s">
        <v>22</v>
      </c>
      <c r="L1880" s="1" t="str">
        <f>HYPERLINK("https://files.afu.se/Downloads/Transcripts/0%20-%20Government/USA%20-%20NASA%20Johnson/2014 03 24 - NASA Johnson - Expedition 39 Crew Profile_YWnmWGDVsxs - transcript (automated).pdf","Transcript Link")</f>
        <v>Transcript Link</v>
      </c>
      <c r="M1880" s="2" t="str">
        <f>HYPERLINK("https://files.afu.se/Downloads/Transcripts/0%20-%20Government/USA%20-%20NASA%20Johnson/2014 03 24 - NASA Johnson - Expedition 39 Crew Profile_YWnmWGDVsxs - transcript (automated).pdf","Transcript Link")</f>
        <v>Transcript Link</v>
      </c>
    </row>
    <row r="1881" ht="195" spans="1:13">
      <c r="A1881" s="1" t="s">
        <v>8235</v>
      </c>
      <c r="B1881" s="1" t="s">
        <v>13</v>
      </c>
      <c r="C1881" s="4" t="s">
        <v>8240</v>
      </c>
      <c r="D1881" s="1" t="s">
        <v>8241</v>
      </c>
      <c r="E1881" s="1" t="s">
        <v>8242</v>
      </c>
      <c r="F1881" s="4" t="s">
        <v>17</v>
      </c>
      <c r="G1881" s="1" t="s">
        <v>18</v>
      </c>
      <c r="H1881" s="1" t="s">
        <v>19</v>
      </c>
      <c r="I1881" s="1" t="s">
        <v>20</v>
      </c>
      <c r="J1881" s="1" t="s">
        <v>8243</v>
      </c>
      <c r="K1881" s="1" t="s">
        <v>22</v>
      </c>
      <c r="L1881" s="1" t="str">
        <f>HYPERLINK("https://files.afu.se/Downloads/Transcripts/0%20-%20Government/USA%20-%20NASA%20Johnson/2014 03 24 - NASA Johnson - Space Station Live  Astronaut Twins Unique Opportunity for Research_Ul3eJ7NT6E8 - transcript (automated).pdf","Transcript Link")</f>
        <v>Transcript Link</v>
      </c>
      <c r="M1881" s="2" t="str">
        <f>HYPERLINK("https://files.afu.se/Downloads/Transcripts/0%20-%20Government/USA%20-%20NASA%20Johnson/2014 03 24 - NASA Johnson - Space Station Live  Astronaut Twins Unique Opportunity for Research_Ul3eJ7NT6E8 - transcript (automated).pdf","Transcript Link")</f>
        <v>Transcript Link</v>
      </c>
    </row>
    <row r="1882" ht="180" spans="1:13">
      <c r="A1882" s="1" t="s">
        <v>8244</v>
      </c>
      <c r="B1882" s="1" t="s">
        <v>13</v>
      </c>
      <c r="C1882" s="4" t="s">
        <v>8245</v>
      </c>
      <c r="D1882" s="1" t="s">
        <v>8246</v>
      </c>
      <c r="E1882" s="1" t="s">
        <v>8247</v>
      </c>
      <c r="F1882" s="4" t="s">
        <v>17</v>
      </c>
      <c r="G1882" s="1" t="s">
        <v>18</v>
      </c>
      <c r="H1882" s="1" t="s">
        <v>19</v>
      </c>
      <c r="I1882" s="1" t="s">
        <v>20</v>
      </c>
      <c r="J1882" s="1" t="s">
        <v>8248</v>
      </c>
      <c r="K1882" s="1" t="s">
        <v>22</v>
      </c>
      <c r="L1882" s="1" t="str">
        <f>HYPERLINK("https://files.afu.se/Downloads/Transcripts/0%20-%20Government/USA%20-%20NASA%20Johnson/2014 03 21 - NASA Johnson - Expedition 39 40 Crew Preps for Launch to Station_X_mLDfhDxS8 - transcript (automated).pdf","Transcript Link")</f>
        <v>Transcript Link</v>
      </c>
      <c r="M1882" s="2" t="str">
        <f>HYPERLINK("https://files.afu.se/Downloads/Transcripts/0%20-%20Government/USA%20-%20NASA%20Johnson/2014 03 21 - NASA Johnson - Expedition 39 40 Crew Preps for Launch to Station_X_mLDfhDxS8 - transcript (automated).pdf","Transcript Link")</f>
        <v>Transcript Link</v>
      </c>
    </row>
    <row r="1883" ht="180" spans="1:13">
      <c r="A1883" s="1" t="s">
        <v>8244</v>
      </c>
      <c r="B1883" s="1" t="s">
        <v>13</v>
      </c>
      <c r="C1883" s="4" t="s">
        <v>8249</v>
      </c>
      <c r="D1883" s="1" t="s">
        <v>8250</v>
      </c>
      <c r="E1883" s="1" t="s">
        <v>8251</v>
      </c>
      <c r="F1883" s="4" t="s">
        <v>17</v>
      </c>
      <c r="G1883" s="1" t="s">
        <v>18</v>
      </c>
      <c r="H1883" s="1" t="s">
        <v>19</v>
      </c>
      <c r="I1883" s="1" t="s">
        <v>20</v>
      </c>
      <c r="J1883" s="1" t="s">
        <v>8252</v>
      </c>
      <c r="K1883" s="1" t="s">
        <v>22</v>
      </c>
      <c r="L1883" s="1" t="str">
        <f>HYPERLINK("https://files.afu.se/Downloads/Transcripts/0%20-%20Government/USA%20-%20NASA%20Johnson/2014 03 21 - NASA Johnson - Recycling Water on Space Station_womKV58QTHY - transcript (automated).pdf","Transcript Link")</f>
        <v>Transcript Link</v>
      </c>
      <c r="M1883" s="2" t="str">
        <f>HYPERLINK("https://files.afu.se/Downloads/Transcripts/0%20-%20Government/USA%20-%20NASA%20Johnson/2014 03 21 - NASA Johnson - Recycling Water on Space Station_womKV58QTHY - transcript (automated).pdf","Transcript Link")</f>
        <v>Transcript Link</v>
      </c>
    </row>
    <row r="1884" ht="180" spans="1:13">
      <c r="A1884" s="1" t="s">
        <v>8244</v>
      </c>
      <c r="B1884" s="1" t="s">
        <v>13</v>
      </c>
      <c r="C1884" s="4" t="s">
        <v>8253</v>
      </c>
      <c r="D1884" s="1" t="s">
        <v>8254</v>
      </c>
      <c r="E1884" s="1" t="s">
        <v>8255</v>
      </c>
      <c r="F1884" s="4" t="s">
        <v>17</v>
      </c>
      <c r="G1884" s="1" t="s">
        <v>18</v>
      </c>
      <c r="H1884" s="1" t="s">
        <v>19</v>
      </c>
      <c r="I1884" s="1" t="s">
        <v>20</v>
      </c>
      <c r="J1884" s="1" t="s">
        <v>8256</v>
      </c>
      <c r="K1884" s="1" t="s">
        <v>22</v>
      </c>
      <c r="L1884" s="1" t="str">
        <f>HYPERLINK("https://files.afu.se/Downloads/Transcripts/0%20-%20Government/USA%20-%20NASA%20Johnson/2014 03 21 - NASA Johnson - Space to Ground - 3 21 2014__6-OhcXD-DQ - transcript (automated).pdf","Transcript Link")</f>
        <v>Transcript Link</v>
      </c>
      <c r="M1884" s="2" t="str">
        <f>HYPERLINK("https://files.afu.se/Downloads/Transcripts/0%20-%20Government/USA%20-%20NASA%20Johnson/2014 03 21 - NASA Johnson - Space to Ground - 3 21 2014__6-OhcXD-DQ - transcript (automated).pdf","Transcript Link")</f>
        <v>Transcript Link</v>
      </c>
    </row>
    <row r="1885" ht="180" spans="1:13">
      <c r="A1885" s="1" t="s">
        <v>8257</v>
      </c>
      <c r="B1885" s="1" t="s">
        <v>13</v>
      </c>
      <c r="C1885" s="4" t="s">
        <v>8258</v>
      </c>
      <c r="D1885" s="1" t="s">
        <v>8259</v>
      </c>
      <c r="E1885" s="1" t="s">
        <v>8260</v>
      </c>
      <c r="F1885" s="4" t="s">
        <v>17</v>
      </c>
      <c r="G1885" s="1" t="s">
        <v>18</v>
      </c>
      <c r="H1885" s="1" t="s">
        <v>19</v>
      </c>
      <c r="I1885" s="1" t="s">
        <v>20</v>
      </c>
      <c r="J1885" s="1" t="s">
        <v>8261</v>
      </c>
      <c r="K1885" s="1" t="s">
        <v>22</v>
      </c>
      <c r="L1885" s="1" t="str">
        <f>HYPERLINK("https://files.afu.se/Downloads/Transcripts/0%20-%20Government/USA%20-%20NASA%20Johnson/2014 03 19 - NASA Johnson - Expedition 39 40 Activities from the Baikonur Cosmodrome_ffJiiceuwok - transcript (automated).pdf","Transcript Link")</f>
        <v>Transcript Link</v>
      </c>
      <c r="M1885" s="2" t="str">
        <f>HYPERLINK("https://files.afu.se/Downloads/Transcripts/0%20-%20Government/USA%20-%20NASA%20Johnson/2014 03 19 - NASA Johnson - Expedition 39 40 Activities from the Baikonur Cosmodrome_ffJiiceuwok - transcript (automated).pdf","Transcript Link")</f>
        <v>Transcript Link</v>
      </c>
    </row>
    <row r="1886" ht="180" spans="1:13">
      <c r="A1886" s="1" t="s">
        <v>8257</v>
      </c>
      <c r="B1886" s="1" t="s">
        <v>13</v>
      </c>
      <c r="C1886" s="4" t="s">
        <v>8262</v>
      </c>
      <c r="D1886" s="1" t="s">
        <v>8263</v>
      </c>
      <c r="E1886" s="1" t="s">
        <v>8264</v>
      </c>
      <c r="F1886" s="4" t="s">
        <v>17</v>
      </c>
      <c r="G1886" s="1" t="s">
        <v>18</v>
      </c>
      <c r="H1886" s="1" t="s">
        <v>19</v>
      </c>
      <c r="I1886" s="1" t="s">
        <v>20</v>
      </c>
      <c r="J1886" s="1" t="s">
        <v>8265</v>
      </c>
      <c r="K1886" s="1" t="s">
        <v>22</v>
      </c>
      <c r="L1886" s="1" t="str">
        <f>HYPERLINK("https://files.afu.se/Downloads/Transcripts/0%20-%20Government/USA%20-%20NASA%20Johnson/2014 03 19 - NASA Johnson - Space Station Live  Servicing Satellites in Space_fGWM7jAPtJI - transcript (automated).pdf","Transcript Link")</f>
        <v>Transcript Link</v>
      </c>
      <c r="M1886" s="2" t="str">
        <f>HYPERLINK("https://files.afu.se/Downloads/Transcripts/0%20-%20Government/USA%20-%20NASA%20Johnson/2014 03 19 - NASA Johnson - Space Station Live  Servicing Satellites in Space_fGWM7jAPtJI - transcript (automated).pdf","Transcript Link")</f>
        <v>Transcript Link</v>
      </c>
    </row>
    <row r="1887" ht="180" spans="1:13">
      <c r="A1887" s="1" t="s">
        <v>8266</v>
      </c>
      <c r="B1887" s="1" t="s">
        <v>13</v>
      </c>
      <c r="C1887" s="4" t="s">
        <v>8267</v>
      </c>
      <c r="D1887" s="1" t="s">
        <v>8268</v>
      </c>
      <c r="E1887" s="1" t="s">
        <v>8269</v>
      </c>
      <c r="F1887" s="4" t="s">
        <v>17</v>
      </c>
      <c r="G1887" s="1" t="s">
        <v>18</v>
      </c>
      <c r="H1887" s="1" t="s">
        <v>19</v>
      </c>
      <c r="I1887" s="1" t="s">
        <v>20</v>
      </c>
      <c r="J1887" s="1" t="s">
        <v>8270</v>
      </c>
      <c r="K1887" s="1" t="s">
        <v>22</v>
      </c>
      <c r="L1887" s="1" t="str">
        <f>HYPERLINK("https://files.afu.se/Downloads/Transcripts/0%20-%20Government/USA%20-%20NASA%20Johnson/2014 03 18 - NASA Johnson - Space Station Live  Space Garden Launching to Station_GqurHxFwUcM - transcript (automated).pdf","Transcript Link")</f>
        <v>Transcript Link</v>
      </c>
      <c r="M1887" s="2" t="str">
        <f>HYPERLINK("https://files.afu.se/Downloads/Transcripts/0%20-%20Government/USA%20-%20NASA%20Johnson/2014 03 18 - NASA Johnson - Space Station Live  Space Garden Launching to Station_GqurHxFwUcM - transcript (automated).pdf","Transcript Link")</f>
        <v>Transcript Link</v>
      </c>
    </row>
    <row r="1888" ht="180" spans="1:13">
      <c r="A1888" s="1" t="s">
        <v>8266</v>
      </c>
      <c r="B1888" s="1" t="s">
        <v>13</v>
      </c>
      <c r="C1888" s="4" t="s">
        <v>8271</v>
      </c>
      <c r="D1888" s="1" t="s">
        <v>8272</v>
      </c>
      <c r="E1888" s="1" t="s">
        <v>8273</v>
      </c>
      <c r="F1888" s="4" t="s">
        <v>17</v>
      </c>
      <c r="G1888" s="1" t="s">
        <v>18</v>
      </c>
      <c r="H1888" s="1" t="s">
        <v>19</v>
      </c>
      <c r="I1888" s="1" t="s">
        <v>20</v>
      </c>
      <c r="J1888" s="1" t="s">
        <v>8274</v>
      </c>
      <c r="K1888" s="1" t="s">
        <v>22</v>
      </c>
      <c r="L1888" s="1" t="str">
        <f>HYPERLINK("https://files.afu.se/Downloads/Transcripts/0%20-%20Government/USA%20-%20NASA%20Johnson/2014 03 18 - NASA Johnson - Astronaut Karen Nyberg Talks With Minnesota Students_8jzKD-nWFfQ - transcript (automated).pdf","Transcript Link")</f>
        <v>Transcript Link</v>
      </c>
      <c r="M1888" s="2" t="str">
        <f>HYPERLINK("https://files.afu.se/Downloads/Transcripts/0%20-%20Government/USA%20-%20NASA%20Johnson/2014 03 18 - NASA Johnson - Astronaut Karen Nyberg Talks With Minnesota Students_8jzKD-nWFfQ - transcript (automated).pdf","Transcript Link")</f>
        <v>Transcript Link</v>
      </c>
    </row>
    <row r="1889" ht="180" spans="1:13">
      <c r="A1889" s="1" t="s">
        <v>8266</v>
      </c>
      <c r="B1889" s="1" t="s">
        <v>13</v>
      </c>
      <c r="C1889" s="4" t="s">
        <v>8275</v>
      </c>
      <c r="D1889" s="1" t="s">
        <v>8276</v>
      </c>
      <c r="E1889" s="1" t="s">
        <v>8277</v>
      </c>
      <c r="F1889" s="4" t="s">
        <v>17</v>
      </c>
      <c r="G1889" s="1" t="s">
        <v>18</v>
      </c>
      <c r="H1889" s="1" t="s">
        <v>19</v>
      </c>
      <c r="I1889" s="1" t="s">
        <v>20</v>
      </c>
      <c r="J1889" s="1" t="s">
        <v>8278</v>
      </c>
      <c r="K1889" s="1" t="s">
        <v>22</v>
      </c>
      <c r="L1889" s="1" t="str">
        <f>HYPERLINK("https://files.afu.se/Downloads/Transcripts/0%20-%20Government/USA%20-%20NASA%20Johnson/2014 03 18 - NASA Johnson - Introducing the Expedition 40 41 Flight Crew_ZxojSJEntBY - transcript (automated).pdf","Transcript Link")</f>
        <v>Transcript Link</v>
      </c>
      <c r="M1889" s="2" t="str">
        <f>HYPERLINK("https://files.afu.se/Downloads/Transcripts/0%20-%20Government/USA%20-%20NASA%20Johnson/2014 03 18 - NASA Johnson - Introducing the Expedition 40 41 Flight Crew_ZxojSJEntBY - transcript (automated).pdf","Transcript Link")</f>
        <v>Transcript Link</v>
      </c>
    </row>
    <row r="1890" ht="180" spans="1:13">
      <c r="A1890" s="1" t="s">
        <v>8266</v>
      </c>
      <c r="B1890" s="1" t="s">
        <v>13</v>
      </c>
      <c r="C1890" s="4" t="s">
        <v>8279</v>
      </c>
      <c r="D1890" s="1" t="s">
        <v>8280</v>
      </c>
      <c r="E1890" s="1" t="s">
        <v>8281</v>
      </c>
      <c r="F1890" s="4" t="s">
        <v>17</v>
      </c>
      <c r="G1890" s="1" t="s">
        <v>18</v>
      </c>
      <c r="H1890" s="1" t="s">
        <v>19</v>
      </c>
      <c r="I1890" s="1" t="s">
        <v>20</v>
      </c>
      <c r="J1890" s="1" t="s">
        <v>8282</v>
      </c>
      <c r="K1890" s="1" t="s">
        <v>22</v>
      </c>
      <c r="L1890" s="1" t="str">
        <f>HYPERLINK("https://files.afu.se/Downloads/Transcripts/0%20-%20Government/USA%20-%20NASA%20Johnson/2014 03 18 - NASA Johnson - Family Tradition Continues With Flowers at Mission Control_Zb46Pv-9feU - transcript (automated).pdf","Transcript Link")</f>
        <v>Transcript Link</v>
      </c>
      <c r="M1890" s="2" t="str">
        <f>HYPERLINK("https://files.afu.se/Downloads/Transcripts/0%20-%20Government/USA%20-%20NASA%20Johnson/2014 03 18 - NASA Johnson - Family Tradition Continues With Flowers at Mission Control_Zb46Pv-9feU - transcript (automated).pdf","Transcript Link")</f>
        <v>Transcript Link</v>
      </c>
    </row>
    <row r="1891" ht="180" spans="1:13">
      <c r="A1891" s="1" t="s">
        <v>8283</v>
      </c>
      <c r="B1891" s="1" t="s">
        <v>13</v>
      </c>
      <c r="C1891" s="4" t="s">
        <v>8284</v>
      </c>
      <c r="D1891" s="1" t="s">
        <v>8285</v>
      </c>
      <c r="E1891" s="1" t="s">
        <v>8255</v>
      </c>
      <c r="F1891" s="4" t="s">
        <v>17</v>
      </c>
      <c r="G1891" s="1" t="s">
        <v>18</v>
      </c>
      <c r="H1891" s="1" t="s">
        <v>19</v>
      </c>
      <c r="I1891" s="1" t="s">
        <v>20</v>
      </c>
      <c r="J1891" s="1" t="s">
        <v>8286</v>
      </c>
      <c r="K1891" s="1" t="s">
        <v>22</v>
      </c>
      <c r="L1891" s="1" t="str">
        <f>HYPERLINK("https://files.afu.se/Downloads/Transcripts/0%20-%20Government/USA%20-%20NASA%20Johnson/2014 03 14 - NASA Johnson - Space to Ground - 3 14 2014_lJtQNzykPWQ - transcript (automated).pdf","Transcript Link")</f>
        <v>Transcript Link</v>
      </c>
      <c r="M1891" s="2" t="str">
        <f>HYPERLINK("https://files.afu.se/Downloads/Transcripts/0%20-%20Government/USA%20-%20NASA%20Johnson/2014 03 14 - NASA Johnson - Space to Ground - 3 14 2014_lJtQNzykPWQ - transcript (automated).pdf","Transcript Link")</f>
        <v>Transcript Link</v>
      </c>
    </row>
    <row r="1892" ht="270" spans="1:13">
      <c r="A1892" s="1" t="s">
        <v>8287</v>
      </c>
      <c r="B1892" s="1" t="s">
        <v>13</v>
      </c>
      <c r="C1892" s="4" t="s">
        <v>8288</v>
      </c>
      <c r="D1892" s="1" t="s">
        <v>8289</v>
      </c>
      <c r="E1892" s="1" t="s">
        <v>8290</v>
      </c>
      <c r="F1892" s="4" t="s">
        <v>17</v>
      </c>
      <c r="G1892" s="1" t="s">
        <v>18</v>
      </c>
      <c r="H1892" s="1" t="s">
        <v>19</v>
      </c>
      <c r="I1892" s="1" t="s">
        <v>20</v>
      </c>
      <c r="J1892" s="1" t="s">
        <v>8291</v>
      </c>
      <c r="K1892" s="1" t="s">
        <v>22</v>
      </c>
      <c r="L1892" s="1" t="str">
        <f>HYPERLINK("https://files.afu.se/Downloads/Transcripts/0%20-%20Government/USA%20-%20NASA%20Johnson/2014 03 13 - NASA Johnson - I'm On Board Orion Coloring Sheet How-To_foPpqALlHt4 - transcript (automated).pdf","Transcript Link")</f>
        <v>Transcript Link</v>
      </c>
      <c r="M1892" s="2" t="str">
        <f>HYPERLINK("https://files.afu.se/Downloads/Transcripts/0%20-%20Government/USA%20-%20NASA%20Johnson/2014 03 13 - NASA Johnson - I'm On Board Orion Coloring Sheet How-To_foPpqALlHt4 - transcript (automated).pdf","Transcript Link")</f>
        <v>Transcript Link</v>
      </c>
    </row>
    <row r="1893" ht="180" spans="1:13">
      <c r="A1893" s="1" t="s">
        <v>8287</v>
      </c>
      <c r="B1893" s="1" t="s">
        <v>13</v>
      </c>
      <c r="C1893" s="4" t="s">
        <v>8292</v>
      </c>
      <c r="D1893" s="1" t="s">
        <v>8293</v>
      </c>
      <c r="E1893" s="1" t="s">
        <v>8294</v>
      </c>
      <c r="F1893" s="4" t="s">
        <v>17</v>
      </c>
      <c r="G1893" s="1" t="s">
        <v>18</v>
      </c>
      <c r="H1893" s="1" t="s">
        <v>19</v>
      </c>
      <c r="I1893" s="1" t="s">
        <v>20</v>
      </c>
      <c r="J1893" s="1" t="s">
        <v>8295</v>
      </c>
      <c r="K1893" s="1" t="s">
        <v>22</v>
      </c>
      <c r="L1893" s="1" t="str">
        <f>HYPERLINK("https://files.afu.se/Downloads/Transcripts/0%20-%20Government/USA%20-%20NASA%20Johnson/2014 03 13 - NASA Johnson - Space Station Live  Protein Crystallization Experiment Launching on SpaceX_KBNx5RzQAv4 - transcript (automated).pdf","Transcript Link")</f>
        <v>Transcript Link</v>
      </c>
      <c r="M1893" s="2" t="str">
        <f>HYPERLINK("https://files.afu.se/Downloads/Transcripts/0%20-%20Government/USA%20-%20NASA%20Johnson/2014 03 13 - NASA Johnson - Space Station Live  Protein Crystallization Experiment Launching on SpaceX_KBNx5RzQAv4 - transcript (automated).pdf","Transcript Link")</f>
        <v>Transcript Link</v>
      </c>
    </row>
    <row r="1894" ht="180" spans="1:13">
      <c r="A1894" s="1" t="s">
        <v>8287</v>
      </c>
      <c r="B1894" s="1" t="s">
        <v>13</v>
      </c>
      <c r="C1894" s="4" t="s">
        <v>8296</v>
      </c>
      <c r="D1894" s="1" t="s">
        <v>8297</v>
      </c>
      <c r="E1894" s="1" t="s">
        <v>8298</v>
      </c>
      <c r="F1894" s="4" t="s">
        <v>17</v>
      </c>
      <c r="G1894" s="1" t="s">
        <v>18</v>
      </c>
      <c r="H1894" s="1" t="s">
        <v>19</v>
      </c>
      <c r="I1894" s="1" t="s">
        <v>20</v>
      </c>
      <c r="J1894" s="1" t="s">
        <v>8299</v>
      </c>
      <c r="K1894" s="1" t="s">
        <v>22</v>
      </c>
      <c r="L1894" s="1" t="str">
        <f>HYPERLINK("https://files.afu.se/Downloads/Transcripts/0%20-%20Government/USA%20-%20NASA%20Johnson/2014 03 13 - NASA Johnson - Space Station Live  Protein Crystal Growth in Microgravity_P33j8iK6u0I - transcript (automated).pdf","Transcript Link")</f>
        <v>Transcript Link</v>
      </c>
      <c r="M1894" s="2" t="str">
        <f>HYPERLINK("https://files.afu.se/Downloads/Transcripts/0%20-%20Government/USA%20-%20NASA%20Johnson/2014 03 13 - NASA Johnson - Space Station Live  Protein Crystal Growth in Microgravity_P33j8iK6u0I - transcript (automated).pdf","Transcript Link")</f>
        <v>Transcript Link</v>
      </c>
    </row>
    <row r="1895" ht="180" spans="1:13">
      <c r="A1895" s="1" t="s">
        <v>8300</v>
      </c>
      <c r="B1895" s="1" t="s">
        <v>13</v>
      </c>
      <c r="C1895" s="4" t="s">
        <v>8301</v>
      </c>
      <c r="D1895" s="1" t="s">
        <v>8302</v>
      </c>
      <c r="E1895" s="1" t="s">
        <v>8303</v>
      </c>
      <c r="F1895" s="4" t="s">
        <v>17</v>
      </c>
      <c r="G1895" s="1" t="s">
        <v>18</v>
      </c>
      <c r="H1895" s="1" t="s">
        <v>19</v>
      </c>
      <c r="I1895" s="1" t="s">
        <v>20</v>
      </c>
      <c r="J1895" s="1" t="s">
        <v>8304</v>
      </c>
      <c r="K1895" s="1" t="s">
        <v>22</v>
      </c>
      <c r="L1895" s="1" t="str">
        <f>HYPERLINK("https://files.afu.se/Downloads/Transcripts/0%20-%20Government/USA%20-%20NASA%20Johnson/2014 03 12 - NASA Johnson - Space Station Live  Studying Proccesses Behind Planet Formation_5FCk6zBcpsE - transcript (automated).pdf","Transcript Link")</f>
        <v>Transcript Link</v>
      </c>
      <c r="M1895" s="2" t="str">
        <f>HYPERLINK("https://files.afu.se/Downloads/Transcripts/0%20-%20Government/USA%20-%20NASA%20Johnson/2014 03 12 - NASA Johnson - Space Station Live  Studying Proccesses Behind Planet Formation_5FCk6zBcpsE - transcript (automated).pdf","Transcript Link")</f>
        <v>Transcript Link</v>
      </c>
    </row>
    <row r="1896" ht="180" spans="1:13">
      <c r="A1896" s="1" t="s">
        <v>8305</v>
      </c>
      <c r="B1896" s="1" t="s">
        <v>13</v>
      </c>
      <c r="C1896" s="4" t="s">
        <v>8306</v>
      </c>
      <c r="D1896" s="1" t="s">
        <v>8307</v>
      </c>
      <c r="E1896" s="1" t="s">
        <v>8308</v>
      </c>
      <c r="F1896" s="4" t="s">
        <v>17</v>
      </c>
      <c r="G1896" s="1" t="s">
        <v>18</v>
      </c>
      <c r="H1896" s="1" t="s">
        <v>19</v>
      </c>
      <c r="I1896" s="1" t="s">
        <v>20</v>
      </c>
      <c r="J1896" s="1" t="s">
        <v>8309</v>
      </c>
      <c r="K1896" s="1" t="s">
        <v>22</v>
      </c>
      <c r="L1896" s="1" t="str">
        <f>HYPERLINK("https://files.afu.se/Downloads/Transcripts/0%20-%20Government/USA%20-%20NASA%20Johnson/2014 03 11 - NASA Johnson - Preparing America for Deep Space Exploration  Episode 5_9XJ1vZKtXjk - transcript (automated).pdf","Transcript Link")</f>
        <v>Transcript Link</v>
      </c>
      <c r="M1896" s="2" t="str">
        <f>HYPERLINK("https://files.afu.se/Downloads/Transcripts/0%20-%20Government/USA%20-%20NASA%20Johnson/2014 03 11 - NASA Johnson - Preparing America for Deep Space Exploration  Episode 5_9XJ1vZKtXjk - transcript (automated).pdf","Transcript Link")</f>
        <v>Transcript Link</v>
      </c>
    </row>
    <row r="1897" ht="180" spans="1:13">
      <c r="A1897" s="1" t="s">
        <v>8305</v>
      </c>
      <c r="B1897" s="1" t="s">
        <v>13</v>
      </c>
      <c r="C1897" s="4" t="s">
        <v>8310</v>
      </c>
      <c r="D1897" s="1" t="s">
        <v>8311</v>
      </c>
      <c r="E1897" s="1" t="s">
        <v>8312</v>
      </c>
      <c r="F1897" s="4" t="s">
        <v>17</v>
      </c>
      <c r="G1897" s="1" t="s">
        <v>18</v>
      </c>
      <c r="H1897" s="1" t="s">
        <v>19</v>
      </c>
      <c r="I1897" s="1" t="s">
        <v>20</v>
      </c>
      <c r="J1897" s="1" t="s">
        <v>8313</v>
      </c>
      <c r="K1897" s="1" t="s">
        <v>22</v>
      </c>
      <c r="L1897" s="1" t="str">
        <f>HYPERLINK("https://files.afu.se/Downloads/Transcripts/0%20-%20Government/USA%20-%20NASA%20Johnson/2014 03 11 - NASA Johnson - Space Station Live  Upcoming Science on Station_sKYGkhwThaw - transcript (automated).pdf","Transcript Link")</f>
        <v>Transcript Link</v>
      </c>
      <c r="M1897" s="2" t="str">
        <f>HYPERLINK("https://files.afu.se/Downloads/Transcripts/0%20-%20Government/USA%20-%20NASA%20Johnson/2014 03 11 - NASA Johnson - Space Station Live  Upcoming Science on Station_sKYGkhwThaw - transcript (automated).pdf","Transcript Link")</f>
        <v>Transcript Link</v>
      </c>
    </row>
    <row r="1898" ht="180" spans="1:13">
      <c r="A1898" s="1" t="s">
        <v>8305</v>
      </c>
      <c r="B1898" s="1" t="s">
        <v>13</v>
      </c>
      <c r="C1898" s="4" t="s">
        <v>8314</v>
      </c>
      <c r="D1898" s="1" t="s">
        <v>8315</v>
      </c>
      <c r="E1898" s="1" t="s">
        <v>8316</v>
      </c>
      <c r="F1898" s="4" t="s">
        <v>17</v>
      </c>
      <c r="G1898" s="1" t="s">
        <v>18</v>
      </c>
      <c r="H1898" s="1" t="s">
        <v>19</v>
      </c>
      <c r="I1898" s="1" t="s">
        <v>20</v>
      </c>
      <c r="J1898" s="1" t="s">
        <v>8317</v>
      </c>
      <c r="K1898" s="1" t="s">
        <v>22</v>
      </c>
      <c r="L1898" s="1" t="str">
        <f>HYPERLINK("https://files.afu.se/Downloads/Transcripts/0%20-%20Government/USA%20-%20NASA%20Johnson/2014 03 11 - NASA Johnson - Preparing America for Deep Space Exploration  Episode 5 Music Video_pcj37jkpipU - transcript (automated).pdf","Transcript Link")</f>
        <v>Transcript Link</v>
      </c>
      <c r="M1898" s="2" t="str">
        <f>HYPERLINK("https://files.afu.se/Downloads/Transcripts/0%20-%20Government/USA%20-%20NASA%20Johnson/2014 03 11 - NASA Johnson - Preparing America for Deep Space Exploration  Episode 5 Music Video_pcj37jkpipU - transcript (automated).pdf","Transcript Link")</f>
        <v>Transcript Link</v>
      </c>
    </row>
    <row r="1899" ht="180" spans="1:13">
      <c r="A1899" s="1" t="s">
        <v>8305</v>
      </c>
      <c r="B1899" s="1" t="s">
        <v>13</v>
      </c>
      <c r="C1899" s="4" t="s">
        <v>8318</v>
      </c>
      <c r="D1899" s="1" t="s">
        <v>8319</v>
      </c>
      <c r="E1899" s="1" t="s">
        <v>8320</v>
      </c>
      <c r="F1899" s="4" t="s">
        <v>17</v>
      </c>
      <c r="G1899" s="1" t="s">
        <v>18</v>
      </c>
      <c r="H1899" s="1" t="s">
        <v>19</v>
      </c>
      <c r="I1899" s="1" t="s">
        <v>20</v>
      </c>
      <c r="J1899" s="1" t="s">
        <v>8321</v>
      </c>
      <c r="K1899" s="1" t="s">
        <v>22</v>
      </c>
      <c r="L1899" s="1" t="str">
        <f>HYPERLINK("https://files.afu.se/Downloads/Transcripts/0%20-%20Government/USA%20-%20NASA%20Johnson/2014 03 11 - NASA Johnson - Expedition 38 Undocks from Station's Poisk Module_cEpPhTz__4A - transcript (automated).pdf","Transcript Link")</f>
        <v>Transcript Link</v>
      </c>
      <c r="M1899" s="2" t="str">
        <f>HYPERLINK("https://files.afu.se/Downloads/Transcripts/0%20-%20Government/USA%20-%20NASA%20Johnson/2014 03 11 - NASA Johnson - Expedition 38 Undocks from Station's Poisk Module_cEpPhTz__4A - transcript (automated).pdf","Transcript Link")</f>
        <v>Transcript Link</v>
      </c>
    </row>
    <row r="1900" ht="180" spans="1:13">
      <c r="A1900" s="1" t="s">
        <v>8322</v>
      </c>
      <c r="B1900" s="1" t="s">
        <v>13</v>
      </c>
      <c r="C1900" s="4" t="s">
        <v>8323</v>
      </c>
      <c r="D1900" s="1" t="s">
        <v>8324</v>
      </c>
      <c r="E1900" s="1" t="s">
        <v>8325</v>
      </c>
      <c r="F1900" s="4" t="s">
        <v>17</v>
      </c>
      <c r="G1900" s="1" t="s">
        <v>18</v>
      </c>
      <c r="H1900" s="1" t="s">
        <v>19</v>
      </c>
      <c r="I1900" s="1" t="s">
        <v>20</v>
      </c>
      <c r="J1900" s="1" t="s">
        <v>8326</v>
      </c>
      <c r="K1900" s="1" t="s">
        <v>22</v>
      </c>
      <c r="L1900" s="1" t="str">
        <f>HYPERLINK("https://files.afu.se/Downloads/Transcripts/0%20-%20Government/USA%20-%20NASA%20Johnson/2014 03 10 - NASA Johnson - Expedition 38 Hatch Closure_XKICuB5OdnA - transcript (automated).pdf","Transcript Link")</f>
        <v>Transcript Link</v>
      </c>
      <c r="M1900" s="2" t="str">
        <f>HYPERLINK("https://files.afu.se/Downloads/Transcripts/0%20-%20Government/USA%20-%20NASA%20Johnson/2014 03 10 - NASA Johnson - Expedition 38 Hatch Closure_XKICuB5OdnA - transcript (automated).pdf","Transcript Link")</f>
        <v>Transcript Link</v>
      </c>
    </row>
    <row r="1901" ht="180" spans="1:13">
      <c r="A1901" s="1" t="s">
        <v>8327</v>
      </c>
      <c r="B1901" s="1" t="s">
        <v>13</v>
      </c>
      <c r="C1901" s="4" t="s">
        <v>8328</v>
      </c>
      <c r="D1901" s="1" t="s">
        <v>8329</v>
      </c>
      <c r="E1901" s="1" t="s">
        <v>8330</v>
      </c>
      <c r="F1901" s="4" t="s">
        <v>17</v>
      </c>
      <c r="G1901" s="1" t="s">
        <v>18</v>
      </c>
      <c r="H1901" s="1" t="s">
        <v>19</v>
      </c>
      <c r="I1901" s="1" t="s">
        <v>20</v>
      </c>
      <c r="J1901" s="1" t="s">
        <v>8331</v>
      </c>
      <c r="K1901" s="1" t="s">
        <v>22</v>
      </c>
      <c r="L1901" s="1" t="str">
        <f>HYPERLINK("https://files.afu.se/Downloads/Transcripts/0%20-%20Government/USA%20-%20NASA%20Johnson/2014 03 07 - NASA Johnson - Space Station Live  HD Earth-View Cameras Heading to Station_KLj0lrfan1g - transcript (automated).pdf","Transcript Link")</f>
        <v>Transcript Link</v>
      </c>
      <c r="M1901" s="2" t="str">
        <f>HYPERLINK("https://files.afu.se/Downloads/Transcripts/0%20-%20Government/USA%20-%20NASA%20Johnson/2014 03 07 - NASA Johnson - Space Station Live  HD Earth-View Cameras Heading to Station_KLj0lrfan1g - transcript (automated).pdf","Transcript Link")</f>
        <v>Transcript Link</v>
      </c>
    </row>
    <row r="1902" ht="210" spans="1:13">
      <c r="A1902" s="1" t="s">
        <v>8327</v>
      </c>
      <c r="B1902" s="1" t="s">
        <v>13</v>
      </c>
      <c r="C1902" s="4" t="s">
        <v>8332</v>
      </c>
      <c r="D1902" s="1" t="s">
        <v>8333</v>
      </c>
      <c r="E1902" s="1" t="s">
        <v>8334</v>
      </c>
      <c r="F1902" s="4" t="s">
        <v>17</v>
      </c>
      <c r="G1902" s="1" t="s">
        <v>18</v>
      </c>
      <c r="H1902" s="1" t="s">
        <v>19</v>
      </c>
      <c r="I1902" s="1" t="s">
        <v>20</v>
      </c>
      <c r="J1902" s="1" t="s">
        <v>8335</v>
      </c>
      <c r="K1902" s="1" t="s">
        <v>22</v>
      </c>
      <c r="L1902" s="1" t="str">
        <f>HYPERLINK("https://files.afu.se/Downloads/Transcripts/0%20-%20Government/USA%20-%20NASA%20Johnson/2014 03 07 - NASA Johnson - Space to Ground - 3 7 2014_gO6DfhxMfaI - transcript (automated).pdf","Transcript Link")</f>
        <v>Transcript Link</v>
      </c>
      <c r="M1902" s="2" t="str">
        <f>HYPERLINK("https://files.afu.se/Downloads/Transcripts/0%20-%20Government/USA%20-%20NASA%20Johnson/2014 03 07 - NASA Johnson - Space to Ground - 3 7 2014_gO6DfhxMfaI - transcript (automated).pdf","Transcript Link")</f>
        <v>Transcript Link</v>
      </c>
    </row>
    <row r="1903" ht="180" spans="1:13">
      <c r="A1903" s="1" t="s">
        <v>8336</v>
      </c>
      <c r="B1903" s="1" t="s">
        <v>13</v>
      </c>
      <c r="C1903" s="4" t="s">
        <v>8337</v>
      </c>
      <c r="D1903" s="1" t="s">
        <v>8338</v>
      </c>
      <c r="E1903" s="1" t="s">
        <v>8339</v>
      </c>
      <c r="F1903" s="4" t="s">
        <v>17</v>
      </c>
      <c r="G1903" s="1" t="s">
        <v>18</v>
      </c>
      <c r="H1903" s="1" t="s">
        <v>19</v>
      </c>
      <c r="I1903" s="1" t="s">
        <v>20</v>
      </c>
      <c r="J1903" s="1" t="s">
        <v>8340</v>
      </c>
      <c r="K1903" s="1" t="s">
        <v>22</v>
      </c>
      <c r="L1903" s="1" t="str">
        <f>HYPERLINK("https://files.afu.se/Downloads/Transcripts/0%20-%20Government/USA%20-%20NASA%20Johnson/2014 03 05 - NASA Johnson - Space Station Live  Cold Atom Laboratory Mission_eFt69uzMUuw - transcript (automated).pdf","Transcript Link")</f>
        <v>Transcript Link</v>
      </c>
      <c r="M1903" s="2" t="str">
        <f>HYPERLINK("https://files.afu.se/Downloads/Transcripts/0%20-%20Government/USA%20-%20NASA%20Johnson/2014 03 05 - NASA Johnson - Space Station Live  Cold Atom Laboratory Mission_eFt69uzMUuw - transcript (automated).pdf","Transcript Link")</f>
        <v>Transcript Link</v>
      </c>
    </row>
    <row r="1904" ht="180" spans="1:13">
      <c r="A1904" s="1" t="s">
        <v>8336</v>
      </c>
      <c r="B1904" s="1" t="s">
        <v>13</v>
      </c>
      <c r="C1904" s="4" t="s">
        <v>8341</v>
      </c>
      <c r="D1904" s="1" t="s">
        <v>8342</v>
      </c>
      <c r="E1904" s="1" t="s">
        <v>8343</v>
      </c>
      <c r="F1904" s="4" t="s">
        <v>17</v>
      </c>
      <c r="G1904" s="1" t="s">
        <v>18</v>
      </c>
      <c r="H1904" s="1" t="s">
        <v>19</v>
      </c>
      <c r="I1904" s="1" t="s">
        <v>20</v>
      </c>
      <c r="J1904" s="1" t="s">
        <v>8344</v>
      </c>
      <c r="K1904" s="1" t="s">
        <v>22</v>
      </c>
      <c r="L1904" s="1" t="str">
        <f>HYPERLINK("https://files.afu.se/Downloads/Transcripts/0%20-%20Government/USA%20-%20NASA%20Johnson/2014 03 05 - NASA Johnson - Expedition 39 40 Crew Undergoes Final Training Outside Moscow_2iV7fElH5h8 - transcript (automated).pdf","Transcript Link")</f>
        <v>Transcript Link</v>
      </c>
      <c r="M1904" s="2" t="str">
        <f>HYPERLINK("https://files.afu.se/Downloads/Transcripts/0%20-%20Government/USA%20-%20NASA%20Johnson/2014 03 05 - NASA Johnson - Expedition 39 40 Crew Undergoes Final Training Outside Moscow_2iV7fElH5h8 - transcript (automated).pdf","Transcript Link")</f>
        <v>Transcript Link</v>
      </c>
    </row>
    <row r="1905" ht="180" spans="1:13">
      <c r="A1905" s="1" t="s">
        <v>8345</v>
      </c>
      <c r="B1905" s="1" t="s">
        <v>13</v>
      </c>
      <c r="C1905" s="4" t="s">
        <v>8346</v>
      </c>
      <c r="D1905" s="1" t="s">
        <v>8347</v>
      </c>
      <c r="E1905" s="1" t="s">
        <v>8348</v>
      </c>
      <c r="F1905" s="4" t="s">
        <v>17</v>
      </c>
      <c r="G1905" s="1" t="s">
        <v>18</v>
      </c>
      <c r="H1905" s="1" t="s">
        <v>19</v>
      </c>
      <c r="I1905" s="1" t="s">
        <v>20</v>
      </c>
      <c r="J1905" s="1" t="s">
        <v>8349</v>
      </c>
      <c r="K1905" s="1" t="s">
        <v>22</v>
      </c>
      <c r="L1905" s="1" t="str">
        <f>HYPERLINK("https://files.afu.se/Downloads/Transcripts/0%20-%20Government/USA%20-%20NASA%20Johnson/2014 03 04 - NASA Johnson - International Space Station Protein Crystal Growth_9p0czSsawVw - transcript (automated).pdf","Transcript Link")</f>
        <v>Transcript Link</v>
      </c>
      <c r="M1905" s="2" t="str">
        <f>HYPERLINK("https://files.afu.se/Downloads/Transcripts/0%20-%20Government/USA%20-%20NASA%20Johnson/2014 03 04 - NASA Johnson - International Space Station Protein Crystal Growth_9p0czSsawVw - transcript (automated).pdf","Transcript Link")</f>
        <v>Transcript Link</v>
      </c>
    </row>
    <row r="1906" ht="330" spans="1:13">
      <c r="A1906" s="1" t="s">
        <v>8345</v>
      </c>
      <c r="B1906" s="1" t="s">
        <v>13</v>
      </c>
      <c r="C1906" s="4" t="s">
        <v>8350</v>
      </c>
      <c r="D1906" s="1" t="s">
        <v>8351</v>
      </c>
      <c r="E1906" s="1" t="s">
        <v>8352</v>
      </c>
      <c r="F1906" s="4" t="s">
        <v>17</v>
      </c>
      <c r="G1906" s="1" t="s">
        <v>18</v>
      </c>
      <c r="H1906" s="1" t="s">
        <v>19</v>
      </c>
      <c r="I1906" s="1" t="s">
        <v>20</v>
      </c>
      <c r="J1906" s="1" t="s">
        <v>8353</v>
      </c>
      <c r="K1906" s="1" t="s">
        <v>22</v>
      </c>
      <c r="L1906" s="1" t="str">
        <f>HYPERLINK("https://files.afu.se/Downloads/Transcripts/0%20-%20Government/USA%20-%20NASA%20Johnson/2014 03 04 - NASA Johnson - Space Station Live  Delivering Drugs in Tiny Balloons_qBtsKBpEyZE - transcript (automated).pdf","Transcript Link")</f>
        <v>Transcript Link</v>
      </c>
      <c r="M1906" s="2" t="str">
        <f>HYPERLINK("https://files.afu.se/Downloads/Transcripts/0%20-%20Government/USA%20-%20NASA%20Johnson/2014 03 04 - NASA Johnson - Space Station Live  Delivering Drugs in Tiny Balloons_qBtsKBpEyZE - transcript (automated).pdf","Transcript Link")</f>
        <v>Transcript Link</v>
      </c>
    </row>
    <row r="1907" ht="180" spans="1:13">
      <c r="A1907" s="1" t="s">
        <v>8354</v>
      </c>
      <c r="B1907" s="1" t="s">
        <v>13</v>
      </c>
      <c r="C1907" s="4" t="s">
        <v>8355</v>
      </c>
      <c r="D1907" s="1" t="s">
        <v>8356</v>
      </c>
      <c r="E1907" s="1" t="s">
        <v>8357</v>
      </c>
      <c r="F1907" s="4" t="s">
        <v>17</v>
      </c>
      <c r="G1907" s="1" t="s">
        <v>18</v>
      </c>
      <c r="H1907" s="1" t="s">
        <v>19</v>
      </c>
      <c r="I1907" s="1" t="s">
        <v>20</v>
      </c>
      <c r="J1907" s="1" t="s">
        <v>8358</v>
      </c>
      <c r="K1907" s="1" t="s">
        <v>22</v>
      </c>
      <c r="L1907" s="1" t="str">
        <f>HYPERLINK("https://files.afu.se/Downloads/Transcripts/0%20-%20Government/USA%20-%20NASA%20Johnson/2014 03 03 - NASA Johnson - Space Station Live  Smart SPHERES_psZ6UAFUOT4 - transcript (automated).pdf","Transcript Link")</f>
        <v>Transcript Link</v>
      </c>
      <c r="M1907" s="2" t="str">
        <f>HYPERLINK("https://files.afu.se/Downloads/Transcripts/0%20-%20Government/USA%20-%20NASA%20Johnson/2014 03 03 - NASA Johnson - Space Station Live  Smart SPHERES_psZ6UAFUOT4 - transcript (automated).pdf","Transcript Link")</f>
        <v>Transcript Link</v>
      </c>
    </row>
    <row r="1908" ht="345" spans="1:13">
      <c r="A1908" s="1" t="s">
        <v>8354</v>
      </c>
      <c r="B1908" s="1" t="s">
        <v>13</v>
      </c>
      <c r="C1908" s="4" t="s">
        <v>8359</v>
      </c>
      <c r="D1908" s="1" t="s">
        <v>8360</v>
      </c>
      <c r="E1908" s="1" t="s">
        <v>8361</v>
      </c>
      <c r="F1908" s="4" t="s">
        <v>17</v>
      </c>
      <c r="G1908" s="1" t="s">
        <v>18</v>
      </c>
      <c r="H1908" s="1" t="s">
        <v>19</v>
      </c>
      <c r="I1908" s="1" t="s">
        <v>20</v>
      </c>
      <c r="J1908" s="1" t="s">
        <v>8362</v>
      </c>
      <c r="K1908" s="1" t="s">
        <v>22</v>
      </c>
      <c r="L1908" s="1" t="str">
        <f>HYPERLINK("https://files.afu.se/Downloads/Transcripts/0%20-%20Government/USA%20-%20NASA%20Johnson/2014 03 03 - NASA Johnson - Space Station Live  Treating Huntington's Disease in Space_KSc_yHCu68o - transcript (automated).pdf","Transcript Link")</f>
        <v>Transcript Link</v>
      </c>
      <c r="M1908" s="2" t="str">
        <f>HYPERLINK("https://files.afu.se/Downloads/Transcripts/0%20-%20Government/USA%20-%20NASA%20Johnson/2014 03 03 - NASA Johnson - Space Station Live  Treating Huntington's Disease in Space_KSc_yHCu68o - transcript (automated).pdf","Transcript Link")</f>
        <v>Transcript Link</v>
      </c>
    </row>
    <row r="1909" ht="255" spans="1:13">
      <c r="A1909" s="1" t="s">
        <v>8363</v>
      </c>
      <c r="B1909" s="1" t="s">
        <v>13</v>
      </c>
      <c r="C1909" s="4" t="s">
        <v>8364</v>
      </c>
      <c r="D1909" s="1" t="s">
        <v>8365</v>
      </c>
      <c r="E1909" s="1" t="s">
        <v>8366</v>
      </c>
      <c r="F1909" s="4" t="s">
        <v>17</v>
      </c>
      <c r="G1909" s="1" t="s">
        <v>18</v>
      </c>
      <c r="H1909" s="1" t="s">
        <v>19</v>
      </c>
      <c r="I1909" s="1" t="s">
        <v>20</v>
      </c>
      <c r="J1909" s="1" t="s">
        <v>8367</v>
      </c>
      <c r="K1909" s="1" t="s">
        <v>22</v>
      </c>
      <c r="L1909" s="1" t="str">
        <f>HYPERLINK("https://files.afu.se/Downloads/Transcripts/0%20-%20Government/USA%20-%20NASA%20Johnson/2014 02 28 - NASA Johnson - Space to Ground - 02 28 14_cAaC-fUqS64 - transcript (automated).pdf","Transcript Link")</f>
        <v>Transcript Link</v>
      </c>
      <c r="M1909" s="2" t="str">
        <f>HYPERLINK("https://files.afu.se/Downloads/Transcripts/0%20-%20Government/USA%20-%20NASA%20Johnson/2014 02 28 - NASA Johnson - Space to Ground - 02 28 14_cAaC-fUqS64 - transcript (automated).pdf","Transcript Link")</f>
        <v>Transcript Link</v>
      </c>
    </row>
    <row r="1910" ht="180" spans="1:13">
      <c r="A1910" s="1" t="s">
        <v>8368</v>
      </c>
      <c r="B1910" s="1" t="s">
        <v>13</v>
      </c>
      <c r="C1910" s="4" t="s">
        <v>8369</v>
      </c>
      <c r="D1910" s="1" t="s">
        <v>8370</v>
      </c>
      <c r="E1910" s="1" t="s">
        <v>8371</v>
      </c>
      <c r="F1910" s="4" t="s">
        <v>17</v>
      </c>
      <c r="G1910" s="1" t="s">
        <v>18</v>
      </c>
      <c r="H1910" s="1" t="s">
        <v>19</v>
      </c>
      <c r="I1910" s="1" t="s">
        <v>20</v>
      </c>
      <c r="J1910" s="1" t="s">
        <v>8372</v>
      </c>
      <c r="K1910" s="1" t="s">
        <v>22</v>
      </c>
      <c r="L1910" s="1" t="str">
        <f>HYPERLINK("https://files.afu.se/Downloads/Transcripts/0%20-%20Government/USA%20-%20NASA%20Johnson/2014 02 27 - NASA Johnson - Space Station Live  Measuring Body Changes During Spaceflight_kIprqsu8C2E - transcript (automated).pdf","Transcript Link")</f>
        <v>Transcript Link</v>
      </c>
      <c r="M1910" s="2" t="str">
        <f>HYPERLINK("https://files.afu.se/Downloads/Transcripts/0%20-%20Government/USA%20-%20NASA%20Johnson/2014 02 27 - NASA Johnson - Space Station Live  Measuring Body Changes During Spaceflight_kIprqsu8C2E - transcript (automated).pdf","Transcript Link")</f>
        <v>Transcript Link</v>
      </c>
    </row>
    <row r="1911" ht="285" spans="1:13">
      <c r="A1911" s="1" t="s">
        <v>8368</v>
      </c>
      <c r="B1911" s="1" t="s">
        <v>13</v>
      </c>
      <c r="C1911" s="4" t="s">
        <v>8373</v>
      </c>
      <c r="D1911" s="1" t="s">
        <v>8374</v>
      </c>
      <c r="E1911" s="1" t="s">
        <v>8375</v>
      </c>
      <c r="F1911" s="4" t="s">
        <v>17</v>
      </c>
      <c r="G1911" s="1" t="s">
        <v>18</v>
      </c>
      <c r="H1911" s="1" t="s">
        <v>19</v>
      </c>
      <c r="I1911" s="1" t="s">
        <v>20</v>
      </c>
      <c r="J1911" s="1" t="s">
        <v>8376</v>
      </c>
      <c r="K1911" s="1" t="s">
        <v>22</v>
      </c>
      <c r="L1911" s="1" t="str">
        <f>HYPERLINK("https://files.afu.se/Downloads/Transcripts/0%20-%20Government/USA%20-%20NASA%20Johnson/2014 02 27 - NASA Johnson - Engineers Continue Pushing Orion Parachute System to Its Limits_DFtLlud0-Mk - transcript (automated).pdf","Transcript Link")</f>
        <v>Transcript Link</v>
      </c>
      <c r="M1911" s="2" t="str">
        <f>HYPERLINK("https://files.afu.se/Downloads/Transcripts/0%20-%20Government/USA%20-%20NASA%20Johnson/2014 02 27 - NASA Johnson - Engineers Continue Pushing Orion Parachute System to Its Limits_DFtLlud0-Mk - transcript (automated).pdf","Transcript Link")</f>
        <v>Transcript Link</v>
      </c>
    </row>
    <row r="1912" ht="180" spans="1:13">
      <c r="A1912" s="1" t="s">
        <v>8377</v>
      </c>
      <c r="B1912" s="1" t="s">
        <v>13</v>
      </c>
      <c r="C1912" s="4" t="s">
        <v>8378</v>
      </c>
      <c r="D1912" s="1" t="s">
        <v>8379</v>
      </c>
      <c r="E1912" s="1" t="s">
        <v>8380</v>
      </c>
      <c r="F1912" s="4" t="s">
        <v>17</v>
      </c>
      <c r="G1912" s="1" t="s">
        <v>18</v>
      </c>
      <c r="H1912" s="1" t="s">
        <v>19</v>
      </c>
      <c r="I1912" s="1" t="s">
        <v>20</v>
      </c>
      <c r="J1912" s="1" t="s">
        <v>8381</v>
      </c>
      <c r="K1912" s="1" t="s">
        <v>22</v>
      </c>
      <c r="L1912" s="1" t="str">
        <f>HYPERLINK("https://files.afu.se/Downloads/Transcripts/0%20-%20Government/USA%20-%20NASA%20Johnson/2014 02 26 - NASA Johnson - Space Station Live  Environmental Control and Life Support System_iht75kq0RrU - transcript (automated).pdf","Transcript Link")</f>
        <v>Transcript Link</v>
      </c>
      <c r="M1912" s="2" t="str">
        <f>HYPERLINK("https://files.afu.se/Downloads/Transcripts/0%20-%20Government/USA%20-%20NASA%20Johnson/2014 02 26 - NASA Johnson - Space Station Live  Environmental Control and Life Support System_iht75kq0RrU - transcript (automated).pdf","Transcript Link")</f>
        <v>Transcript Link</v>
      </c>
    </row>
    <row r="1913" ht="225" spans="1:13">
      <c r="A1913" s="1" t="s">
        <v>8382</v>
      </c>
      <c r="B1913" s="1" t="s">
        <v>13</v>
      </c>
      <c r="C1913" s="4" t="s">
        <v>8383</v>
      </c>
      <c r="D1913" s="1" t="s">
        <v>8384</v>
      </c>
      <c r="E1913" s="1" t="s">
        <v>8385</v>
      </c>
      <c r="F1913" s="4" t="s">
        <v>17</v>
      </c>
      <c r="G1913" s="1" t="s">
        <v>18</v>
      </c>
      <c r="H1913" s="1" t="s">
        <v>19</v>
      </c>
      <c r="I1913" s="1" t="s">
        <v>20</v>
      </c>
      <c r="J1913" s="1" t="s">
        <v>8386</v>
      </c>
      <c r="K1913" s="1" t="s">
        <v>22</v>
      </c>
      <c r="L1913" s="1" t="str">
        <f>HYPERLINK("https://files.afu.se/Downloads/Transcripts/0%20-%20Government/USA%20-%20NASA%20Johnson/2014 02 25 - NASA Johnson - Benefits for Humanity  Farming from Space_IW0Ay0rmvWk - transcript (automated).pdf","Transcript Link")</f>
        <v>Transcript Link</v>
      </c>
      <c r="M1913" s="2" t="str">
        <f>HYPERLINK("https://files.afu.se/Downloads/Transcripts/0%20-%20Government/USA%20-%20NASA%20Johnson/2014 02 25 - NASA Johnson - Benefits for Humanity  Farming from Space_IW0Ay0rmvWk - transcript (automated).pdf","Transcript Link")</f>
        <v>Transcript Link</v>
      </c>
    </row>
    <row r="1914" ht="180" spans="1:13">
      <c r="A1914" s="1" t="s">
        <v>8382</v>
      </c>
      <c r="B1914" s="1" t="s">
        <v>13</v>
      </c>
      <c r="C1914" s="4" t="s">
        <v>8387</v>
      </c>
      <c r="D1914" s="1" t="s">
        <v>8388</v>
      </c>
      <c r="E1914" s="1" t="s">
        <v>8389</v>
      </c>
      <c r="F1914" s="4" t="s">
        <v>17</v>
      </c>
      <c r="G1914" s="1" t="s">
        <v>18</v>
      </c>
      <c r="H1914" s="1" t="s">
        <v>19</v>
      </c>
      <c r="I1914" s="1" t="s">
        <v>20</v>
      </c>
      <c r="J1914" s="1" t="s">
        <v>8390</v>
      </c>
      <c r="K1914" s="1" t="s">
        <v>22</v>
      </c>
      <c r="L1914" s="1" t="str">
        <f>HYPERLINK("https://files.afu.se/Downloads/Transcripts/0%20-%20Government/USA%20-%20NASA%20Johnson/2014 02 25 - NASA Johnson - Benefits for Humanity  Water for the World_DayWXWbVW4g - transcript (automated).pdf","Transcript Link")</f>
        <v>Transcript Link</v>
      </c>
      <c r="M1914" s="2" t="str">
        <f>HYPERLINK("https://files.afu.se/Downloads/Transcripts/0%20-%20Government/USA%20-%20NASA%20Johnson/2014 02 25 - NASA Johnson - Benefits for Humanity  Water for the World_DayWXWbVW4g - transcript (automated).pdf","Transcript Link")</f>
        <v>Transcript Link</v>
      </c>
    </row>
    <row r="1915" ht="180" spans="1:13">
      <c r="A1915" s="1" t="s">
        <v>8382</v>
      </c>
      <c r="B1915" s="1" t="s">
        <v>13</v>
      </c>
      <c r="C1915" s="4" t="s">
        <v>8391</v>
      </c>
      <c r="D1915" s="1" t="s">
        <v>8392</v>
      </c>
      <c r="E1915" s="1" t="s">
        <v>8393</v>
      </c>
      <c r="F1915" s="4" t="s">
        <v>17</v>
      </c>
      <c r="G1915" s="1" t="s">
        <v>18</v>
      </c>
      <c r="H1915" s="1" t="s">
        <v>19</v>
      </c>
      <c r="I1915" s="1" t="s">
        <v>20</v>
      </c>
      <c r="J1915" s="1" t="s">
        <v>8394</v>
      </c>
      <c r="K1915" s="1" t="s">
        <v>22</v>
      </c>
      <c r="L1915" s="1" t="str">
        <f>HYPERLINK("https://files.afu.se/Downloads/Transcripts/0%20-%20Government/USA%20-%20NASA%20Johnson/2014 02 25 - NASA Johnson - Benefits for Humanity  The Sound of Life_GhHe3oiLCo4 - transcript (automated).pdf","Transcript Link")</f>
        <v>Transcript Link</v>
      </c>
      <c r="M1915" s="2" t="str">
        <f>HYPERLINK("https://files.afu.se/Downloads/Transcripts/0%20-%20Government/USA%20-%20NASA%20Johnson/2014 02 25 - NASA Johnson - Benefits for Humanity  The Sound of Life_GhHe3oiLCo4 - transcript (automated).pdf","Transcript Link")</f>
        <v>Transcript Link</v>
      </c>
    </row>
    <row r="1916" ht="210" spans="1:13">
      <c r="A1916" s="1" t="s">
        <v>8382</v>
      </c>
      <c r="B1916" s="1" t="s">
        <v>13</v>
      </c>
      <c r="C1916" s="4" t="s">
        <v>8395</v>
      </c>
      <c r="D1916" s="1" t="s">
        <v>8396</v>
      </c>
      <c r="E1916" s="1" t="s">
        <v>8397</v>
      </c>
      <c r="F1916" s="4" t="s">
        <v>17</v>
      </c>
      <c r="G1916" s="1" t="s">
        <v>18</v>
      </c>
      <c r="H1916" s="1" t="s">
        <v>19</v>
      </c>
      <c r="I1916" s="1" t="s">
        <v>20</v>
      </c>
      <c r="J1916" s="1" t="s">
        <v>8398</v>
      </c>
      <c r="K1916" s="1" t="s">
        <v>22</v>
      </c>
      <c r="L1916" s="1" t="str">
        <f>HYPERLINK("https://files.afu.se/Downloads/Transcripts/0%20-%20Government/USA%20-%20NASA%20Johnson/2014 02 25 - NASA Johnson - Benefits for Humanity  Changing Lives_LIWSyyT3w98 - transcript (automated).pdf","Transcript Link")</f>
        <v>Transcript Link</v>
      </c>
      <c r="M1916" s="2" t="str">
        <f>HYPERLINK("https://files.afu.se/Downloads/Transcripts/0%20-%20Government/USA%20-%20NASA%20Johnson/2014 02 25 - NASA Johnson - Benefits for Humanity  Changing Lives_LIWSyyT3w98 - transcript (automated).pdf","Transcript Link")</f>
        <v>Transcript Link</v>
      </c>
    </row>
    <row r="1917" ht="180" spans="1:13">
      <c r="A1917" s="1" t="s">
        <v>8382</v>
      </c>
      <c r="B1917" s="1" t="s">
        <v>13</v>
      </c>
      <c r="C1917" s="4" t="s">
        <v>8399</v>
      </c>
      <c r="D1917" s="1" t="s">
        <v>8400</v>
      </c>
      <c r="E1917" s="1" t="s">
        <v>8401</v>
      </c>
      <c r="F1917" s="4" t="s">
        <v>17</v>
      </c>
      <c r="G1917" s="1" t="s">
        <v>18</v>
      </c>
      <c r="H1917" s="1" t="s">
        <v>19</v>
      </c>
      <c r="I1917" s="1" t="s">
        <v>20</v>
      </c>
      <c r="J1917" s="1" t="s">
        <v>8402</v>
      </c>
      <c r="K1917" s="1" t="s">
        <v>22</v>
      </c>
      <c r="L1917" s="1" t="str">
        <f>HYPERLINK("https://files.afu.se/Downloads/Transcripts/0%20-%20Government/USA%20-%20NASA%20Johnson/2014 02 25 - NASA Johnson - Benefits for Humanity  Station Inspiration_yzN9jSDKR8c - transcript (automated).pdf","Transcript Link")</f>
        <v>Transcript Link</v>
      </c>
      <c r="M1917" s="2" t="str">
        <f>HYPERLINK("https://files.afu.se/Downloads/Transcripts/0%20-%20Government/USA%20-%20NASA%20Johnson/2014 02 25 - NASA Johnson - Benefits for Humanity  Station Inspiration_yzN9jSDKR8c - transcript (automated).pdf","Transcript Link")</f>
        <v>Transcript Link</v>
      </c>
    </row>
    <row r="1918" ht="225" spans="1:13">
      <c r="A1918" s="1" t="s">
        <v>8403</v>
      </c>
      <c r="B1918" s="1" t="s">
        <v>13</v>
      </c>
      <c r="C1918" s="4" t="s">
        <v>8404</v>
      </c>
      <c r="D1918" s="1" t="s">
        <v>8405</v>
      </c>
      <c r="E1918" s="1" t="s">
        <v>8406</v>
      </c>
      <c r="F1918" s="4" t="s">
        <v>17</v>
      </c>
      <c r="G1918" s="1" t="s">
        <v>18</v>
      </c>
      <c r="H1918" s="1" t="s">
        <v>19</v>
      </c>
      <c r="I1918" s="1" t="s">
        <v>20</v>
      </c>
      <c r="J1918" s="1" t="s">
        <v>8407</v>
      </c>
      <c r="K1918" s="1" t="s">
        <v>22</v>
      </c>
      <c r="L1918" s="1" t="str">
        <f>HYPERLINK("https://files.afu.se/Downloads/Transcripts/0%20-%20Government/USA%20-%20NASA%20Johnson/2014 02 24 - NASA Johnson - Space Station Live  Student Science Reaches Higher Orbits_OHpx2tqA5Qc - transcript (automated).pdf","Transcript Link")</f>
        <v>Transcript Link</v>
      </c>
      <c r="M1918" s="2" t="str">
        <f>HYPERLINK("https://files.afu.se/Downloads/Transcripts/0%20-%20Government/USA%20-%20NASA%20Johnson/2014 02 24 - NASA Johnson - Space Station Live  Student Science Reaches Higher Orbits_OHpx2tqA5Qc - transcript (automated).pdf","Transcript Link")</f>
        <v>Transcript Link</v>
      </c>
    </row>
    <row r="1919" ht="180" spans="1:13">
      <c r="A1919" s="1" t="s">
        <v>8408</v>
      </c>
      <c r="B1919" s="1" t="s">
        <v>13</v>
      </c>
      <c r="C1919" s="4" t="s">
        <v>8409</v>
      </c>
      <c r="D1919" s="1" t="s">
        <v>8410</v>
      </c>
      <c r="E1919" s="1" t="s">
        <v>8411</v>
      </c>
      <c r="F1919" s="4" t="s">
        <v>17</v>
      </c>
      <c r="G1919" s="1" t="s">
        <v>18</v>
      </c>
      <c r="H1919" s="1" t="s">
        <v>19</v>
      </c>
      <c r="I1919" s="1" t="s">
        <v>20</v>
      </c>
      <c r="J1919" s="1" t="s">
        <v>8412</v>
      </c>
      <c r="K1919" s="1" t="s">
        <v>22</v>
      </c>
      <c r="L1919" s="1" t="str">
        <f>HYPERLINK("https://files.afu.se/Downloads/Transcripts/0%20-%20Government/USA%20-%20NASA%20Johnson/2014 02 21 - NASA Johnson - NASA Technologies  Opportunities in RFID_D9DGEiCrsUo - transcript (automated).pdf","Transcript Link")</f>
        <v>Transcript Link</v>
      </c>
      <c r="M1919" s="2" t="str">
        <f>HYPERLINK("https://files.afu.se/Downloads/Transcripts/0%20-%20Government/USA%20-%20NASA%20Johnson/2014 02 21 - NASA Johnson - NASA Technologies  Opportunities in RFID_D9DGEiCrsUo - transcript (automated).pdf","Transcript Link")</f>
        <v>Transcript Link</v>
      </c>
    </row>
    <row r="1920" ht="180" spans="1:13">
      <c r="A1920" s="1" t="s">
        <v>8408</v>
      </c>
      <c r="B1920" s="1" t="s">
        <v>13</v>
      </c>
      <c r="C1920" s="4" t="s">
        <v>8413</v>
      </c>
      <c r="D1920" s="1" t="s">
        <v>8414</v>
      </c>
      <c r="E1920" s="1" t="s">
        <v>8415</v>
      </c>
      <c r="F1920" s="4" t="s">
        <v>17</v>
      </c>
      <c r="G1920" s="1" t="s">
        <v>18</v>
      </c>
      <c r="H1920" s="1" t="s">
        <v>19</v>
      </c>
      <c r="I1920" s="1" t="s">
        <v>20</v>
      </c>
      <c r="J1920" s="1" t="s">
        <v>8416</v>
      </c>
      <c r="K1920" s="1" t="s">
        <v>22</v>
      </c>
      <c r="L1920" s="1" t="str">
        <f>HYPERLINK("https://files.afu.se/Downloads/Transcripts/0%20-%20Government/USA%20-%20NASA%20Johnson/2014 02 21 - NASA Johnson - Space Station Live  NanoRacks Makes Space for CubeSats_tEDLkWSCyrs - transcript (automated).pdf","Transcript Link")</f>
        <v>Transcript Link</v>
      </c>
      <c r="M1920" s="2" t="str">
        <f>HYPERLINK("https://files.afu.se/Downloads/Transcripts/0%20-%20Government/USA%20-%20NASA%20Johnson/2014 02 21 - NASA Johnson - Space Station Live  NanoRacks Makes Space for CubeSats_tEDLkWSCyrs - transcript (automated).pdf","Transcript Link")</f>
        <v>Transcript Link</v>
      </c>
    </row>
    <row r="1921" ht="240" spans="1:13">
      <c r="A1921" s="1" t="s">
        <v>8408</v>
      </c>
      <c r="B1921" s="1" t="s">
        <v>13</v>
      </c>
      <c r="C1921" s="4" t="s">
        <v>8417</v>
      </c>
      <c r="D1921" s="1" t="s">
        <v>8418</v>
      </c>
      <c r="E1921" s="1" t="s">
        <v>8419</v>
      </c>
      <c r="F1921" s="4" t="s">
        <v>17</v>
      </c>
      <c r="G1921" s="1" t="s">
        <v>18</v>
      </c>
      <c r="H1921" s="1" t="s">
        <v>19</v>
      </c>
      <c r="I1921" s="1" t="s">
        <v>20</v>
      </c>
      <c r="J1921" s="1" t="s">
        <v>8420</v>
      </c>
      <c r="K1921" s="1" t="s">
        <v>22</v>
      </c>
      <c r="L1921" s="1" t="str">
        <f>HYPERLINK("https://files.afu.se/Downloads/Transcripts/0%20-%20Government/USA%20-%20NASA%20Johnson/2014 02 21 - NASA Johnson - Space to Ground - 02 21 14_1zwYq-Gecds - transcript (automated).pdf","Transcript Link")</f>
        <v>Transcript Link</v>
      </c>
      <c r="M1921" s="2" t="str">
        <f>HYPERLINK("https://files.afu.se/Downloads/Transcripts/0%20-%20Government/USA%20-%20NASA%20Johnson/2014 02 21 - NASA Johnson - Space to Ground - 02 21 14_1zwYq-Gecds - transcript (automated).pdf","Transcript Link")</f>
        <v>Transcript Link</v>
      </c>
    </row>
    <row r="1922" ht="180" spans="1:13">
      <c r="A1922" s="1" t="s">
        <v>8421</v>
      </c>
      <c r="B1922" s="1" t="s">
        <v>13</v>
      </c>
      <c r="C1922" s="4" t="s">
        <v>8422</v>
      </c>
      <c r="D1922" s="1" t="s">
        <v>8423</v>
      </c>
      <c r="E1922" s="1" t="s">
        <v>8424</v>
      </c>
      <c r="F1922" s="4" t="s">
        <v>17</v>
      </c>
      <c r="G1922" s="1" t="s">
        <v>18</v>
      </c>
      <c r="H1922" s="1" t="s">
        <v>19</v>
      </c>
      <c r="I1922" s="1" t="s">
        <v>20</v>
      </c>
      <c r="J1922" s="1" t="s">
        <v>8425</v>
      </c>
      <c r="K1922" s="1" t="s">
        <v>22</v>
      </c>
      <c r="L1922" s="1" t="str">
        <f>HYPERLINK("https://files.afu.se/Downloads/Transcripts/0%20-%20Government/USA%20-%20NASA%20Johnson/2014 02 19 - NASA Johnson - Space Station Live  Orion Recovery Testing_IFZjEQToE9Q - transcript (automated).pdf","Transcript Link")</f>
        <v>Transcript Link</v>
      </c>
      <c r="M1922" s="2" t="str">
        <f>HYPERLINK("https://files.afu.se/Downloads/Transcripts/0%20-%20Government/USA%20-%20NASA%20Johnson/2014 02 19 - NASA Johnson - Space Station Live  Orion Recovery Testing_IFZjEQToE9Q - transcript (automated).pdf","Transcript Link")</f>
        <v>Transcript Link</v>
      </c>
    </row>
    <row r="1923" ht="180" spans="1:13">
      <c r="A1923" s="1" t="s">
        <v>8421</v>
      </c>
      <c r="B1923" s="1" t="s">
        <v>13</v>
      </c>
      <c r="C1923" s="4" t="s">
        <v>8426</v>
      </c>
      <c r="D1923" s="1" t="s">
        <v>8427</v>
      </c>
      <c r="E1923" s="1" t="s">
        <v>8428</v>
      </c>
      <c r="F1923" s="4" t="s">
        <v>17</v>
      </c>
      <c r="G1923" s="1" t="s">
        <v>18</v>
      </c>
      <c r="H1923" s="1" t="s">
        <v>19</v>
      </c>
      <c r="I1923" s="1" t="s">
        <v>20</v>
      </c>
      <c r="J1923" s="1" t="s">
        <v>8429</v>
      </c>
      <c r="K1923" s="1" t="s">
        <v>22</v>
      </c>
      <c r="L1923" s="1" t="str">
        <f>HYPERLINK("https://files.afu.se/Downloads/Transcripts/0%20-%20Government/USA%20-%20NASA%20Johnson/2014 02 19 - NASA Johnson - Astronaut Mike Hopkins  Workout in Space 3_k1-eL1ucWPI - transcript (automated).pdf","Transcript Link")</f>
        <v>Transcript Link</v>
      </c>
      <c r="M1923" s="2" t="str">
        <f>HYPERLINK("https://files.afu.se/Downloads/Transcripts/0%20-%20Government/USA%20-%20NASA%20Johnson/2014 02 19 - NASA Johnson - Astronaut Mike Hopkins  Workout in Space 3_k1-eL1ucWPI - transcript (automated).pdf","Transcript Link")</f>
        <v>Transcript Link</v>
      </c>
    </row>
    <row r="1924" ht="180" spans="1:13">
      <c r="A1924" s="1" t="s">
        <v>8421</v>
      </c>
      <c r="B1924" s="1" t="s">
        <v>13</v>
      </c>
      <c r="C1924" s="4" t="s">
        <v>8430</v>
      </c>
      <c r="D1924" s="1" t="s">
        <v>8431</v>
      </c>
      <c r="E1924" s="1" t="s">
        <v>8432</v>
      </c>
      <c r="F1924" s="4" t="s">
        <v>17</v>
      </c>
      <c r="G1924" s="1" t="s">
        <v>18</v>
      </c>
      <c r="H1924" s="1" t="s">
        <v>19</v>
      </c>
      <c r="I1924" s="1" t="s">
        <v>20</v>
      </c>
      <c r="J1924" s="1" t="s">
        <v>8433</v>
      </c>
      <c r="K1924" s="1" t="s">
        <v>22</v>
      </c>
      <c r="L1924" s="1" t="str">
        <f>HYPERLINK("https://files.afu.se/Downloads/Transcripts/0%20-%20Government/USA%20-%20NASA%20Johnson/2014 02 19 - NASA Johnson - Astronaut Mike Hopkins  Workout in Space 2_X1jxUjxWdEQ - transcript (automated).pdf","Transcript Link")</f>
        <v>Transcript Link</v>
      </c>
      <c r="M1924" s="2" t="str">
        <f>HYPERLINK("https://files.afu.se/Downloads/Transcripts/0%20-%20Government/USA%20-%20NASA%20Johnson/2014 02 19 - NASA Johnson - Astronaut Mike Hopkins  Workout in Space 2_X1jxUjxWdEQ - transcript (automated).pdf","Transcript Link")</f>
        <v>Transcript Link</v>
      </c>
    </row>
    <row r="1925" ht="180" spans="1:13">
      <c r="A1925" s="1" t="s">
        <v>8434</v>
      </c>
      <c r="B1925" s="1" t="s">
        <v>13</v>
      </c>
      <c r="C1925" s="4" t="s">
        <v>8435</v>
      </c>
      <c r="D1925" s="1" t="s">
        <v>8436</v>
      </c>
      <c r="E1925" s="1" t="s">
        <v>8437</v>
      </c>
      <c r="F1925" s="4" t="s">
        <v>17</v>
      </c>
      <c r="G1925" s="1" t="s">
        <v>18</v>
      </c>
      <c r="H1925" s="1" t="s">
        <v>19</v>
      </c>
      <c r="I1925" s="1" t="s">
        <v>20</v>
      </c>
      <c r="J1925" s="1" t="s">
        <v>8438</v>
      </c>
      <c r="K1925" s="1" t="s">
        <v>22</v>
      </c>
      <c r="L1925" s="1" t="str">
        <f>HYPERLINK("https://files.afu.se/Downloads/Transcripts/0%20-%20Government/USA%20-%20NASA%20Johnson/2014 02 18 - NASA Johnson - Space Station Live  Astronauts Test Spacesuits for Orion_7-IokHlmul8 - transcript (automated).pdf","Transcript Link")</f>
        <v>Transcript Link</v>
      </c>
      <c r="M1925" s="2" t="str">
        <f>HYPERLINK("https://files.afu.se/Downloads/Transcripts/0%20-%20Government/USA%20-%20NASA%20Johnson/2014 02 18 - NASA Johnson - Space Station Live  Astronauts Test Spacesuits for Orion_7-IokHlmul8 - transcript (automated).pdf","Transcript Link")</f>
        <v>Transcript Link</v>
      </c>
    </row>
    <row r="1926" ht="300" spans="1:13">
      <c r="A1926" s="1" t="s">
        <v>8439</v>
      </c>
      <c r="B1926" s="1" t="s">
        <v>13</v>
      </c>
      <c r="C1926" s="4" t="s">
        <v>8440</v>
      </c>
      <c r="D1926" s="1" t="s">
        <v>8441</v>
      </c>
      <c r="E1926" s="1" t="s">
        <v>8442</v>
      </c>
      <c r="F1926" s="4" t="s">
        <v>17</v>
      </c>
      <c r="G1926" s="1" t="s">
        <v>18</v>
      </c>
      <c r="H1926" s="1" t="s">
        <v>19</v>
      </c>
      <c r="I1926" s="1" t="s">
        <v>20</v>
      </c>
      <c r="J1926" s="1" t="s">
        <v>8443</v>
      </c>
      <c r="K1926" s="1" t="s">
        <v>22</v>
      </c>
      <c r="L1926" s="1" t="str">
        <f>HYPERLINK("https://files.afu.se/Downloads/Transcripts/0%20-%20Government/USA%20-%20NASA%20Johnson/2014 02 14 - NASA Johnson - Space Station Live  Destination Station  Los Angeles_p7LUrsb7yUY - transcript (automated).pdf","Transcript Link")</f>
        <v>Transcript Link</v>
      </c>
      <c r="M1926" s="2" t="str">
        <f>HYPERLINK("https://files.afu.se/Downloads/Transcripts/0%20-%20Government/USA%20-%20NASA%20Johnson/2014 02 14 - NASA Johnson - Space Station Live  Destination Station  Los Angeles_p7LUrsb7yUY - transcript (automated).pdf","Transcript Link")</f>
        <v>Transcript Link</v>
      </c>
    </row>
    <row r="1927" ht="180" spans="1:13">
      <c r="A1927" s="1" t="s">
        <v>8439</v>
      </c>
      <c r="B1927" s="1" t="s">
        <v>13</v>
      </c>
      <c r="C1927" s="4" t="s">
        <v>8444</v>
      </c>
      <c r="D1927" s="1" t="s">
        <v>8445</v>
      </c>
      <c r="E1927" s="1" t="s">
        <v>5059</v>
      </c>
      <c r="F1927" s="4" t="s">
        <v>17</v>
      </c>
      <c r="G1927" s="1" t="s">
        <v>18</v>
      </c>
      <c r="H1927" s="1" t="s">
        <v>19</v>
      </c>
      <c r="I1927" s="1" t="s">
        <v>20</v>
      </c>
      <c r="J1927" s="1" t="s">
        <v>8446</v>
      </c>
      <c r="K1927" s="1" t="s">
        <v>22</v>
      </c>
      <c r="L1927" s="1" t="str">
        <f>HYPERLINK("https://files.afu.se/Downloads/Transcripts/0%20-%20Government/USA%20-%20NASA%20Johnson/2014 02 14 - NASA Johnson - Space to Ground - 02 14 14_7L2Nq49ORYY - transcript (automated).pdf","Transcript Link")</f>
        <v>Transcript Link</v>
      </c>
      <c r="M1927" s="2" t="str">
        <f>HYPERLINK("https://files.afu.se/Downloads/Transcripts/0%20-%20Government/USA%20-%20NASA%20Johnson/2014 02 14 - NASA Johnson - Space to Ground - 02 14 14_7L2Nq49ORYY - transcript (automated).pdf","Transcript Link")</f>
        <v>Transcript Link</v>
      </c>
    </row>
    <row r="1928" ht="180" spans="1:13">
      <c r="A1928" s="1" t="s">
        <v>8447</v>
      </c>
      <c r="B1928" s="1" t="s">
        <v>13</v>
      </c>
      <c r="C1928" s="4" t="s">
        <v>8448</v>
      </c>
      <c r="D1928" s="1" t="s">
        <v>8449</v>
      </c>
      <c r="E1928" s="1" t="s">
        <v>8450</v>
      </c>
      <c r="F1928" s="4" t="s">
        <v>17</v>
      </c>
      <c r="G1928" s="1" t="s">
        <v>18</v>
      </c>
      <c r="H1928" s="1" t="s">
        <v>19</v>
      </c>
      <c r="I1928" s="1" t="s">
        <v>20</v>
      </c>
      <c r="J1928" s="1" t="s">
        <v>8451</v>
      </c>
      <c r="K1928" s="1" t="s">
        <v>22</v>
      </c>
      <c r="L1928" s="1" t="str">
        <f>HYPERLINK("https://files.afu.se/Downloads/Transcripts/0%20-%20Government/USA%20-%20NASA%20Johnson/2014 02 13 - NASA Johnson - Flight Director Talks to Texas Students_0d_Wi6Mz3rA - transcript (automated).pdf","Transcript Link")</f>
        <v>Transcript Link</v>
      </c>
      <c r="M1928" s="2" t="str">
        <f>HYPERLINK("https://files.afu.se/Downloads/Transcripts/0%20-%20Government/USA%20-%20NASA%20Johnson/2014 02 13 - NASA Johnson - Flight Director Talks to Texas Students_0d_Wi6Mz3rA - transcript (automated).pdf","Transcript Link")</f>
        <v>Transcript Link</v>
      </c>
    </row>
    <row r="1929" ht="180" spans="1:13">
      <c r="A1929" s="1" t="s">
        <v>8447</v>
      </c>
      <c r="B1929" s="1" t="s">
        <v>13</v>
      </c>
      <c r="C1929" s="4" t="s">
        <v>8452</v>
      </c>
      <c r="D1929" s="1" t="s">
        <v>8453</v>
      </c>
      <c r="E1929" s="1" t="s">
        <v>8454</v>
      </c>
      <c r="F1929" s="4" t="s">
        <v>17</v>
      </c>
      <c r="G1929" s="1" t="s">
        <v>18</v>
      </c>
      <c r="H1929" s="1" t="s">
        <v>19</v>
      </c>
      <c r="I1929" s="1" t="s">
        <v>20</v>
      </c>
      <c r="J1929" s="1" t="s">
        <v>8455</v>
      </c>
      <c r="K1929" s="1" t="s">
        <v>22</v>
      </c>
      <c r="L1929" s="1" t="str">
        <f>HYPERLINK("https://files.afu.se/Downloads/Transcripts/0%20-%20Government/USA%20-%20NASA%20Johnson/2014 02 13 - NASA Johnson - Space Station Live  Starting Fire in Water_r4rNUBpUPho - transcript (automated).pdf","Transcript Link")</f>
        <v>Transcript Link</v>
      </c>
      <c r="M1929" s="2" t="str">
        <f>HYPERLINK("https://files.afu.se/Downloads/Transcripts/0%20-%20Government/USA%20-%20NASA%20Johnson/2014 02 13 - NASA Johnson - Space Station Live  Starting Fire in Water_r4rNUBpUPho - transcript (automated).pdf","Transcript Link")</f>
        <v>Transcript Link</v>
      </c>
    </row>
    <row r="1930" ht="180" spans="1:13">
      <c r="A1930" s="1" t="s">
        <v>8456</v>
      </c>
      <c r="B1930" s="1" t="s">
        <v>13</v>
      </c>
      <c r="C1930" s="4" t="s">
        <v>8457</v>
      </c>
      <c r="D1930" s="1" t="s">
        <v>8458</v>
      </c>
      <c r="E1930" s="1" t="s">
        <v>8459</v>
      </c>
      <c r="F1930" s="4" t="s">
        <v>17</v>
      </c>
      <c r="G1930" s="1" t="s">
        <v>18</v>
      </c>
      <c r="H1930" s="1" t="s">
        <v>19</v>
      </c>
      <c r="I1930" s="1" t="s">
        <v>20</v>
      </c>
      <c r="J1930" s="1" t="s">
        <v>8460</v>
      </c>
      <c r="K1930" s="1" t="s">
        <v>22</v>
      </c>
      <c r="L1930" s="1" t="str">
        <f>HYPERLINK("https://files.afu.se/Downloads/Transcripts/0%20-%20Government/USA%20-%20NASA%20Johnson/2014 02 07 - NASA Johnson - Russian Female Cosmonaut Prepares for Launch to Station_Ehvimfl-UfI - transcript (automated).pdf","Transcript Link")</f>
        <v>Transcript Link</v>
      </c>
      <c r="M1930" s="2" t="str">
        <f>HYPERLINK("https://files.afu.se/Downloads/Transcripts/0%20-%20Government/USA%20-%20NASA%20Johnson/2014 02 07 - NASA Johnson - Russian Female Cosmonaut Prepares for Launch to Station_Ehvimfl-UfI - transcript (automated).pdf","Transcript Link")</f>
        <v>Transcript Link</v>
      </c>
    </row>
    <row r="1931" ht="195" spans="1:13">
      <c r="A1931" s="1" t="s">
        <v>8461</v>
      </c>
      <c r="B1931" s="1" t="s">
        <v>13</v>
      </c>
      <c r="C1931" s="4" t="s">
        <v>8462</v>
      </c>
      <c r="D1931" s="1" t="s">
        <v>8463</v>
      </c>
      <c r="E1931" s="1" t="s">
        <v>8464</v>
      </c>
      <c r="F1931" s="4" t="s">
        <v>17</v>
      </c>
      <c r="G1931" s="1" t="s">
        <v>18</v>
      </c>
      <c r="H1931" s="1" t="s">
        <v>19</v>
      </c>
      <c r="I1931" s="1" t="s">
        <v>20</v>
      </c>
      <c r="J1931" s="1" t="s">
        <v>8465</v>
      </c>
      <c r="K1931" s="1" t="s">
        <v>22</v>
      </c>
      <c r="L1931" s="1" t="str">
        <f>HYPERLINK("https://files.afu.se/Downloads/Transcripts/0%20-%20Government/USA%20-%20NASA%20Johnson/2014 02 06 - NASA Johnson - Space to Ground - 02 07 14_6miv46zeH4Y - transcript (automated).pdf","Transcript Link")</f>
        <v>Transcript Link</v>
      </c>
      <c r="M1931" s="2" t="str">
        <f>HYPERLINK("https://files.afu.se/Downloads/Transcripts/0%20-%20Government/USA%20-%20NASA%20Johnson/2014 02 06 - NASA Johnson - Space to Ground - 02 07 14_6miv46zeH4Y - transcript (automated).pdf","Transcript Link")</f>
        <v>Transcript Link</v>
      </c>
    </row>
    <row r="1932" ht="180" spans="1:13">
      <c r="A1932" s="1" t="s">
        <v>8461</v>
      </c>
      <c r="B1932" s="1" t="s">
        <v>13</v>
      </c>
      <c r="C1932" s="4" t="s">
        <v>8466</v>
      </c>
      <c r="D1932" s="1" t="s">
        <v>8467</v>
      </c>
      <c r="E1932" s="1" t="s">
        <v>8468</v>
      </c>
      <c r="F1932" s="4" t="s">
        <v>17</v>
      </c>
      <c r="G1932" s="1" t="s">
        <v>18</v>
      </c>
      <c r="H1932" s="1" t="s">
        <v>19</v>
      </c>
      <c r="I1932" s="1" t="s">
        <v>20</v>
      </c>
      <c r="J1932" s="1" t="s">
        <v>8469</v>
      </c>
      <c r="K1932" s="1" t="s">
        <v>22</v>
      </c>
      <c r="L1932" s="1" t="str">
        <f>HYPERLINK("https://files.afu.se/Downloads/Transcripts/0%20-%20Government/USA%20-%20NASA%20Johnson/2014 02 06 - NASA Johnson - Olympic Torch Completes Longest Relay in History_QKMJVRDtcDM - transcript (automated).pdf","Transcript Link")</f>
        <v>Transcript Link</v>
      </c>
      <c r="M1932" s="2" t="str">
        <f>HYPERLINK("https://files.afu.se/Downloads/Transcripts/0%20-%20Government/USA%20-%20NASA%20Johnson/2014 02 06 - NASA Johnson - Olympic Torch Completes Longest Relay in History_QKMJVRDtcDM - transcript (automated).pdf","Transcript Link")</f>
        <v>Transcript Link</v>
      </c>
    </row>
    <row r="1933" ht="405" spans="1:13">
      <c r="A1933" s="1" t="s">
        <v>8461</v>
      </c>
      <c r="B1933" s="1" t="s">
        <v>13</v>
      </c>
      <c r="C1933" s="4" t="s">
        <v>8470</v>
      </c>
      <c r="D1933" s="1" t="s">
        <v>8471</v>
      </c>
      <c r="E1933" s="1" t="s">
        <v>8472</v>
      </c>
      <c r="F1933" s="4" t="s">
        <v>17</v>
      </c>
      <c r="G1933" s="1" t="s">
        <v>18</v>
      </c>
      <c r="H1933" s="1" t="s">
        <v>19</v>
      </c>
      <c r="I1933" s="1" t="s">
        <v>20</v>
      </c>
      <c r="J1933" s="1" t="s">
        <v>8473</v>
      </c>
      <c r="K1933" s="1" t="s">
        <v>22</v>
      </c>
      <c r="L1933" s="1" t="str">
        <f>HYPERLINK("https://files.afu.se/Downloads/Transcripts/0%20-%20Government/USA%20-%20NASA%20Johnson/2014 02 06 - NASA Johnson - Space Station Live  Investigating  Genius Materials  On the Space Station__IKDadtIqqI - transcript (automated).pdf","Transcript Link")</f>
        <v>Transcript Link</v>
      </c>
      <c r="M1933" s="2" t="str">
        <f>HYPERLINK("https://files.afu.se/Downloads/Transcripts/0%20-%20Government/USA%20-%20NASA%20Johnson/2014 02 06 - NASA Johnson - Space Station Live  Investigating  Genius Materials  On the Space Station__IKDadtIqqI - transcript (automated).pdf","Transcript Link")</f>
        <v>Transcript Link</v>
      </c>
    </row>
    <row r="1934" ht="180" spans="1:13">
      <c r="A1934" s="1" t="s">
        <v>8474</v>
      </c>
      <c r="B1934" s="1" t="s">
        <v>13</v>
      </c>
      <c r="C1934" s="4" t="s">
        <v>8475</v>
      </c>
      <c r="D1934" s="1" t="s">
        <v>8476</v>
      </c>
      <c r="E1934" s="1" t="s">
        <v>8477</v>
      </c>
      <c r="F1934" s="4" t="s">
        <v>17</v>
      </c>
      <c r="G1934" s="1" t="s">
        <v>18</v>
      </c>
      <c r="H1934" s="1" t="s">
        <v>19</v>
      </c>
      <c r="I1934" s="1" t="s">
        <v>20</v>
      </c>
      <c r="J1934" s="1" t="s">
        <v>8478</v>
      </c>
      <c r="K1934" s="1" t="s">
        <v>22</v>
      </c>
      <c r="L1934" s="1" t="str">
        <f>HYPERLINK("https://files.afu.se/Downloads/Transcripts/0%20-%20Government/USA%20-%20NASA%20Johnson/2014 02 05 - NASA Johnson - Space Station Live  Studying the Immune System In Space_e3qGy4OXGY4 - transcript (automated).pdf","Transcript Link")</f>
        <v>Transcript Link</v>
      </c>
      <c r="M1934" s="2" t="str">
        <f>HYPERLINK("https://files.afu.se/Downloads/Transcripts/0%20-%20Government/USA%20-%20NASA%20Johnson/2014 02 05 - NASA Johnson - Space Station Live  Studying the Immune System In Space_e3qGy4OXGY4 - transcript (automated).pdf","Transcript Link")</f>
        <v>Transcript Link</v>
      </c>
    </row>
    <row r="1935" ht="180" spans="1:13">
      <c r="A1935" s="1" t="s">
        <v>8479</v>
      </c>
      <c r="B1935" s="1" t="s">
        <v>13</v>
      </c>
      <c r="C1935" s="4" t="s">
        <v>8480</v>
      </c>
      <c r="D1935" s="1" t="s">
        <v>8481</v>
      </c>
      <c r="E1935" s="1" t="s">
        <v>8482</v>
      </c>
      <c r="F1935" s="4" t="s">
        <v>17</v>
      </c>
      <c r="G1935" s="1" t="s">
        <v>18</v>
      </c>
      <c r="H1935" s="1" t="s">
        <v>19</v>
      </c>
      <c r="I1935" s="1" t="s">
        <v>20</v>
      </c>
      <c r="J1935" s="1" t="s">
        <v>8483</v>
      </c>
      <c r="K1935" s="1" t="s">
        <v>22</v>
      </c>
      <c r="L1935" s="1" t="str">
        <f>HYPERLINK("https://files.afu.se/Downloads/Transcripts/0%20-%20Government/USA%20-%20NASA%20Johnson/2014 02 04 - NASA Johnson - Space Station Live  Space Diet to Prevent Bone Mineral Loss_GbIcZqwlNak - transcript (automated).pdf","Transcript Link")</f>
        <v>Transcript Link</v>
      </c>
      <c r="M1935" s="2" t="str">
        <f>HYPERLINK("https://files.afu.se/Downloads/Transcripts/0%20-%20Government/USA%20-%20NASA%20Johnson/2014 02 04 - NASA Johnson - Space Station Live  Space Diet to Prevent Bone Mineral Loss_GbIcZqwlNak - transcript (automated).pdf","Transcript Link")</f>
        <v>Transcript Link</v>
      </c>
    </row>
    <row r="1936" ht="180" spans="1:13">
      <c r="A1936" s="1" t="s">
        <v>8484</v>
      </c>
      <c r="B1936" s="1" t="s">
        <v>13</v>
      </c>
      <c r="C1936" s="4" t="s">
        <v>8485</v>
      </c>
      <c r="D1936" s="1" t="s">
        <v>8486</v>
      </c>
      <c r="E1936" s="1" t="s">
        <v>8487</v>
      </c>
      <c r="F1936" s="4" t="s">
        <v>17</v>
      </c>
      <c r="G1936" s="1" t="s">
        <v>18</v>
      </c>
      <c r="H1936" s="1" t="s">
        <v>19</v>
      </c>
      <c r="I1936" s="1" t="s">
        <v>20</v>
      </c>
      <c r="J1936" s="1" t="s">
        <v>8488</v>
      </c>
      <c r="K1936" s="1" t="s">
        <v>22</v>
      </c>
      <c r="L1936" s="1" t="str">
        <f>HYPERLINK("https://files.afu.se/Downloads/Transcripts/0%20-%20Government/USA%20-%20NASA%20Johnson/2014 01 31 - NASA Johnson - Space Station Live  Deploying Cubesats from the Station_bM-Ji-pjnk8 - transcript (automated).pdf","Transcript Link")</f>
        <v>Transcript Link</v>
      </c>
      <c r="M1936" s="2" t="str">
        <f>HYPERLINK("https://files.afu.se/Downloads/Transcripts/0%20-%20Government/USA%20-%20NASA%20Johnson/2014 01 31 - NASA Johnson - Space Station Live  Deploying Cubesats from the Station_bM-Ji-pjnk8 - transcript (automated).pdf","Transcript Link")</f>
        <v>Transcript Link</v>
      </c>
    </row>
    <row r="1937" ht="210" spans="1:13">
      <c r="A1937" s="1" t="s">
        <v>8484</v>
      </c>
      <c r="B1937" s="1" t="s">
        <v>13</v>
      </c>
      <c r="C1937" s="4" t="s">
        <v>8489</v>
      </c>
      <c r="D1937" s="1" t="s">
        <v>8490</v>
      </c>
      <c r="E1937" s="1" t="s">
        <v>8491</v>
      </c>
      <c r="F1937" s="4" t="s">
        <v>17</v>
      </c>
      <c r="G1937" s="1" t="s">
        <v>18</v>
      </c>
      <c r="H1937" s="1" t="s">
        <v>19</v>
      </c>
      <c r="I1937" s="1" t="s">
        <v>20</v>
      </c>
      <c r="J1937" s="1" t="s">
        <v>8492</v>
      </c>
      <c r="K1937" s="1" t="s">
        <v>22</v>
      </c>
      <c r="L1937" s="1" t="str">
        <f>HYPERLINK("https://files.afu.se/Downloads/Transcripts/0%20-%20Government/USA%20-%20NASA%20Johnson/2014 01 31 - NASA Johnson - Space to Ground - 1 31 14_VT_oc_G6irg - transcript (automated).pdf","Transcript Link")</f>
        <v>Transcript Link</v>
      </c>
      <c r="M1937" s="2" t="str">
        <f>HYPERLINK("https://files.afu.se/Downloads/Transcripts/0%20-%20Government/USA%20-%20NASA%20Johnson/2014 01 31 - NASA Johnson - Space to Ground - 1 31 14_VT_oc_G6irg - transcript (automated).pdf","Transcript Link")</f>
        <v>Transcript Link</v>
      </c>
    </row>
    <row r="1938" ht="180" spans="1:13">
      <c r="A1938" s="1" t="s">
        <v>8493</v>
      </c>
      <c r="B1938" s="1" t="s">
        <v>13</v>
      </c>
      <c r="C1938" s="4" t="s">
        <v>8494</v>
      </c>
      <c r="D1938" s="1" t="s">
        <v>8495</v>
      </c>
      <c r="E1938" s="1" t="s">
        <v>8496</v>
      </c>
      <c r="F1938" s="4" t="s">
        <v>17</v>
      </c>
      <c r="G1938" s="1" t="s">
        <v>18</v>
      </c>
      <c r="H1938" s="1" t="s">
        <v>19</v>
      </c>
      <c r="I1938" s="1" t="s">
        <v>20</v>
      </c>
      <c r="J1938" s="1" t="s">
        <v>8497</v>
      </c>
      <c r="K1938" s="1" t="s">
        <v>22</v>
      </c>
      <c r="L1938" s="1" t="str">
        <f>HYPERLINK("https://files.afu.se/Downloads/Transcripts/0%20-%20Government/USA%20-%20NASA%20Johnson/2014 01 30 - NASA Johnson - Space Station Live  Designing an Exercise Program for Space_QPghbtqKdBg - transcript (automated).pdf","Transcript Link")</f>
        <v>Transcript Link</v>
      </c>
      <c r="M1938" s="2" t="str">
        <f>HYPERLINK("https://files.afu.se/Downloads/Transcripts/0%20-%20Government/USA%20-%20NASA%20Johnson/2014 01 30 - NASA Johnson - Space Station Live  Designing an Exercise Program for Space_QPghbtqKdBg - transcript (automated).pdf","Transcript Link")</f>
        <v>Transcript Link</v>
      </c>
    </row>
    <row r="1939" ht="409.5" spans="1:13">
      <c r="A1939" s="1" t="s">
        <v>8498</v>
      </c>
      <c r="B1939" s="1" t="s">
        <v>13</v>
      </c>
      <c r="C1939" s="4" t="s">
        <v>8499</v>
      </c>
      <c r="D1939" s="1" t="s">
        <v>8500</v>
      </c>
      <c r="E1939" s="1" t="s">
        <v>8501</v>
      </c>
      <c r="F1939" s="4" t="s">
        <v>17</v>
      </c>
      <c r="G1939" s="1" t="s">
        <v>18</v>
      </c>
      <c r="H1939" s="1" t="s">
        <v>19</v>
      </c>
      <c r="I1939" s="1" t="s">
        <v>20</v>
      </c>
      <c r="J1939" s="1" t="s">
        <v>8502</v>
      </c>
      <c r="K1939" s="1" t="s">
        <v>22</v>
      </c>
      <c r="L1939" s="1" t="str">
        <f>HYPERLINK("https://files.afu.se/Downloads/Transcripts/0%20-%20Government/USA%20-%20NASA%20Johnson/2014 01 29 - NASA Johnson - Astronaut Mike Hopkins  Workout in Space 1_EEQyybh617I - transcript (automated).pdf","Transcript Link")</f>
        <v>Transcript Link</v>
      </c>
      <c r="M1939" s="2" t="str">
        <f>HYPERLINK("https://files.afu.se/Downloads/Transcripts/0%20-%20Government/USA%20-%20NASA%20Johnson/2014 01 29 - NASA Johnson - Astronaut Mike Hopkins  Workout in Space 1_EEQyybh617I - transcript (automated).pdf","Transcript Link")</f>
        <v>Transcript Link</v>
      </c>
    </row>
    <row r="1940" ht="180" spans="1:13">
      <c r="A1940" s="1" t="s">
        <v>8498</v>
      </c>
      <c r="B1940" s="1" t="s">
        <v>13</v>
      </c>
      <c r="C1940" s="4" t="s">
        <v>8503</v>
      </c>
      <c r="D1940" s="1" t="s">
        <v>8504</v>
      </c>
      <c r="E1940" s="1" t="s">
        <v>8505</v>
      </c>
      <c r="F1940" s="4" t="s">
        <v>17</v>
      </c>
      <c r="G1940" s="1" t="s">
        <v>18</v>
      </c>
      <c r="H1940" s="1" t="s">
        <v>19</v>
      </c>
      <c r="I1940" s="1" t="s">
        <v>20</v>
      </c>
      <c r="J1940" s="1" t="s">
        <v>8506</v>
      </c>
      <c r="K1940" s="1" t="s">
        <v>22</v>
      </c>
      <c r="L1940" s="1" t="str">
        <f>HYPERLINK("https://files.afu.se/Downloads/Transcripts/0%20-%20Government/USA%20-%20NASA%20Johnson/2014 01 29 - NASA Johnson - Space Station Live  Fungal Response to Microgravity_y7fFtBqf_B0 - transcript (automated).pdf","Transcript Link")</f>
        <v>Transcript Link</v>
      </c>
      <c r="M1940" s="2" t="str">
        <f>HYPERLINK("https://files.afu.se/Downloads/Transcripts/0%20-%20Government/USA%20-%20NASA%20Johnson/2014 01 29 - NASA Johnson - Space Station Live  Fungal Response to Microgravity_y7fFtBqf_B0 - transcript (automated).pdf","Transcript Link")</f>
        <v>Transcript Link</v>
      </c>
    </row>
    <row r="1941" ht="180" spans="1:13">
      <c r="A1941" s="1" t="s">
        <v>8507</v>
      </c>
      <c r="B1941" s="1" t="s">
        <v>13</v>
      </c>
      <c r="C1941" s="4" t="s">
        <v>8508</v>
      </c>
      <c r="D1941" s="1" t="s">
        <v>8509</v>
      </c>
      <c r="E1941" s="1" t="s">
        <v>8510</v>
      </c>
      <c r="F1941" s="4" t="s">
        <v>17</v>
      </c>
      <c r="G1941" s="1" t="s">
        <v>18</v>
      </c>
      <c r="H1941" s="1" t="s">
        <v>19</v>
      </c>
      <c r="I1941" s="1" t="s">
        <v>20</v>
      </c>
      <c r="J1941" s="1" t="s">
        <v>8511</v>
      </c>
      <c r="K1941" s="1" t="s">
        <v>22</v>
      </c>
      <c r="L1941" s="1" t="str">
        <f>HYPERLINK("https://files.afu.se/Downloads/Transcripts/0%20-%20Government/USA%20-%20NASA%20Johnson/2014 01 24 - NASA Johnson - Space to Ground - 1 24 14_-qajQWiHBcU - transcript (automated).pdf","Transcript Link")</f>
        <v>Transcript Link</v>
      </c>
      <c r="M1941" s="2" t="str">
        <f>HYPERLINK("https://files.afu.se/Downloads/Transcripts/0%20-%20Government/USA%20-%20NASA%20Johnson/2014 01 24 - NASA Johnson - Space to Ground - 1 24 14_-qajQWiHBcU - transcript (automated).pdf","Transcript Link")</f>
        <v>Transcript Link</v>
      </c>
    </row>
    <row r="1942" ht="225" spans="1:13">
      <c r="A1942" s="1" t="s">
        <v>8512</v>
      </c>
      <c r="B1942" s="1" t="s">
        <v>13</v>
      </c>
      <c r="C1942" s="4" t="s">
        <v>8513</v>
      </c>
      <c r="D1942" s="1" t="s">
        <v>8514</v>
      </c>
      <c r="E1942" s="1" t="s">
        <v>8515</v>
      </c>
      <c r="F1942" s="4" t="s">
        <v>17</v>
      </c>
      <c r="G1942" s="1" t="s">
        <v>18</v>
      </c>
      <c r="H1942" s="1" t="s">
        <v>19</v>
      </c>
      <c r="I1942" s="1" t="s">
        <v>20</v>
      </c>
      <c r="J1942" s="1" t="s">
        <v>8516</v>
      </c>
      <c r="K1942" s="1" t="s">
        <v>22</v>
      </c>
      <c r="L1942" s="1" t="str">
        <f>HYPERLINK("https://files.afu.se/Downloads/Transcripts/0%20-%20Government/USA%20-%20NASA%20Johnson/2014 01 23 - NASA Johnson - Space Station Live  Studying The Risk of Visual Impairment in Space_uaK-XZfFF7M - transcript (automated).pdf","Transcript Link")</f>
        <v>Transcript Link</v>
      </c>
      <c r="M1942" s="2" t="str">
        <f>HYPERLINK("https://files.afu.se/Downloads/Transcripts/0%20-%20Government/USA%20-%20NASA%20Johnson/2014 01 23 - NASA Johnson - Space Station Live  Studying The Risk of Visual Impairment in Space_uaK-XZfFF7M - transcript (automated).pdf","Transcript Link")</f>
        <v>Transcript Link</v>
      </c>
    </row>
    <row r="1943" ht="180" spans="1:13">
      <c r="A1943" s="1" t="s">
        <v>8512</v>
      </c>
      <c r="B1943" s="1" t="s">
        <v>13</v>
      </c>
      <c r="C1943" s="4" t="s">
        <v>8517</v>
      </c>
      <c r="D1943" s="1" t="s">
        <v>8518</v>
      </c>
      <c r="E1943" s="1" t="s">
        <v>8519</v>
      </c>
      <c r="F1943" s="4" t="s">
        <v>17</v>
      </c>
      <c r="G1943" s="1" t="s">
        <v>18</v>
      </c>
      <c r="H1943" s="1" t="s">
        <v>19</v>
      </c>
      <c r="I1943" s="1" t="s">
        <v>20</v>
      </c>
      <c r="J1943" s="1" t="s">
        <v>8520</v>
      </c>
      <c r="K1943" s="1" t="s">
        <v>22</v>
      </c>
      <c r="L1943" s="1" t="str">
        <f>HYPERLINK("https://files.afu.se/Downloads/Transcripts/0%20-%20Government/USA%20-%20NASA%20Johnson/2014 01 23 - NASA Johnson - NASA Tests Orion Spacecraft Parachute Jettison Over Arizona_bKrbMCI4tbM - transcript (automated).pdf","Transcript Link")</f>
        <v>Transcript Link</v>
      </c>
      <c r="M1943" s="2" t="str">
        <f>HYPERLINK("https://files.afu.se/Downloads/Transcripts/0%20-%20Government/USA%20-%20NASA%20Johnson/2014 01 23 - NASA Johnson - NASA Tests Orion Spacecraft Parachute Jettison Over Arizona_bKrbMCI4tbM - transcript (automated).pdf","Transcript Link")</f>
        <v>Transcript Link</v>
      </c>
    </row>
    <row r="1944" ht="180" spans="1:13">
      <c r="A1944" s="1" t="s">
        <v>8512</v>
      </c>
      <c r="B1944" s="1" t="s">
        <v>13</v>
      </c>
      <c r="C1944" s="4" t="s">
        <v>8521</v>
      </c>
      <c r="D1944" s="1" t="s">
        <v>8518</v>
      </c>
      <c r="E1944" s="1" t="s">
        <v>8522</v>
      </c>
      <c r="F1944" s="4" t="s">
        <v>17</v>
      </c>
      <c r="G1944" s="1" t="s">
        <v>18</v>
      </c>
      <c r="H1944" s="1" t="s">
        <v>19</v>
      </c>
      <c r="I1944" s="1" t="s">
        <v>20</v>
      </c>
      <c r="J1944" s="1" t="s">
        <v>8523</v>
      </c>
      <c r="K1944" s="1" t="s">
        <v>22</v>
      </c>
      <c r="L1944" s="1" t="str">
        <f>HYPERLINK("https://files.afu.se/Downloads/Transcripts/0%20-%20Government/USA%20-%20NASA%20Johnson/2014 01 23 - NASA Johnson - NASA Tests Orion Spacecraft Parachute Jettison Over Arizona_YNVJOG2bK0w - transcript (automated).pdf","Transcript Link")</f>
        <v>Transcript Link</v>
      </c>
      <c r="M1944" s="2" t="str">
        <f>HYPERLINK("https://files.afu.se/Downloads/Transcripts/0%20-%20Government/USA%20-%20NASA%20Johnson/2014 01 23 - NASA Johnson - NASA Tests Orion Spacecraft Parachute Jettison Over Arizona_YNVJOG2bK0w - transcript (automated).pdf","Transcript Link")</f>
        <v>Transcript Link</v>
      </c>
    </row>
    <row r="1945" ht="180" spans="1:13">
      <c r="A1945" s="1" t="s">
        <v>8524</v>
      </c>
      <c r="B1945" s="1" t="s">
        <v>13</v>
      </c>
      <c r="C1945" s="4" t="s">
        <v>8525</v>
      </c>
      <c r="D1945" s="1" t="s">
        <v>8526</v>
      </c>
      <c r="E1945" s="1" t="s">
        <v>8527</v>
      </c>
      <c r="F1945" s="4" t="s">
        <v>17</v>
      </c>
      <c r="G1945" s="1" t="s">
        <v>18</v>
      </c>
      <c r="H1945" s="1" t="s">
        <v>19</v>
      </c>
      <c r="I1945" s="1" t="s">
        <v>20</v>
      </c>
      <c r="J1945" s="1" t="s">
        <v>8528</v>
      </c>
      <c r="K1945" s="1" t="s">
        <v>22</v>
      </c>
      <c r="L1945" s="1" t="str">
        <f>HYPERLINK("https://files.afu.se/Downloads/Transcripts/0%20-%20Government/USA%20-%20NASA%20Johnson/2014 01 22 - NASA Johnson - Expedition 39 Crew News Conference Introduction_d-wMXRPuPhI - transcript (automated).pdf","Transcript Link")</f>
        <v>Transcript Link</v>
      </c>
      <c r="M1945" s="2" t="str">
        <f>HYPERLINK("https://files.afu.se/Downloads/Transcripts/0%20-%20Government/USA%20-%20NASA%20Johnson/2014 01 22 - NASA Johnson - Expedition 39 Crew News Conference Introduction_d-wMXRPuPhI - transcript (automated).pdf","Transcript Link")</f>
        <v>Transcript Link</v>
      </c>
    </row>
    <row r="1946" ht="240" spans="1:13">
      <c r="A1946" s="1" t="s">
        <v>8524</v>
      </c>
      <c r="B1946" s="1" t="s">
        <v>13</v>
      </c>
      <c r="C1946" s="4" t="s">
        <v>8529</v>
      </c>
      <c r="D1946" s="1" t="s">
        <v>8530</v>
      </c>
      <c r="E1946" s="1" t="s">
        <v>8531</v>
      </c>
      <c r="F1946" s="4" t="s">
        <v>17</v>
      </c>
      <c r="G1946" s="1" t="s">
        <v>18</v>
      </c>
      <c r="H1946" s="1" t="s">
        <v>19</v>
      </c>
      <c r="I1946" s="1" t="s">
        <v>20</v>
      </c>
      <c r="J1946" s="1" t="s">
        <v>8532</v>
      </c>
      <c r="K1946" s="1" t="s">
        <v>22</v>
      </c>
      <c r="L1946" s="1" t="str">
        <f>HYPERLINK("https://files.afu.se/Downloads/Transcripts/0%20-%20Government/USA%20-%20NASA%20Johnson/2014 01 22 - NASA Johnson - Space Station Live  Studying Fire In Space (FLEX-2)_CE7Nz78rkfQ - transcript (automated).pdf","Transcript Link")</f>
        <v>Transcript Link</v>
      </c>
      <c r="M1946" s="2" t="str">
        <f>HYPERLINK("https://files.afu.se/Downloads/Transcripts/0%20-%20Government/USA%20-%20NASA%20Johnson/2014 01 22 - NASA Johnson - Space Station Live  Studying Fire In Space (FLEX-2)_CE7Nz78rkfQ - transcript (automated).pdf","Transcript Link")</f>
        <v>Transcript Link</v>
      </c>
    </row>
    <row r="1947" ht="180" spans="1:13">
      <c r="A1947" s="1" t="s">
        <v>8533</v>
      </c>
      <c r="B1947" s="1" t="s">
        <v>13</v>
      </c>
      <c r="C1947" s="4" t="s">
        <v>8534</v>
      </c>
      <c r="D1947" s="1" t="s">
        <v>8535</v>
      </c>
      <c r="E1947" s="1" t="s">
        <v>8536</v>
      </c>
      <c r="F1947" s="4" t="s">
        <v>17</v>
      </c>
      <c r="G1947" s="1" t="s">
        <v>18</v>
      </c>
      <c r="H1947" s="1" t="s">
        <v>19</v>
      </c>
      <c r="I1947" s="1" t="s">
        <v>20</v>
      </c>
      <c r="J1947" s="1" t="s">
        <v>8537</v>
      </c>
      <c r="K1947" s="1" t="s">
        <v>22</v>
      </c>
      <c r="L1947" s="1" t="str">
        <f>HYPERLINK("https://files.afu.se/Downloads/Transcripts/0%20-%20Government/USA%20-%20NASA%20Johnson/2014 01 17 - NASA Johnson - Space Station Live  Alvin Drew Discusses  Storytime From Space _Q_AGLeemYPg - transcript (automated).pdf","Transcript Link")</f>
        <v>Transcript Link</v>
      </c>
      <c r="M1947" s="2" t="str">
        <f>HYPERLINK("https://files.afu.se/Downloads/Transcripts/0%20-%20Government/USA%20-%20NASA%20Johnson/2014 01 17 - NASA Johnson - Space Station Live  Alvin Drew Discusses  Storytime From Space _Q_AGLeemYPg - transcript (automated).pdf","Transcript Link")</f>
        <v>Transcript Link</v>
      </c>
    </row>
    <row r="1948" ht="180" spans="1:13">
      <c r="A1948" s="1" t="s">
        <v>8533</v>
      </c>
      <c r="B1948" s="1" t="s">
        <v>13</v>
      </c>
      <c r="C1948" s="4" t="s">
        <v>8538</v>
      </c>
      <c r="D1948" s="1" t="s">
        <v>8539</v>
      </c>
      <c r="E1948" s="1" t="s">
        <v>8540</v>
      </c>
      <c r="F1948" s="4" t="s">
        <v>17</v>
      </c>
      <c r="G1948" s="1" t="s">
        <v>18</v>
      </c>
      <c r="H1948" s="1" t="s">
        <v>19</v>
      </c>
      <c r="I1948" s="1" t="s">
        <v>20</v>
      </c>
      <c r="J1948" s="1" t="s">
        <v>8541</v>
      </c>
      <c r="K1948" s="1" t="s">
        <v>22</v>
      </c>
      <c r="L1948" s="1" t="str">
        <f>HYPERLINK("https://files.afu.se/Downloads/Transcripts/0%20-%20Government/USA%20-%20NASA%20Johnson/2014 01 17 - NASA Johnson - Space to Ground - 1 17 14_o13ZdnvB8UQ - transcript (automated).pdf","Transcript Link")</f>
        <v>Transcript Link</v>
      </c>
      <c r="M1948" s="2" t="str">
        <f>HYPERLINK("https://files.afu.se/Downloads/Transcripts/0%20-%20Government/USA%20-%20NASA%20Johnson/2014 01 17 - NASA Johnson - Space to Ground - 1 17 14_o13ZdnvB8UQ - transcript (automated).pdf","Transcript Link")</f>
        <v>Transcript Link</v>
      </c>
    </row>
    <row r="1949" ht="375" spans="1:13">
      <c r="A1949" s="1" t="s">
        <v>8542</v>
      </c>
      <c r="B1949" s="1" t="s">
        <v>13</v>
      </c>
      <c r="C1949" s="4" t="s">
        <v>8543</v>
      </c>
      <c r="D1949" s="1" t="s">
        <v>8544</v>
      </c>
      <c r="E1949" s="1" t="s">
        <v>8545</v>
      </c>
      <c r="F1949" s="4" t="s">
        <v>17</v>
      </c>
      <c r="G1949" s="1" t="s">
        <v>18</v>
      </c>
      <c r="H1949" s="1" t="s">
        <v>19</v>
      </c>
      <c r="I1949" s="1" t="s">
        <v>20</v>
      </c>
      <c r="J1949" s="1" t="s">
        <v>8546</v>
      </c>
      <c r="K1949" s="1" t="s">
        <v>22</v>
      </c>
      <c r="L1949" s="1" t="str">
        <f>HYPERLINK("https://files.afu.se/Downloads/Transcripts/0%20-%20Government/USA%20-%20NASA%20Johnson/2014 01 16 - NASA Johnson - Astronaut Steve Swanson Profile_KU53X7O7z7w - transcript (automated).pdf","Transcript Link")</f>
        <v>Transcript Link</v>
      </c>
      <c r="M1949" s="2" t="str">
        <f>HYPERLINK("https://files.afu.se/Downloads/Transcripts/0%20-%20Government/USA%20-%20NASA%20Johnson/2014 01 16 - NASA Johnson - Astronaut Steve Swanson Profile_KU53X7O7z7w - transcript (automated).pdf","Transcript Link")</f>
        <v>Transcript Link</v>
      </c>
    </row>
    <row r="1950" ht="270" spans="1:13">
      <c r="A1950" s="1" t="s">
        <v>8547</v>
      </c>
      <c r="B1950" s="1" t="s">
        <v>13</v>
      </c>
      <c r="C1950" s="4" t="s">
        <v>8548</v>
      </c>
      <c r="D1950" s="1" t="s">
        <v>8549</v>
      </c>
      <c r="E1950" s="1" t="s">
        <v>8550</v>
      </c>
      <c r="F1950" s="4" t="s">
        <v>17</v>
      </c>
      <c r="G1950" s="1" t="s">
        <v>18</v>
      </c>
      <c r="H1950" s="1" t="s">
        <v>19</v>
      </c>
      <c r="I1950" s="1" t="s">
        <v>20</v>
      </c>
      <c r="J1950" s="1" t="s">
        <v>8551</v>
      </c>
      <c r="K1950" s="1" t="s">
        <v>22</v>
      </c>
      <c r="L1950" s="1" t="str">
        <f>HYPERLINK("https://files.afu.se/Downloads/Transcripts/0%20-%20Government/USA%20-%20NASA%20Johnson/2014 01 15 - NASA Johnson - Robonaut Supports Telemedicine Advances_9gbfL590Fgg - transcript (automated).pdf","Transcript Link")</f>
        <v>Transcript Link</v>
      </c>
      <c r="M1950" s="2" t="str">
        <f>HYPERLINK("https://files.afu.se/Downloads/Transcripts/0%20-%20Government/USA%20-%20NASA%20Johnson/2014 01 15 - NASA Johnson - Robonaut Supports Telemedicine Advances_9gbfL590Fgg - transcript (automated).pdf","Transcript Link")</f>
        <v>Transcript Link</v>
      </c>
    </row>
    <row r="1951" ht="180" spans="1:13">
      <c r="A1951" s="1" t="s">
        <v>8547</v>
      </c>
      <c r="B1951" s="1" t="s">
        <v>13</v>
      </c>
      <c r="C1951" s="4" t="s">
        <v>8552</v>
      </c>
      <c r="D1951" s="1" t="s">
        <v>8553</v>
      </c>
      <c r="E1951" s="1" t="s">
        <v>8554</v>
      </c>
      <c r="F1951" s="4" t="s">
        <v>17</v>
      </c>
      <c r="G1951" s="1" t="s">
        <v>18</v>
      </c>
      <c r="H1951" s="1" t="s">
        <v>19</v>
      </c>
      <c r="I1951" s="1" t="s">
        <v>20</v>
      </c>
      <c r="J1951" s="1" t="s">
        <v>8555</v>
      </c>
      <c r="K1951" s="1" t="s">
        <v>22</v>
      </c>
      <c r="L1951" s="1" t="str">
        <f>HYPERLINK("https://files.afu.se/Downloads/Transcripts/0%20-%20Government/USA%20-%20NASA%20Johnson/2014 01 15 - NASA Johnson - Space Station Live  Space Imagery for Environmental Monitoring_TASn98HkJfk - transcript (automated).pdf","Transcript Link")</f>
        <v>Transcript Link</v>
      </c>
      <c r="M1951" s="2" t="str">
        <f>HYPERLINK("https://files.afu.se/Downloads/Transcripts/0%20-%20Government/USA%20-%20NASA%20Johnson/2014 01 15 - NASA Johnson - Space Station Live  Space Imagery for Environmental Monitoring_TASn98HkJfk - transcript (automated).pdf","Transcript Link")</f>
        <v>Transcript Link</v>
      </c>
    </row>
    <row r="1952" ht="270" spans="1:13">
      <c r="A1952" s="1" t="s">
        <v>8547</v>
      </c>
      <c r="B1952" s="1" t="s">
        <v>13</v>
      </c>
      <c r="C1952" s="4" t="s">
        <v>8556</v>
      </c>
      <c r="D1952" s="1" t="s">
        <v>8557</v>
      </c>
      <c r="E1952" s="1" t="s">
        <v>8558</v>
      </c>
      <c r="F1952" s="4" t="s">
        <v>17</v>
      </c>
      <c r="G1952" s="1" t="s">
        <v>18</v>
      </c>
      <c r="H1952" s="1" t="s">
        <v>19</v>
      </c>
      <c r="I1952" s="1" t="s">
        <v>20</v>
      </c>
      <c r="J1952" s="1" t="s">
        <v>8559</v>
      </c>
      <c r="K1952" s="1" t="s">
        <v>22</v>
      </c>
      <c r="L1952" s="1" t="str">
        <f>HYPERLINK("https://files.afu.se/Downloads/Transcripts/0%20-%20Government/USA%20-%20NASA%20Johnson/2014 01 15 - NASA Johnson - Space Station Live  Ants in Space_hfJ5SI0ee-M - transcript (automated).pdf","Transcript Link")</f>
        <v>Transcript Link</v>
      </c>
      <c r="M1952" s="2" t="str">
        <f>HYPERLINK("https://files.afu.se/Downloads/Transcripts/0%20-%20Government/USA%20-%20NASA%20Johnson/2014 01 15 - NASA Johnson - Space Station Live  Ants in Space_hfJ5SI0ee-M - transcript (automated).pdf","Transcript Link")</f>
        <v>Transcript Link</v>
      </c>
    </row>
    <row r="1953" ht="180" spans="1:13">
      <c r="A1953" s="1" t="s">
        <v>8547</v>
      </c>
      <c r="B1953" s="1" t="s">
        <v>13</v>
      </c>
      <c r="C1953" s="4" t="s">
        <v>8560</v>
      </c>
      <c r="D1953" s="1" t="s">
        <v>8561</v>
      </c>
      <c r="E1953" s="1" t="s">
        <v>7490</v>
      </c>
      <c r="F1953" s="4" t="s">
        <v>17</v>
      </c>
      <c r="G1953" s="1" t="s">
        <v>18</v>
      </c>
      <c r="H1953" s="1" t="s">
        <v>19</v>
      </c>
      <c r="I1953" s="1" t="s">
        <v>20</v>
      </c>
      <c r="J1953" s="1" t="s">
        <v>8562</v>
      </c>
      <c r="K1953" s="1" t="s">
        <v>22</v>
      </c>
      <c r="L1953" s="1" t="str">
        <f>HYPERLINK("https://files.afu.se/Downloads/Transcripts/0%20-%20Government/USA%20-%20NASA%20Johnson/2014 01 15 - NASA Johnson - Preparing America for Deep Space Exploration  Episode 4_B2vAK6qlNaw - transcript (automated).pdf","Transcript Link")</f>
        <v>Transcript Link</v>
      </c>
      <c r="M1953" s="2" t="str">
        <f>HYPERLINK("https://files.afu.se/Downloads/Transcripts/0%20-%20Government/USA%20-%20NASA%20Johnson/2014 01 15 - NASA Johnson - Preparing America for Deep Space Exploration  Episode 4_B2vAK6qlNaw - transcript (automated).pdf","Transcript Link")</f>
        <v>Transcript Link</v>
      </c>
    </row>
    <row r="1954" ht="180" spans="1:13">
      <c r="A1954" s="1" t="s">
        <v>8563</v>
      </c>
      <c r="B1954" s="1" t="s">
        <v>13</v>
      </c>
      <c r="C1954" s="4" t="s">
        <v>8564</v>
      </c>
      <c r="D1954" s="1" t="s">
        <v>8565</v>
      </c>
      <c r="E1954" s="1" t="s">
        <v>8566</v>
      </c>
      <c r="F1954" s="4" t="s">
        <v>17</v>
      </c>
      <c r="G1954" s="1" t="s">
        <v>18</v>
      </c>
      <c r="H1954" s="1" t="s">
        <v>19</v>
      </c>
      <c r="I1954" s="1" t="s">
        <v>20</v>
      </c>
      <c r="J1954" s="1" t="s">
        <v>8567</v>
      </c>
      <c r="K1954" s="1" t="s">
        <v>22</v>
      </c>
      <c r="L1954" s="1" t="str">
        <f>HYPERLINK("https://files.afu.se/Downloads/Transcripts/0%20-%20Government/USA%20-%20NASA%20Johnson/2014 01 13 - NASA Johnson - The ISS SPHERES Facility_76KN-AUUd1w - transcript (automated).pdf","Transcript Link")</f>
        <v>Transcript Link</v>
      </c>
      <c r="M1954" s="2" t="str">
        <f>HYPERLINK("https://files.afu.se/Downloads/Transcripts/0%20-%20Government/USA%20-%20NASA%20Johnson/2014 01 13 - NASA Johnson - The ISS SPHERES Facility_76KN-AUUd1w - transcript (automated).pdf","Transcript Link")</f>
        <v>Transcript Link</v>
      </c>
    </row>
    <row r="1955" ht="180" spans="1:13">
      <c r="A1955" s="1" t="s">
        <v>8568</v>
      </c>
      <c r="B1955" s="1" t="s">
        <v>13</v>
      </c>
      <c r="C1955" s="4" t="s">
        <v>8569</v>
      </c>
      <c r="D1955" s="1" t="s">
        <v>8570</v>
      </c>
      <c r="E1955" s="1" t="s">
        <v>8571</v>
      </c>
      <c r="F1955" s="4" t="s">
        <v>17</v>
      </c>
      <c r="G1955" s="1" t="s">
        <v>18</v>
      </c>
      <c r="H1955" s="1" t="s">
        <v>19</v>
      </c>
      <c r="I1955" s="1" t="s">
        <v>20</v>
      </c>
      <c r="J1955" s="1" t="s">
        <v>8572</v>
      </c>
      <c r="K1955" s="1" t="s">
        <v>22</v>
      </c>
      <c r="L1955" s="1" t="str">
        <f>HYPERLINK("https://files.afu.se/Downloads/Transcripts/0%20-%20Government/USA%20-%20NASA%20Johnson/2014 01 10 - NASA Johnson - Space Station Live  Science Aboard Cygnus_qX4M37GKd5A - transcript (automated).pdf","Transcript Link")</f>
        <v>Transcript Link</v>
      </c>
      <c r="M1955" s="2" t="str">
        <f>HYPERLINK("https://files.afu.se/Downloads/Transcripts/0%20-%20Government/USA%20-%20NASA%20Johnson/2014 01 10 - NASA Johnson - Space Station Live  Science Aboard Cygnus_qX4M37GKd5A - transcript (automated).pdf","Transcript Link")</f>
        <v>Transcript Link</v>
      </c>
    </row>
    <row r="1956" ht="210" spans="1:13">
      <c r="A1956" s="1" t="s">
        <v>8568</v>
      </c>
      <c r="B1956" s="1" t="s">
        <v>13</v>
      </c>
      <c r="C1956" s="4" t="s">
        <v>8573</v>
      </c>
      <c r="D1956" s="1" t="s">
        <v>8574</v>
      </c>
      <c r="E1956" s="1" t="s">
        <v>8575</v>
      </c>
      <c r="F1956" s="4" t="s">
        <v>17</v>
      </c>
      <c r="G1956" s="1" t="s">
        <v>18</v>
      </c>
      <c r="H1956" s="1" t="s">
        <v>19</v>
      </c>
      <c r="I1956" s="1" t="s">
        <v>20</v>
      </c>
      <c r="J1956" s="1" t="s">
        <v>8576</v>
      </c>
      <c r="K1956" s="1" t="s">
        <v>22</v>
      </c>
      <c r="L1956" s="1" t="str">
        <f>HYPERLINK("https://files.afu.se/Downloads/Transcripts/0%20-%20Government/USA%20-%20NASA%20Johnson/2014 01 10 - NASA Johnson - Space to Ground - 1 10 14_7xdVjbQJowc - transcript (automated).pdf","Transcript Link")</f>
        <v>Transcript Link</v>
      </c>
      <c r="M1956" s="2" t="str">
        <f>HYPERLINK("https://files.afu.se/Downloads/Transcripts/0%20-%20Government/USA%20-%20NASA%20Johnson/2014 01 10 - NASA Johnson - Space to Ground - 1 10 14_7xdVjbQJowc - transcript (automated).pdf","Transcript Link")</f>
        <v>Transcript Link</v>
      </c>
    </row>
    <row r="1957" ht="285" spans="1:13">
      <c r="A1957" s="1" t="s">
        <v>8577</v>
      </c>
      <c r="B1957" s="1" t="s">
        <v>13</v>
      </c>
      <c r="C1957" s="4" t="s">
        <v>8578</v>
      </c>
      <c r="D1957" s="1" t="s">
        <v>8579</v>
      </c>
      <c r="E1957" s="1" t="s">
        <v>8580</v>
      </c>
      <c r="F1957" s="4" t="s">
        <v>17</v>
      </c>
      <c r="G1957" s="1" t="s">
        <v>18</v>
      </c>
      <c r="H1957" s="1" t="s">
        <v>19</v>
      </c>
      <c r="I1957" s="1" t="s">
        <v>20</v>
      </c>
      <c r="J1957" s="1" t="s">
        <v>8581</v>
      </c>
      <c r="K1957" s="1" t="s">
        <v>22</v>
      </c>
      <c r="L1957" s="1" t="str">
        <f>HYPERLINK("https://files.afu.se/Downloads/Transcripts/0%20-%20Government/USA%20-%20NASA%20Johnson/2014 01 09 - NASA Johnson - Robonaut Legs In Motion_12iayXdNTdM - transcript (automated).pdf","Transcript Link")</f>
        <v>Transcript Link</v>
      </c>
      <c r="M1957" s="2" t="str">
        <f>HYPERLINK("https://files.afu.se/Downloads/Transcripts/0%20-%20Government/USA%20-%20NASA%20Johnson/2014 01 09 - NASA Johnson - Robonaut Legs In Motion_12iayXdNTdM - transcript (automated).pdf","Transcript Link")</f>
        <v>Transcript Link</v>
      </c>
    </row>
    <row r="1958" ht="180" spans="1:13">
      <c r="A1958" s="1" t="s">
        <v>8577</v>
      </c>
      <c r="B1958" s="1" t="s">
        <v>13</v>
      </c>
      <c r="C1958" s="4" t="s">
        <v>8582</v>
      </c>
      <c r="D1958" s="1" t="s">
        <v>8583</v>
      </c>
      <c r="E1958" s="1" t="s">
        <v>8584</v>
      </c>
      <c r="F1958" s="4" t="s">
        <v>17</v>
      </c>
      <c r="G1958" s="1" t="s">
        <v>18</v>
      </c>
      <c r="H1958" s="1" t="s">
        <v>19</v>
      </c>
      <c r="I1958" s="1" t="s">
        <v>20</v>
      </c>
      <c r="J1958" s="1" t="s">
        <v>8585</v>
      </c>
      <c r="K1958" s="1" t="s">
        <v>22</v>
      </c>
      <c r="L1958" s="1" t="str">
        <f>HYPERLINK("https://files.afu.se/Downloads/Transcripts/0%20-%20Government/USA%20-%20NASA%20Johnson/2014 01 09 - NASA Johnson - Space Station Live  Student Science Heading to Space Aboard Cygnus_A_XRPNRySJg - transcript (automated).pdf","Transcript Link")</f>
        <v>Transcript Link</v>
      </c>
      <c r="M1958" s="2" t="str">
        <f>HYPERLINK("https://files.afu.se/Downloads/Transcripts/0%20-%20Government/USA%20-%20NASA%20Johnson/2014 01 09 - NASA Johnson - Space Station Live  Student Science Heading to Space Aboard Cygnus_A_XRPNRySJg - transcript (automated).pdf","Transcript Link")</f>
        <v>Transcript Link</v>
      </c>
    </row>
    <row r="1959" ht="255" spans="1:13">
      <c r="A1959" s="1" t="s">
        <v>8586</v>
      </c>
      <c r="B1959" s="1" t="s">
        <v>13</v>
      </c>
      <c r="C1959" s="4" t="s">
        <v>8587</v>
      </c>
      <c r="D1959" s="1" t="s">
        <v>8588</v>
      </c>
      <c r="E1959" s="1" t="s">
        <v>8589</v>
      </c>
      <c r="F1959" s="4" t="s">
        <v>17</v>
      </c>
      <c r="G1959" s="1" t="s">
        <v>18</v>
      </c>
      <c r="H1959" s="1" t="s">
        <v>19</v>
      </c>
      <c r="I1959" s="1" t="s">
        <v>20</v>
      </c>
      <c r="J1959" s="1" t="s">
        <v>8590</v>
      </c>
      <c r="K1959" s="1" t="s">
        <v>22</v>
      </c>
      <c r="L1959" s="1" t="str">
        <f>HYPERLINK("https://files.afu.se/Downloads/Transcripts/0%20-%20Government/USA%20-%20NASA%20Johnson/2014 01 07 - NASA Johnson - Crew Quarters Tour Inside the Space Station_JZ7n24CtEFw - transcript (automated).pdf","Transcript Link")</f>
        <v>Transcript Link</v>
      </c>
      <c r="M1959" s="2" t="str">
        <f>HYPERLINK("https://files.afu.se/Downloads/Transcripts/0%20-%20Government/USA%20-%20NASA%20Johnson/2014 01 07 - NASA Johnson - Crew Quarters Tour Inside the Space Station_JZ7n24CtEFw - transcript (automated).pdf","Transcript Link")</f>
        <v>Transcript Link</v>
      </c>
    </row>
    <row r="1960" ht="180" spans="1:13">
      <c r="A1960" s="1" t="s">
        <v>8591</v>
      </c>
      <c r="B1960" s="1" t="s">
        <v>13</v>
      </c>
      <c r="C1960" s="4" t="s">
        <v>8592</v>
      </c>
      <c r="D1960" s="1" t="s">
        <v>8593</v>
      </c>
      <c r="E1960" s="1" t="s">
        <v>8594</v>
      </c>
      <c r="F1960" s="4" t="s">
        <v>17</v>
      </c>
      <c r="G1960" s="1" t="s">
        <v>18</v>
      </c>
      <c r="H1960" s="1" t="s">
        <v>19</v>
      </c>
      <c r="I1960" s="1" t="s">
        <v>20</v>
      </c>
      <c r="J1960" s="1" t="s">
        <v>8595</v>
      </c>
      <c r="K1960" s="1" t="s">
        <v>22</v>
      </c>
      <c r="L1960" s="1" t="str">
        <f>HYPERLINK("https://files.afu.se/Downloads/Transcripts/0%20-%20Government/USA%20-%20NASA%20Johnson/2014 01 06 - NASA Johnson - Johnson Space Center 2013 Highlights_sMRD5cwW9Mk - transcript (automated).pdf","Transcript Link")</f>
        <v>Transcript Link</v>
      </c>
      <c r="M1960" s="2" t="str">
        <f>HYPERLINK("https://files.afu.se/Downloads/Transcripts/0%20-%20Government/USA%20-%20NASA%20Johnson/2014 01 06 - NASA Johnson - Johnson Space Center 2013 Highlights_sMRD5cwW9Mk - transcript (automated).pdf","Transcript Link")</f>
        <v>Transcript Link</v>
      </c>
    </row>
    <row r="1961" ht="180" spans="1:13">
      <c r="A1961" s="1" t="s">
        <v>8596</v>
      </c>
      <c r="B1961" s="1" t="s">
        <v>13</v>
      </c>
      <c r="C1961" s="4" t="s">
        <v>8597</v>
      </c>
      <c r="D1961" s="1" t="s">
        <v>8598</v>
      </c>
      <c r="E1961" s="1" t="s">
        <v>8599</v>
      </c>
      <c r="F1961" s="4" t="s">
        <v>17</v>
      </c>
      <c r="G1961" s="1" t="s">
        <v>18</v>
      </c>
      <c r="H1961" s="1" t="s">
        <v>19</v>
      </c>
      <c r="I1961" s="1" t="s">
        <v>20</v>
      </c>
      <c r="J1961" s="1" t="s">
        <v>8600</v>
      </c>
      <c r="K1961" s="1" t="s">
        <v>22</v>
      </c>
      <c r="L1961" s="1" t="str">
        <f>HYPERLINK("https://files.afu.se/Downloads/Transcripts/0%20-%20Government/USA%20-%20NASA%20Johnson/2014 01 03 - NASA Johnson - Space Station Live  Orion Update From Astronaut Lee Morin_22I7XzXCTr4 - transcript (automated).pdf","Transcript Link")</f>
        <v>Transcript Link</v>
      </c>
      <c r="M1961" s="2" t="str">
        <f>HYPERLINK("https://files.afu.se/Downloads/Transcripts/0%20-%20Government/USA%20-%20NASA%20Johnson/2014 01 03 - NASA Johnson - Space Station Live  Orion Update From Astronaut Lee Morin_22I7XzXCTr4 - transcript (automated).pdf","Transcript Link")</f>
        <v>Transcript Link</v>
      </c>
    </row>
    <row r="1962" ht="180" spans="1:13">
      <c r="A1962" s="1" t="s">
        <v>8601</v>
      </c>
      <c r="B1962" s="1" t="s">
        <v>13</v>
      </c>
      <c r="C1962" s="4" t="s">
        <v>8602</v>
      </c>
      <c r="D1962" s="1" t="s">
        <v>8603</v>
      </c>
      <c r="E1962" s="1" t="s">
        <v>8604</v>
      </c>
      <c r="F1962" s="4" t="s">
        <v>17</v>
      </c>
      <c r="G1962" s="1" t="s">
        <v>18</v>
      </c>
      <c r="H1962" s="1" t="s">
        <v>19</v>
      </c>
      <c r="I1962" s="1" t="s">
        <v>20</v>
      </c>
      <c r="J1962" s="1" t="s">
        <v>8605</v>
      </c>
      <c r="K1962" s="1" t="s">
        <v>22</v>
      </c>
      <c r="L1962" s="1" t="str">
        <f>HYPERLINK("https://files.afu.se/Downloads/Transcripts/0%20-%20Government/USA%20-%20NASA%20Johnson/2014 01 02 - NASA Johnson - Space Station Live  Science for 2014_zoUEhbEGLiQ - transcript (automated).pdf","Transcript Link")</f>
        <v>Transcript Link</v>
      </c>
      <c r="M1962" s="2" t="str">
        <f>HYPERLINK("https://files.afu.se/Downloads/Transcripts/0%20-%20Government/USA%20-%20NASA%20Johnson/2014 01 02 - NASA Johnson - Space Station Live  Science for 2014_zoUEhbEGLiQ - transcript (automated).pdf","Transcript Link")</f>
        <v>Transcript Link</v>
      </c>
    </row>
    <row r="1963" ht="225" spans="1:13">
      <c r="A1963" s="1" t="s">
        <v>8606</v>
      </c>
      <c r="B1963" s="1" t="s">
        <v>13</v>
      </c>
      <c r="C1963" s="4" t="s">
        <v>8607</v>
      </c>
      <c r="D1963" s="1" t="s">
        <v>8608</v>
      </c>
      <c r="E1963" s="1" t="s">
        <v>8609</v>
      </c>
      <c r="F1963" s="4" t="s">
        <v>17</v>
      </c>
      <c r="G1963" s="1" t="s">
        <v>18</v>
      </c>
      <c r="H1963" s="1" t="s">
        <v>19</v>
      </c>
      <c r="I1963" s="1" t="s">
        <v>20</v>
      </c>
      <c r="J1963" s="1" t="s">
        <v>8610</v>
      </c>
      <c r="K1963" s="1" t="s">
        <v>22</v>
      </c>
      <c r="L1963" s="1" t="str">
        <f>HYPERLINK("https://files.afu.se/Downloads/Transcripts/0%20-%20Government/USA%20-%20NASA%20Johnson/2013 12 27 - NASA Johnson - Space to Ground - 12 27 13_HkdpC3ehIpk - transcript (automated).pdf","Transcript Link")</f>
        <v>Transcript Link</v>
      </c>
      <c r="M1963" s="2" t="str">
        <f>HYPERLINK("https://files.afu.se/Downloads/Transcripts/0%20-%20Government/USA%20-%20NASA%20Johnson/2013 12 27 - NASA Johnson - Space to Ground - 12 27 13_HkdpC3ehIpk - transcript (automated).pdf","Transcript Link")</f>
        <v>Transcript Link</v>
      </c>
    </row>
    <row r="1964" ht="180" spans="1:13">
      <c r="A1964" s="1" t="s">
        <v>8606</v>
      </c>
      <c r="B1964" s="1" t="s">
        <v>13</v>
      </c>
      <c r="C1964" s="4" t="s">
        <v>8611</v>
      </c>
      <c r="D1964" s="1" t="s">
        <v>8612</v>
      </c>
      <c r="E1964" s="1" t="s">
        <v>8613</v>
      </c>
      <c r="F1964" s="4" t="s">
        <v>17</v>
      </c>
      <c r="G1964" s="1" t="s">
        <v>18</v>
      </c>
      <c r="H1964" s="1" t="s">
        <v>19</v>
      </c>
      <c r="I1964" s="1" t="s">
        <v>20</v>
      </c>
      <c r="J1964" s="1" t="s">
        <v>8614</v>
      </c>
      <c r="K1964" s="1" t="s">
        <v>22</v>
      </c>
      <c r="L1964" s="1" t="str">
        <f>HYPERLINK("https://files.afu.se/Downloads/Transcripts/0%20-%20Government/USA%20-%20NASA%20Johnson/2013 12 27 - NASA Johnson - Russian Spacewalk at Space Station_a9cgSDGlzgA - transcript (automated).pdf","Transcript Link")</f>
        <v>Transcript Link</v>
      </c>
      <c r="M1964" s="2" t="str">
        <f>HYPERLINK("https://files.afu.se/Downloads/Transcripts/0%20-%20Government/USA%20-%20NASA%20Johnson/2013 12 27 - NASA Johnson - Russian Spacewalk at Space Station_a9cgSDGlzgA - transcript (automated).pdf","Transcript Link")</f>
        <v>Transcript Link</v>
      </c>
    </row>
    <row r="1965" ht="409.5" spans="1:13">
      <c r="A1965" s="1" t="s">
        <v>8615</v>
      </c>
      <c r="B1965" s="1" t="s">
        <v>13</v>
      </c>
      <c r="C1965" s="4" t="s">
        <v>8616</v>
      </c>
      <c r="D1965" s="1" t="s">
        <v>8617</v>
      </c>
      <c r="E1965" s="1" t="s">
        <v>8618</v>
      </c>
      <c r="F1965" s="4" t="s">
        <v>17</v>
      </c>
      <c r="G1965" s="1" t="s">
        <v>18</v>
      </c>
      <c r="H1965" s="1" t="s">
        <v>19</v>
      </c>
      <c r="I1965" s="1" t="s">
        <v>20</v>
      </c>
      <c r="J1965" s="1" t="s">
        <v>8619</v>
      </c>
      <c r="K1965" s="1" t="s">
        <v>22</v>
      </c>
      <c r="L1965" s="1" t="str">
        <f>HYPERLINK("https://files.afu.se/Downloads/Transcripts/0%20-%20Government/USA%20-%20NASA%20Johnson/2013 12 24 - NASA Johnson - Space Station Research  Top Ten Results (Part 2)_TBPjod1F3M8 - transcript (automated).pdf","Transcript Link")</f>
        <v>Transcript Link</v>
      </c>
      <c r="M1965" s="2" t="str">
        <f>HYPERLINK("https://files.afu.se/Downloads/Transcripts/0%20-%20Government/USA%20-%20NASA%20Johnson/2013 12 24 - NASA Johnson - Space Station Research  Top Ten Results (Part 2)_TBPjod1F3M8 - transcript (automated).pdf","Transcript Link")</f>
        <v>Transcript Link</v>
      </c>
    </row>
    <row r="1966" ht="409.5" spans="1:13">
      <c r="A1966" s="1" t="s">
        <v>8615</v>
      </c>
      <c r="B1966" s="1" t="s">
        <v>13</v>
      </c>
      <c r="C1966" s="4" t="s">
        <v>8620</v>
      </c>
      <c r="D1966" s="1" t="s">
        <v>8621</v>
      </c>
      <c r="E1966" s="1" t="s">
        <v>8622</v>
      </c>
      <c r="F1966" s="4" t="s">
        <v>17</v>
      </c>
      <c r="G1966" s="1" t="s">
        <v>18</v>
      </c>
      <c r="H1966" s="1" t="s">
        <v>19</v>
      </c>
      <c r="I1966" s="1" t="s">
        <v>20</v>
      </c>
      <c r="J1966" s="1" t="s">
        <v>8623</v>
      </c>
      <c r="K1966" s="1" t="s">
        <v>22</v>
      </c>
      <c r="L1966" s="1" t="str">
        <f>HYPERLINK("https://files.afu.se/Downloads/Transcripts/0%20-%20Government/USA%20-%20NASA%20Johnson/2013 12 24 - NASA Johnson - Space Station Research  Top Ten Results (Part 1)_aVjvhbkYwkA - transcript (automated).pdf","Transcript Link")</f>
        <v>Transcript Link</v>
      </c>
      <c r="M1966" s="2" t="str">
        <f>HYPERLINK("https://files.afu.se/Downloads/Transcripts/0%20-%20Government/USA%20-%20NASA%20Johnson/2013 12 24 - NASA Johnson - Space Station Research  Top Ten Results (Part 1)_aVjvhbkYwkA - transcript (automated).pdf","Transcript Link")</f>
        <v>Transcript Link</v>
      </c>
    </row>
    <row r="1967" ht="180" spans="1:13">
      <c r="A1967" s="1" t="s">
        <v>8624</v>
      </c>
      <c r="B1967" s="1" t="s">
        <v>13</v>
      </c>
      <c r="C1967" s="4" t="s">
        <v>8625</v>
      </c>
      <c r="D1967" s="1" t="s">
        <v>8626</v>
      </c>
      <c r="E1967" s="1" t="s">
        <v>8627</v>
      </c>
      <c r="F1967" s="4" t="s">
        <v>17</v>
      </c>
      <c r="G1967" s="1" t="s">
        <v>18</v>
      </c>
      <c r="H1967" s="1" t="s">
        <v>19</v>
      </c>
      <c r="I1967" s="1" t="s">
        <v>20</v>
      </c>
      <c r="J1967" s="1" t="s">
        <v>8628</v>
      </c>
      <c r="K1967" s="1" t="s">
        <v>22</v>
      </c>
      <c r="L1967" s="1" t="str">
        <f>HYPERLINK("https://files.afu.se/Downloads/Transcripts/0%20-%20Government/USA%20-%20NASA%20Johnson/2013 12 23 - NASA Johnson - Space Station Live  Doug Wheelock Talks About Repair Spacewalks_jwMZ43StsTY - transcript (automated).pdf","Transcript Link")</f>
        <v>Transcript Link</v>
      </c>
      <c r="M1967" s="2" t="str">
        <f>HYPERLINK("https://files.afu.se/Downloads/Transcripts/0%20-%20Government/USA%20-%20NASA%20Johnson/2013 12 23 - NASA Johnson - Space Station Live  Doug Wheelock Talks About Repair Spacewalks_jwMZ43StsTY - transcript (automated).pdf","Transcript Link")</f>
        <v>Transcript Link</v>
      </c>
    </row>
    <row r="1968" ht="180" spans="1:13">
      <c r="A1968" s="1" t="s">
        <v>8624</v>
      </c>
      <c r="B1968" s="1" t="s">
        <v>13</v>
      </c>
      <c r="C1968" s="4" t="s">
        <v>8629</v>
      </c>
      <c r="D1968" s="1" t="s">
        <v>8630</v>
      </c>
      <c r="E1968" s="1" t="s">
        <v>8631</v>
      </c>
      <c r="F1968" s="4" t="s">
        <v>17</v>
      </c>
      <c r="G1968" s="1" t="s">
        <v>18</v>
      </c>
      <c r="H1968" s="1" t="s">
        <v>19</v>
      </c>
      <c r="I1968" s="1" t="s">
        <v>20</v>
      </c>
      <c r="J1968" s="1" t="s">
        <v>8632</v>
      </c>
      <c r="K1968" s="1" t="s">
        <v>22</v>
      </c>
      <c r="L1968" s="1" t="str">
        <f>HYPERLINK("https://files.afu.se/Downloads/Transcripts/0%20-%20Government/USA%20-%20NASA%20Johnson/2013 12 23 - NASA Johnson - TLA 12 Days of Astronaut Fitness_mbA2j3UwIhc - transcript (automated).pdf","Transcript Link")</f>
        <v>Transcript Link</v>
      </c>
      <c r="M1968" s="2" t="str">
        <f>HYPERLINK("https://files.afu.se/Downloads/Transcripts/0%20-%20Government/USA%20-%20NASA%20Johnson/2013 12 23 - NASA Johnson - TLA 12 Days of Astronaut Fitness_mbA2j3UwIhc - transcript (automated).pdf","Transcript Link")</f>
        <v>Transcript Link</v>
      </c>
    </row>
    <row r="1969" ht="180" spans="1:13">
      <c r="A1969" s="1" t="s">
        <v>8624</v>
      </c>
      <c r="B1969" s="1" t="s">
        <v>13</v>
      </c>
      <c r="C1969" s="4" t="s">
        <v>8633</v>
      </c>
      <c r="D1969" s="1" t="s">
        <v>8634</v>
      </c>
      <c r="E1969" s="1" t="s">
        <v>8635</v>
      </c>
      <c r="F1969" s="4" t="s">
        <v>17</v>
      </c>
      <c r="G1969" s="1" t="s">
        <v>18</v>
      </c>
      <c r="H1969" s="1" t="s">
        <v>19</v>
      </c>
      <c r="I1969" s="1" t="s">
        <v>20</v>
      </c>
      <c r="J1969" s="1" t="s">
        <v>8636</v>
      </c>
      <c r="K1969" s="1" t="s">
        <v>22</v>
      </c>
      <c r="L1969" s="1" t="str">
        <f>HYPERLINK("https://files.afu.se/Downloads/Transcripts/0%20-%20Government/USA%20-%20NASA%20Johnson/2013 12 23 - NASA Johnson - Space Station Live  Flight Director Judd Frieling Discusses Repair Spacewalks_LxLrP8KPfPg - transcript (automated).pdf","Transcript Link")</f>
        <v>Transcript Link</v>
      </c>
      <c r="M1969" s="2" t="str">
        <f>HYPERLINK("https://files.afu.se/Downloads/Transcripts/0%20-%20Government/USA%20-%20NASA%20Johnson/2013 12 23 - NASA Johnson - Space Station Live  Flight Director Judd Frieling Discusses Repair Spacewalks_LxLrP8KPfPg - transcript (automated).pdf","Transcript Link")</f>
        <v>Transcript Link</v>
      </c>
    </row>
    <row r="1970" ht="210" spans="1:13">
      <c r="A1970" s="1" t="s">
        <v>8637</v>
      </c>
      <c r="B1970" s="1" t="s">
        <v>13</v>
      </c>
      <c r="C1970" s="4" t="s">
        <v>8638</v>
      </c>
      <c r="D1970" s="1" t="s">
        <v>8639</v>
      </c>
      <c r="E1970" s="1" t="s">
        <v>8640</v>
      </c>
      <c r="F1970" s="4" t="s">
        <v>17</v>
      </c>
      <c r="G1970" s="1" t="s">
        <v>18</v>
      </c>
      <c r="H1970" s="1" t="s">
        <v>19</v>
      </c>
      <c r="I1970" s="1" t="s">
        <v>20</v>
      </c>
      <c r="J1970" s="1" t="s">
        <v>8641</v>
      </c>
      <c r="K1970" s="1" t="s">
        <v>22</v>
      </c>
      <c r="L1970" s="1" t="str">
        <f>HYPERLINK("https://files.afu.se/Downloads/Transcripts/0%20-%20Government/USA%20-%20NASA%20Johnson/2013 12 20 - NASA Johnson - Space to Ground - 12 20 13_8DZ2DS8O4pU - transcript (automated).pdf","Transcript Link")</f>
        <v>Transcript Link</v>
      </c>
      <c r="M1970" s="2" t="str">
        <f>HYPERLINK("https://files.afu.se/Downloads/Transcripts/0%20-%20Government/USA%20-%20NASA%20Johnson/2013 12 20 - NASA Johnson - Space to Ground - 12 20 13_8DZ2DS8O4pU - transcript (automated).pdf","Transcript Link")</f>
        <v>Transcript Link</v>
      </c>
    </row>
    <row r="1971" ht="180" spans="1:13">
      <c r="A1971" s="1" t="s">
        <v>8642</v>
      </c>
      <c r="B1971" s="1" t="s">
        <v>13</v>
      </c>
      <c r="C1971" s="4" t="s">
        <v>8643</v>
      </c>
      <c r="D1971" s="1" t="s">
        <v>8644</v>
      </c>
      <c r="E1971" s="1" t="s">
        <v>8645</v>
      </c>
      <c r="F1971" s="4" t="s">
        <v>17</v>
      </c>
      <c r="G1971" s="1" t="s">
        <v>18</v>
      </c>
      <c r="H1971" s="1" t="s">
        <v>19</v>
      </c>
      <c r="I1971" s="1" t="s">
        <v>20</v>
      </c>
      <c r="J1971" s="1" t="s">
        <v>8646</v>
      </c>
      <c r="K1971" s="1" t="s">
        <v>22</v>
      </c>
      <c r="L1971" s="1" t="str">
        <f>HYPERLINK("https://files.afu.se/Downloads/Transcripts/0%20-%20Government/USA%20-%20NASA%20Johnson/2013 12 18 - NASA Johnson - Station Spacewalks to Replace Pump Module_8oAW_uDSdFE - transcript (automated).pdf","Transcript Link")</f>
        <v>Transcript Link</v>
      </c>
      <c r="M1971" s="2" t="str">
        <f>HYPERLINK("https://files.afu.se/Downloads/Transcripts/0%20-%20Government/USA%20-%20NASA%20Johnson/2013 12 18 - NASA Johnson - Station Spacewalks to Replace Pump Module_8oAW_uDSdFE - transcript (automated).pdf","Transcript Link")</f>
        <v>Transcript Link</v>
      </c>
    </row>
    <row r="1972" ht="180" spans="1:13">
      <c r="A1972" s="1" t="s">
        <v>8647</v>
      </c>
      <c r="B1972" s="1" t="s">
        <v>13</v>
      </c>
      <c r="C1972" s="4" t="s">
        <v>8648</v>
      </c>
      <c r="D1972" s="1" t="s">
        <v>8649</v>
      </c>
      <c r="E1972" s="1" t="s">
        <v>8650</v>
      </c>
      <c r="F1972" s="4" t="s">
        <v>17</v>
      </c>
      <c r="G1972" s="1" t="s">
        <v>18</v>
      </c>
      <c r="H1972" s="1" t="s">
        <v>19</v>
      </c>
      <c r="I1972" s="1" t="s">
        <v>20</v>
      </c>
      <c r="J1972" s="1" t="s">
        <v>8651</v>
      </c>
      <c r="K1972" s="1" t="s">
        <v>22</v>
      </c>
      <c r="L1972" s="1" t="str">
        <f>HYPERLINK("https://files.afu.se/Downloads/Transcripts/0%20-%20Government/USA%20-%20NASA%20Johnson/2013 12 17 - NASA Johnson - Station Cooling System Update From Flight Director_bgrcF04_2KA - transcript (automated).pdf","Transcript Link")</f>
        <v>Transcript Link</v>
      </c>
      <c r="M1972" s="2" t="str">
        <f>HYPERLINK("https://files.afu.se/Downloads/Transcripts/0%20-%20Government/USA%20-%20NASA%20Johnson/2013 12 17 - NASA Johnson - Station Cooling System Update From Flight Director_bgrcF04_2KA - transcript (automated).pdf","Transcript Link")</f>
        <v>Transcript Link</v>
      </c>
    </row>
    <row r="1973" ht="180" spans="1:13">
      <c r="A1973" s="1" t="s">
        <v>8652</v>
      </c>
      <c r="B1973" s="1" t="s">
        <v>13</v>
      </c>
      <c r="C1973" s="4" t="s">
        <v>8653</v>
      </c>
      <c r="D1973" s="1" t="s">
        <v>8654</v>
      </c>
      <c r="E1973" s="1" t="s">
        <v>8655</v>
      </c>
      <c r="F1973" s="4" t="s">
        <v>17</v>
      </c>
      <c r="G1973" s="1" t="s">
        <v>18</v>
      </c>
      <c r="H1973" s="1" t="s">
        <v>19</v>
      </c>
      <c r="I1973" s="1" t="s">
        <v>20</v>
      </c>
      <c r="J1973" s="1" t="s">
        <v>8656</v>
      </c>
      <c r="K1973" s="1" t="s">
        <v>22</v>
      </c>
      <c r="L1973" s="1" t="str">
        <f>HYPERLINK("https://files.afu.se/Downloads/Transcripts/0%20-%20Government/USA%20-%20NASA%20Johnson/2013 12 16 - NASA Johnson - Work Continues on Station Cooling Issue_E_aXUVrDcnk - transcript (automated).pdf","Transcript Link")</f>
        <v>Transcript Link</v>
      </c>
      <c r="M1973" s="2" t="str">
        <f>HYPERLINK("https://files.afu.se/Downloads/Transcripts/0%20-%20Government/USA%20-%20NASA%20Johnson/2013 12 16 - NASA Johnson - Work Continues on Station Cooling Issue_E_aXUVrDcnk - transcript (automated).pdf","Transcript Link")</f>
        <v>Transcript Link</v>
      </c>
    </row>
    <row r="1974" ht="180" spans="1:13">
      <c r="A1974" s="1" t="s">
        <v>8657</v>
      </c>
      <c r="B1974" s="1" t="s">
        <v>13</v>
      </c>
      <c r="C1974" s="4" t="s">
        <v>8658</v>
      </c>
      <c r="D1974" s="1" t="s">
        <v>8659</v>
      </c>
      <c r="E1974" s="1" t="s">
        <v>8660</v>
      </c>
      <c r="F1974" s="4" t="s">
        <v>17</v>
      </c>
      <c r="G1974" s="1" t="s">
        <v>18</v>
      </c>
      <c r="H1974" s="1" t="s">
        <v>19</v>
      </c>
      <c r="I1974" s="1" t="s">
        <v>20</v>
      </c>
      <c r="J1974" s="1" t="s">
        <v>8661</v>
      </c>
      <c r="K1974" s="1" t="s">
        <v>22</v>
      </c>
      <c r="L1974" s="1" t="str">
        <f>HYPERLINK("https://files.afu.se/Downloads/Transcripts/0%20-%20Government/USA%20-%20NASA%20Johnson/2013 12 13 - NASA Johnson - Space Station Live  Antibiotic Effectiveness in Space_KDIk4jAkZ9U - transcript (automated).pdf","Transcript Link")</f>
        <v>Transcript Link</v>
      </c>
      <c r="M1974" s="2" t="str">
        <f>HYPERLINK("https://files.afu.se/Downloads/Transcripts/0%20-%20Government/USA%20-%20NASA%20Johnson/2013 12 13 - NASA Johnson - Space Station Live  Antibiotic Effectiveness in Space_KDIk4jAkZ9U - transcript (automated).pdf","Transcript Link")</f>
        <v>Transcript Link</v>
      </c>
    </row>
    <row r="1975" ht="210" spans="1:13">
      <c r="A1975" s="1" t="s">
        <v>8657</v>
      </c>
      <c r="B1975" s="1" t="s">
        <v>13</v>
      </c>
      <c r="C1975" s="4" t="s">
        <v>8662</v>
      </c>
      <c r="D1975" s="1" t="s">
        <v>8663</v>
      </c>
      <c r="E1975" s="1" t="s">
        <v>8664</v>
      </c>
      <c r="F1975" s="4" t="s">
        <v>17</v>
      </c>
      <c r="G1975" s="1" t="s">
        <v>18</v>
      </c>
      <c r="H1975" s="1" t="s">
        <v>19</v>
      </c>
      <c r="I1975" s="1" t="s">
        <v>20</v>
      </c>
      <c r="J1975" s="1" t="s">
        <v>8665</v>
      </c>
      <c r="K1975" s="1" t="s">
        <v>22</v>
      </c>
      <c r="L1975" s="1" t="str">
        <f>HYPERLINK("https://files.afu.se/Downloads/Transcripts/0%20-%20Government/USA%20-%20NASA%20Johnson/2013 12 13 - NASA Johnson - Space to Ground - 12 13 13_xKNLLoMHDY4 - transcript (automated).pdf","Transcript Link")</f>
        <v>Transcript Link</v>
      </c>
      <c r="M1975" s="2" t="str">
        <f>HYPERLINK("https://files.afu.se/Downloads/Transcripts/0%20-%20Government/USA%20-%20NASA%20Johnson/2013 12 13 - NASA Johnson - Space to Ground - 12 13 13_xKNLLoMHDY4 - transcript (automated).pdf","Transcript Link")</f>
        <v>Transcript Link</v>
      </c>
    </row>
    <row r="1976" ht="180" spans="1:13">
      <c r="A1976" s="1" t="s">
        <v>8666</v>
      </c>
      <c r="B1976" s="1" t="s">
        <v>13</v>
      </c>
      <c r="C1976" s="4" t="s">
        <v>8667</v>
      </c>
      <c r="D1976" s="1" t="s">
        <v>8668</v>
      </c>
      <c r="E1976" s="4" t="s">
        <v>8669</v>
      </c>
      <c r="F1976" s="4" t="s">
        <v>17</v>
      </c>
      <c r="G1976" s="1" t="s">
        <v>18</v>
      </c>
      <c r="H1976" s="1" t="s">
        <v>19</v>
      </c>
      <c r="I1976" s="1" t="s">
        <v>20</v>
      </c>
      <c r="J1976" s="1" t="s">
        <v>8670</v>
      </c>
      <c r="K1976" s="1" t="s">
        <v>22</v>
      </c>
      <c r="L1976" s="1" t="str">
        <f>HYPERLINK("https://files.afu.se/Downloads/Transcripts/0%20-%20Government/USA%20-%20NASA%20Johnson/2013 12 12 - NASA Johnson - Train Like an Astronaut  Fit Explorer Series_Jk9CuAB8rE0 - transcript (automated).pdf","Transcript Link")</f>
        <v>Transcript Link</v>
      </c>
      <c r="M1976" s="2" t="str">
        <f>HYPERLINK("https://files.afu.se/Downloads/Transcripts/0%20-%20Government/USA%20-%20NASA%20Johnson/2013 12 12 - NASA Johnson - Train Like an Astronaut  Fit Explorer Series_Jk9CuAB8rE0 - transcript (automated).pdf","Transcript Link")</f>
        <v>Transcript Link</v>
      </c>
    </row>
    <row r="1977" ht="180" spans="1:13">
      <c r="A1977" s="1" t="s">
        <v>8666</v>
      </c>
      <c r="B1977" s="1" t="s">
        <v>13</v>
      </c>
      <c r="C1977" s="4" t="s">
        <v>8671</v>
      </c>
      <c r="D1977" s="1" t="s">
        <v>8672</v>
      </c>
      <c r="E1977" s="1" t="s">
        <v>8673</v>
      </c>
      <c r="F1977" s="4" t="s">
        <v>17</v>
      </c>
      <c r="G1977" s="1" t="s">
        <v>18</v>
      </c>
      <c r="H1977" s="1" t="s">
        <v>19</v>
      </c>
      <c r="I1977" s="1" t="s">
        <v>20</v>
      </c>
      <c r="J1977" s="1" t="s">
        <v>8674</v>
      </c>
      <c r="K1977" s="1" t="s">
        <v>22</v>
      </c>
      <c r="L1977" s="1" t="str">
        <f>HYPERLINK("https://files.afu.se/Downloads/Transcripts/0%20-%20Government/USA%20-%20NASA%20Johnson/2013 12 12 - NASA Johnson - Station Flight Controller Talks to Pennsylvania High School Students_lB4EL8sYNeY - transcript (automated).pdf","Transcript Link")</f>
        <v>Transcript Link</v>
      </c>
      <c r="M1977" s="2" t="str">
        <f>HYPERLINK("https://files.afu.se/Downloads/Transcripts/0%20-%20Government/USA%20-%20NASA%20Johnson/2013 12 12 - NASA Johnson - Station Flight Controller Talks to Pennsylvania High School Students_lB4EL8sYNeY - transcript (automated).pdf","Transcript Link")</f>
        <v>Transcript Link</v>
      </c>
    </row>
    <row r="1978" ht="180" spans="1:13">
      <c r="A1978" s="1" t="s">
        <v>8666</v>
      </c>
      <c r="B1978" s="1" t="s">
        <v>13</v>
      </c>
      <c r="C1978" s="4" t="s">
        <v>8675</v>
      </c>
      <c r="D1978" s="1" t="s">
        <v>8676</v>
      </c>
      <c r="E1978" s="1" t="s">
        <v>8677</v>
      </c>
      <c r="F1978" s="4" t="s">
        <v>17</v>
      </c>
      <c r="G1978" s="1" t="s">
        <v>18</v>
      </c>
      <c r="H1978" s="1" t="s">
        <v>19</v>
      </c>
      <c r="I1978" s="1" t="s">
        <v>20</v>
      </c>
      <c r="J1978" s="1" t="s">
        <v>8678</v>
      </c>
      <c r="K1978" s="1" t="s">
        <v>22</v>
      </c>
      <c r="L1978" s="1" t="str">
        <f>HYPERLINK("https://files.afu.se/Downloads/Transcripts/0%20-%20Government/USA%20-%20NASA%20Johnson/2013 12 12 - NASA Johnson - Space Station Cooling Loop Update_RWQGagWEabw - transcript (automated).pdf","Transcript Link")</f>
        <v>Transcript Link</v>
      </c>
      <c r="M1978" s="2" t="str">
        <f>HYPERLINK("https://files.afu.se/Downloads/Transcripts/0%20-%20Government/USA%20-%20NASA%20Johnson/2013 12 12 - NASA Johnson - Space Station Cooling Loop Update_RWQGagWEabw - transcript (automated).pdf","Transcript Link")</f>
        <v>Transcript Link</v>
      </c>
    </row>
    <row r="1979" ht="210" spans="1:13">
      <c r="A1979" s="1" t="s">
        <v>8679</v>
      </c>
      <c r="B1979" s="1" t="s">
        <v>13</v>
      </c>
      <c r="C1979" s="4" t="s">
        <v>8680</v>
      </c>
      <c r="D1979" s="1" t="s">
        <v>8681</v>
      </c>
      <c r="E1979" s="1" t="s">
        <v>8682</v>
      </c>
      <c r="F1979" s="4" t="s">
        <v>17</v>
      </c>
      <c r="G1979" s="1" t="s">
        <v>18</v>
      </c>
      <c r="H1979" s="1" t="s">
        <v>19</v>
      </c>
      <c r="I1979" s="1" t="s">
        <v>20</v>
      </c>
      <c r="J1979" s="1" t="s">
        <v>8683</v>
      </c>
      <c r="K1979" s="1" t="s">
        <v>22</v>
      </c>
      <c r="L1979" s="1" t="str">
        <f>HYPERLINK("https://files.afu.se/Downloads/Transcripts/0%20-%20Government/USA%20-%20NASA%20Johnson/2013 12 11 - NASA Johnson - Space Station Live  Growing a Garden for a Future Space Harvest_KU5iLrv3sHo - transcript (automated).pdf","Transcript Link")</f>
        <v>Transcript Link</v>
      </c>
      <c r="M1979" s="2" t="str">
        <f>HYPERLINK("https://files.afu.se/Downloads/Transcripts/0%20-%20Government/USA%20-%20NASA%20Johnson/2013 12 11 - NASA Johnson - Space Station Live  Growing a Garden for a Future Space Harvest_KU5iLrv3sHo - transcript (automated).pdf","Transcript Link")</f>
        <v>Transcript Link</v>
      </c>
    </row>
    <row r="1980" ht="255" spans="1:13">
      <c r="A1980" s="1" t="s">
        <v>8679</v>
      </c>
      <c r="B1980" s="1" t="s">
        <v>13</v>
      </c>
      <c r="C1980" s="4" t="s">
        <v>8684</v>
      </c>
      <c r="D1980" s="1" t="s">
        <v>8685</v>
      </c>
      <c r="E1980" s="1" t="s">
        <v>8686</v>
      </c>
      <c r="F1980" s="4" t="s">
        <v>17</v>
      </c>
      <c r="G1980" s="1" t="s">
        <v>18</v>
      </c>
      <c r="H1980" s="1" t="s">
        <v>19</v>
      </c>
      <c r="I1980" s="1" t="s">
        <v>20</v>
      </c>
      <c r="J1980" s="1" t="s">
        <v>8687</v>
      </c>
      <c r="K1980" s="1" t="s">
        <v>22</v>
      </c>
      <c r="L1980" s="1" t="str">
        <f>HYPERLINK("https://files.afu.se/Downloads/Transcripts/0%20-%20Government/USA%20-%20NASA%20Johnson/2013 12 11 - NASA Johnson - Space Station Live  Studying Combustion to Make Space Exploration Safe_rsc-v3WoroU - transcript (automated).pdf","Transcript Link")</f>
        <v>Transcript Link</v>
      </c>
      <c r="M1980" s="2" t="str">
        <f>HYPERLINK("https://files.afu.se/Downloads/Transcripts/0%20-%20Government/USA%20-%20NASA%20Johnson/2013 12 11 - NASA Johnson - Space Station Live  Studying Combustion to Make Space Exploration Safe_rsc-v3WoroU - transcript (automated).pdf","Transcript Link")</f>
        <v>Transcript Link</v>
      </c>
    </row>
    <row r="1981" ht="180" spans="1:13">
      <c r="A1981" s="1" t="s">
        <v>8688</v>
      </c>
      <c r="B1981" s="1" t="s">
        <v>13</v>
      </c>
      <c r="C1981" s="4" t="s">
        <v>8689</v>
      </c>
      <c r="D1981" s="1" t="s">
        <v>8690</v>
      </c>
      <c r="E1981" s="1" t="s">
        <v>8691</v>
      </c>
      <c r="F1981" s="4" t="s">
        <v>17</v>
      </c>
      <c r="G1981" s="1" t="s">
        <v>18</v>
      </c>
      <c r="H1981" s="1" t="s">
        <v>19</v>
      </c>
      <c r="I1981" s="1" t="s">
        <v>20</v>
      </c>
      <c r="J1981" s="1" t="s">
        <v>8692</v>
      </c>
      <c r="K1981" s="1" t="s">
        <v>22</v>
      </c>
      <c r="L1981" s="1" t="str">
        <f>HYPERLINK("https://files.afu.se/Downloads/Transcripts/0%20-%20Government/USA%20-%20NASA%20Johnson/2013 12 09 - NASA Johnson - Space Station Live  Fluid Motion Study Using Mini-Satellites_BluJ7do0QOI - transcript (automated).pdf","Transcript Link")</f>
        <v>Transcript Link</v>
      </c>
      <c r="M1981" s="2" t="str">
        <f>HYPERLINK("https://files.afu.se/Downloads/Transcripts/0%20-%20Government/USA%20-%20NASA%20Johnson/2013 12 09 - NASA Johnson - Space Station Live  Fluid Motion Study Using Mini-Satellites_BluJ7do0QOI - transcript (automated).pdf","Transcript Link")</f>
        <v>Transcript Link</v>
      </c>
    </row>
    <row r="1982" ht="180" spans="1:13">
      <c r="A1982" s="1" t="s">
        <v>8693</v>
      </c>
      <c r="B1982" s="1" t="s">
        <v>13</v>
      </c>
      <c r="C1982" s="4" t="s">
        <v>8694</v>
      </c>
      <c r="D1982" s="1" t="s">
        <v>8695</v>
      </c>
      <c r="E1982" s="1" t="s">
        <v>8696</v>
      </c>
      <c r="F1982" s="4" t="s">
        <v>17</v>
      </c>
      <c r="G1982" s="1" t="s">
        <v>18</v>
      </c>
      <c r="H1982" s="1" t="s">
        <v>19</v>
      </c>
      <c r="I1982" s="1" t="s">
        <v>20</v>
      </c>
      <c r="J1982" s="1" t="s">
        <v>8697</v>
      </c>
      <c r="K1982" s="1" t="s">
        <v>22</v>
      </c>
      <c r="L1982" s="1" t="str">
        <f>HYPERLINK("https://files.afu.se/Downloads/Transcripts/0%20-%20Government/USA%20-%20NASA%20Johnson/2013 12 06 - NASA Johnson - Science on the Shuttle's Spacelab_5ukl5ySa6ZA - transcript (automated).pdf","Transcript Link")</f>
        <v>Transcript Link</v>
      </c>
      <c r="M1982" s="2" t="str">
        <f>HYPERLINK("https://files.afu.se/Downloads/Transcripts/0%20-%20Government/USA%20-%20NASA%20Johnson/2013 12 06 - NASA Johnson - Science on the Shuttle's Spacelab_5ukl5ySa6ZA - transcript (automated).pdf","Transcript Link")</f>
        <v>Transcript Link</v>
      </c>
    </row>
    <row r="1983" ht="180" spans="1:13">
      <c r="A1983" s="1" t="s">
        <v>8693</v>
      </c>
      <c r="B1983" s="1" t="s">
        <v>13</v>
      </c>
      <c r="C1983" s="4" t="s">
        <v>8698</v>
      </c>
      <c r="D1983" s="1" t="s">
        <v>8699</v>
      </c>
      <c r="E1983" s="1" t="s">
        <v>8700</v>
      </c>
      <c r="F1983" s="4" t="s">
        <v>17</v>
      </c>
      <c r="G1983" s="1" t="s">
        <v>18</v>
      </c>
      <c r="H1983" s="1" t="s">
        <v>19</v>
      </c>
      <c r="I1983" s="1" t="s">
        <v>20</v>
      </c>
      <c r="J1983" s="1" t="s">
        <v>8701</v>
      </c>
      <c r="K1983" s="1" t="s">
        <v>22</v>
      </c>
      <c r="L1983" s="1" t="str">
        <f>HYPERLINK("https://files.afu.se/Downloads/Transcripts/0%20-%20Government/USA%20-%20NASA%20Johnson/2013 12 06 - NASA Johnson - Space to Ground - 12 6 13_hOkzlV72vUU - transcript (automated).pdf","Transcript Link")</f>
        <v>Transcript Link</v>
      </c>
      <c r="M1983" s="2" t="str">
        <f>HYPERLINK("https://files.afu.se/Downloads/Transcripts/0%20-%20Government/USA%20-%20NASA%20Johnson/2013 12 06 - NASA Johnson - Space to Ground - 12 6 13_hOkzlV72vUU - transcript (automated).pdf","Transcript Link")</f>
        <v>Transcript Link</v>
      </c>
    </row>
    <row r="1984" ht="409.5" spans="1:13">
      <c r="A1984" s="1" t="s">
        <v>8693</v>
      </c>
      <c r="B1984" s="1" t="s">
        <v>13</v>
      </c>
      <c r="C1984" s="4" t="s">
        <v>8702</v>
      </c>
      <c r="D1984" s="1" t="s">
        <v>8703</v>
      </c>
      <c r="E1984" s="1" t="s">
        <v>8704</v>
      </c>
      <c r="F1984" s="4" t="s">
        <v>17</v>
      </c>
      <c r="G1984" s="1" t="s">
        <v>18</v>
      </c>
      <c r="H1984" s="1" t="s">
        <v>19</v>
      </c>
      <c r="I1984" s="1" t="s">
        <v>20</v>
      </c>
      <c r="J1984" s="1" t="s">
        <v>8705</v>
      </c>
      <c r="K1984" s="1" t="s">
        <v>22</v>
      </c>
      <c r="L1984" s="1" t="str">
        <f>HYPERLINK("https://files.afu.se/Downloads/Transcripts/0%20-%20Government/USA%20-%20NASA%20Johnson/2013 12 06 - NASA Johnson - Textron Team Readies Orion Heat Shield for Shipment to Kennedy Space Center_ix7vHTEdSPg - transcript (automated).pdf","Transcript Link")</f>
        <v>Transcript Link</v>
      </c>
      <c r="M1984" s="2" t="str">
        <f>HYPERLINK("https://files.afu.se/Downloads/Transcripts/0%20-%20Government/USA%20-%20NASA%20Johnson/2013 12 06 - NASA Johnson - Textron Team Readies Orion Heat Shield for Shipment to Kennedy Space Center_ix7vHTEdSPg - transcript (automated).pdf","Transcript Link")</f>
        <v>Transcript Link</v>
      </c>
    </row>
    <row r="1985" ht="180" spans="1:13">
      <c r="A1985" s="1" t="s">
        <v>8706</v>
      </c>
      <c r="B1985" s="1" t="s">
        <v>13</v>
      </c>
      <c r="C1985" s="4" t="s">
        <v>8707</v>
      </c>
      <c r="D1985" s="1" t="s">
        <v>8708</v>
      </c>
      <c r="E1985" s="1" t="s">
        <v>8709</v>
      </c>
      <c r="F1985" s="4" t="s">
        <v>17</v>
      </c>
      <c r="G1985" s="1" t="s">
        <v>18</v>
      </c>
      <c r="H1985" s="1" t="s">
        <v>19</v>
      </c>
      <c r="I1985" s="1" t="s">
        <v>20</v>
      </c>
      <c r="J1985" s="1" t="s">
        <v>8710</v>
      </c>
      <c r="K1985" s="1" t="s">
        <v>22</v>
      </c>
      <c r="L1985" s="1" t="str">
        <f>HYPERLINK("https://files.afu.se/Downloads/Transcripts/0%20-%20Government/USA%20-%20NASA%20Johnson/2013 12 05 - NASA Johnson - Space Station Live  Orion Heat Shield Delivered to Kennedy Space Center_5Z1K8g8Bzz8 - transcript (automated).pdf","Transcript Link")</f>
        <v>Transcript Link</v>
      </c>
      <c r="M1985" s="2" t="str">
        <f>HYPERLINK("https://files.afu.se/Downloads/Transcripts/0%20-%20Government/USA%20-%20NASA%20Johnson/2013 12 05 - NASA Johnson - Space Station Live  Orion Heat Shield Delivered to Kennedy Space Center_5Z1K8g8Bzz8 - transcript (automated).pdf","Transcript Link")</f>
        <v>Transcript Link</v>
      </c>
    </row>
    <row r="1986" ht="180" spans="1:13">
      <c r="A1986" s="1" t="s">
        <v>8711</v>
      </c>
      <c r="B1986" s="1" t="s">
        <v>13</v>
      </c>
      <c r="C1986" s="4" t="s">
        <v>8712</v>
      </c>
      <c r="D1986" s="1" t="s">
        <v>8713</v>
      </c>
      <c r="E1986" s="1" t="s">
        <v>8714</v>
      </c>
      <c r="F1986" s="4" t="s">
        <v>17</v>
      </c>
      <c r="G1986" s="1" t="s">
        <v>18</v>
      </c>
      <c r="H1986" s="1" t="s">
        <v>19</v>
      </c>
      <c r="I1986" s="1" t="s">
        <v>20</v>
      </c>
      <c r="J1986" s="1" t="s">
        <v>8715</v>
      </c>
      <c r="K1986" s="1" t="s">
        <v>22</v>
      </c>
      <c r="L1986" s="1" t="str">
        <f>HYPERLINK("https://files.afu.se/Downloads/Transcripts/0%20-%20Government/USA%20-%20NASA%20Johnson/2013 12 04 - NASA Johnson - Space Station Live  Astronaut Cardiovascular Health_HEcOjAJ_iyM - transcript (automated).pdf","Transcript Link")</f>
        <v>Transcript Link</v>
      </c>
      <c r="M1986" s="2" t="str">
        <f>HYPERLINK("https://files.afu.se/Downloads/Transcripts/0%20-%20Government/USA%20-%20NASA%20Johnson/2013 12 04 - NASA Johnson - Space Station Live  Astronaut Cardiovascular Health_HEcOjAJ_iyM - transcript (automated).pdf","Transcript Link")</f>
        <v>Transcript Link</v>
      </c>
    </row>
    <row r="1987" ht="195" spans="1:13">
      <c r="A1987" s="1" t="s">
        <v>8711</v>
      </c>
      <c r="B1987" s="1" t="s">
        <v>13</v>
      </c>
      <c r="C1987" s="4" t="s">
        <v>8716</v>
      </c>
      <c r="D1987" s="1" t="s">
        <v>8717</v>
      </c>
      <c r="E1987" s="1" t="s">
        <v>8718</v>
      </c>
      <c r="F1987" s="4" t="s">
        <v>17</v>
      </c>
      <c r="G1987" s="1" t="s">
        <v>18</v>
      </c>
      <c r="H1987" s="1" t="s">
        <v>19</v>
      </c>
      <c r="I1987" s="1" t="s">
        <v>20</v>
      </c>
      <c r="J1987" s="1" t="s">
        <v>8719</v>
      </c>
      <c r="K1987" s="1" t="s">
        <v>22</v>
      </c>
      <c r="L1987" s="1" t="str">
        <f>HYPERLINK("https://files.afu.se/Downloads/Transcripts/0%20-%20Government/USA%20-%20NASA%20Johnson/2013 12 04 - NASA Johnson - Kennedy Director Bob Cabana Recalls First Station Assembly Mission_XiyViTYNyRA - transcript (automated).pdf","Transcript Link")</f>
        <v>Transcript Link</v>
      </c>
      <c r="M1987" s="2" t="str">
        <f>HYPERLINK("https://files.afu.se/Downloads/Transcripts/0%20-%20Government/USA%20-%20NASA%20Johnson/2013 12 04 - NASA Johnson - Kennedy Director Bob Cabana Recalls First Station Assembly Mission_XiyViTYNyRA - transcript (automated).pdf","Transcript Link")</f>
        <v>Transcript Link</v>
      </c>
    </row>
    <row r="1988" ht="180" spans="1:13">
      <c r="A1988" s="1" t="s">
        <v>8720</v>
      </c>
      <c r="B1988" s="1" t="s">
        <v>13</v>
      </c>
      <c r="C1988" s="4" t="s">
        <v>8721</v>
      </c>
      <c r="D1988" s="1" t="s">
        <v>8722</v>
      </c>
      <c r="E1988" s="1" t="s">
        <v>8723</v>
      </c>
      <c r="F1988" s="4" t="s">
        <v>17</v>
      </c>
      <c r="G1988" s="1" t="s">
        <v>18</v>
      </c>
      <c r="H1988" s="1" t="s">
        <v>19</v>
      </c>
      <c r="I1988" s="1" t="s">
        <v>20</v>
      </c>
      <c r="J1988" s="1" t="s">
        <v>8724</v>
      </c>
      <c r="K1988" s="1" t="s">
        <v>22</v>
      </c>
      <c r="L1988" s="1" t="str">
        <f>HYPERLINK("https://files.afu.se/Downloads/Transcripts/0%20-%20Government/USA%20-%20NASA%20Johnson/2013 12 02 - NASA Johnson - Former Shuttle Flight Director Recalls Hubble Servicing Mission_Q9EGnxrLXiU - transcript (automated).pdf","Transcript Link")</f>
        <v>Transcript Link</v>
      </c>
      <c r="M1988" s="2" t="str">
        <f>HYPERLINK("https://files.afu.se/Downloads/Transcripts/0%20-%20Government/USA%20-%20NASA%20Johnson/2013 12 02 - NASA Johnson - Former Shuttle Flight Director Recalls Hubble Servicing Mission_Q9EGnxrLXiU - transcript (automated).pdf","Transcript Link")</f>
        <v>Transcript Link</v>
      </c>
    </row>
    <row r="1989" ht="180" spans="1:13">
      <c r="A1989" s="1" t="s">
        <v>8725</v>
      </c>
      <c r="B1989" s="1" t="s">
        <v>13</v>
      </c>
      <c r="C1989" s="4" t="s">
        <v>8726</v>
      </c>
      <c r="D1989" s="1" t="s">
        <v>8727</v>
      </c>
      <c r="E1989" s="1" t="s">
        <v>8728</v>
      </c>
      <c r="F1989" s="4" t="s">
        <v>17</v>
      </c>
      <c r="G1989" s="1" t="s">
        <v>18</v>
      </c>
      <c r="H1989" s="1" t="s">
        <v>19</v>
      </c>
      <c r="I1989" s="1" t="s">
        <v>20</v>
      </c>
      <c r="J1989" s="1" t="s">
        <v>8729</v>
      </c>
      <c r="K1989" s="1" t="s">
        <v>22</v>
      </c>
      <c r="L1989" s="1" t="str">
        <f>HYPERLINK("https://files.afu.se/Downloads/Transcripts/0%20-%20Government/USA%20-%20NASA%20Johnson/2013 11 27 - NASA Johnson - Space Station Live  Circadian Rhythms_Ph9g9Cc6q4Y - transcript (automated).pdf","Transcript Link")</f>
        <v>Transcript Link</v>
      </c>
      <c r="M1989" s="2" t="str">
        <f>HYPERLINK("https://files.afu.se/Downloads/Transcripts/0%20-%20Government/USA%20-%20NASA%20Johnson/2013 11 27 - NASA Johnson - Space Station Live  Circadian Rhythms_Ph9g9Cc6q4Y - transcript (automated).pdf","Transcript Link")</f>
        <v>Transcript Link</v>
      </c>
    </row>
    <row r="1990" ht="225" spans="1:13">
      <c r="A1990" s="1" t="s">
        <v>8725</v>
      </c>
      <c r="B1990" s="1" t="s">
        <v>13</v>
      </c>
      <c r="C1990" s="4" t="s">
        <v>8730</v>
      </c>
      <c r="D1990" s="1" t="s">
        <v>8731</v>
      </c>
      <c r="E1990" s="4" t="s">
        <v>8732</v>
      </c>
      <c r="F1990" s="4" t="s">
        <v>17</v>
      </c>
      <c r="G1990" s="1" t="s">
        <v>18</v>
      </c>
      <c r="H1990" s="1" t="s">
        <v>19</v>
      </c>
      <c r="I1990" s="1" t="s">
        <v>20</v>
      </c>
      <c r="J1990" s="1" t="s">
        <v>8733</v>
      </c>
      <c r="K1990" s="1" t="s">
        <v>22</v>
      </c>
      <c r="L1990" s="1" t="str">
        <f>HYPERLINK("https://files.afu.se/Downloads/Transcripts/0%20-%20Government/USA%20-%20NASA%20Johnson/2013 11 27 - NASA Johnson - Train Like an Astronaut  You are what you eat...so what do Astronauts eat _fnmA35ibSMY - transcript (automated).pdf","Transcript Link")</f>
        <v>Transcript Link</v>
      </c>
      <c r="M1990" s="2" t="str">
        <f>HYPERLINK("https://files.afu.se/Downloads/Transcripts/0%20-%20Government/USA%20-%20NASA%20Johnson/2013 11 27 - NASA Johnson - Train Like an Astronaut  You are what you eat...so what do Astronauts eat _fnmA35ibSMY - transcript (automated).pdf","Transcript Link")</f>
        <v>Transcript Link</v>
      </c>
    </row>
    <row r="1991" ht="225" spans="1:13">
      <c r="A1991" s="1" t="s">
        <v>8734</v>
      </c>
      <c r="B1991" s="1" t="s">
        <v>13</v>
      </c>
      <c r="C1991" s="4" t="s">
        <v>8735</v>
      </c>
      <c r="D1991" s="1" t="s">
        <v>8736</v>
      </c>
      <c r="E1991" s="1" t="s">
        <v>8737</v>
      </c>
      <c r="F1991" s="4" t="s">
        <v>17</v>
      </c>
      <c r="G1991" s="1" t="s">
        <v>18</v>
      </c>
      <c r="H1991" s="1" t="s">
        <v>19</v>
      </c>
      <c r="I1991" s="1" t="s">
        <v>20</v>
      </c>
      <c r="J1991" s="1" t="s">
        <v>8738</v>
      </c>
      <c r="K1991" s="1" t="s">
        <v>22</v>
      </c>
      <c r="L1991" s="1" t="str">
        <f>HYPERLINK("https://files.afu.se/Downloads/Transcripts/0%20-%20Government/USA%20-%20NASA%20Johnson/2013 11 26 - NASA Johnson - Benefits for Humanity  In Their Own Words_HhsaKTFz0TM - transcript (automated).pdf","Transcript Link")</f>
        <v>Transcript Link</v>
      </c>
      <c r="M1991" s="2" t="str">
        <f>HYPERLINK("https://files.afu.se/Downloads/Transcripts/0%20-%20Government/USA%20-%20NASA%20Johnson/2013 11 26 - NASA Johnson - Benefits for Humanity  In Their Own Words_HhsaKTFz0TM - transcript (automated).pdf","Transcript Link")</f>
        <v>Transcript Link</v>
      </c>
    </row>
    <row r="1992" ht="255" spans="1:13">
      <c r="A1992" s="1" t="s">
        <v>8734</v>
      </c>
      <c r="B1992" s="1" t="s">
        <v>13</v>
      </c>
      <c r="C1992" s="4" t="s">
        <v>8739</v>
      </c>
      <c r="D1992" s="1" t="s">
        <v>8740</v>
      </c>
      <c r="E1992" s="1" t="s">
        <v>8741</v>
      </c>
      <c r="F1992" s="4" t="s">
        <v>17</v>
      </c>
      <c r="G1992" s="1" t="s">
        <v>18</v>
      </c>
      <c r="H1992" s="1" t="s">
        <v>19</v>
      </c>
      <c r="I1992" s="1" t="s">
        <v>20</v>
      </c>
      <c r="J1992" s="1" t="s">
        <v>8742</v>
      </c>
      <c r="K1992" s="1" t="s">
        <v>22</v>
      </c>
      <c r="L1992" s="1" t="str">
        <f>HYPERLINK("https://files.afu.se/Downloads/Transcripts/0%20-%20Government/USA%20-%20NASA%20Johnson/2013 11 26 - NASA Johnson - Space Station Live  Testing a New Progress Rendezvous System_4QZy01o2eZE - transcript (automated).pdf","Transcript Link")</f>
        <v>Transcript Link</v>
      </c>
      <c r="M1992" s="2" t="str">
        <f>HYPERLINK("https://files.afu.se/Downloads/Transcripts/0%20-%20Government/USA%20-%20NASA%20Johnson/2013 11 26 - NASA Johnson - Space Station Live  Testing a New Progress Rendezvous System_4QZy01o2eZE - transcript (automated).pdf","Transcript Link")</f>
        <v>Transcript Link</v>
      </c>
    </row>
    <row r="1993" ht="180" spans="1:13">
      <c r="A1993" s="1" t="s">
        <v>8734</v>
      </c>
      <c r="B1993" s="1" t="s">
        <v>13</v>
      </c>
      <c r="C1993" s="4" t="s">
        <v>8743</v>
      </c>
      <c r="D1993" s="1" t="s">
        <v>8744</v>
      </c>
      <c r="E1993" s="1" t="s">
        <v>8745</v>
      </c>
      <c r="F1993" s="4" t="s">
        <v>17</v>
      </c>
      <c r="G1993" s="1" t="s">
        <v>18</v>
      </c>
      <c r="H1993" s="1" t="s">
        <v>19</v>
      </c>
      <c r="I1993" s="1" t="s">
        <v>20</v>
      </c>
      <c r="J1993" s="1" t="s">
        <v>8746</v>
      </c>
      <c r="K1993" s="1" t="s">
        <v>22</v>
      </c>
      <c r="L1993" s="1" t="str">
        <f>HYPERLINK("https://files.afu.se/Downloads/Transcripts/0%20-%20Government/USA%20-%20NASA%20Johnson/2013 11 26 - NASA Johnson - Space Station Live  Nov. 26, 2013_u-wjWAmp8To - transcript (automated).pdf","Transcript Link")</f>
        <v>Transcript Link</v>
      </c>
      <c r="M1993" s="2" t="str">
        <f>HYPERLINK("https://files.afu.se/Downloads/Transcripts/0%20-%20Government/USA%20-%20NASA%20Johnson/2013 11 26 - NASA Johnson - Space Station Live  Nov. 26, 2013_u-wjWAmp8To - transcript (automated).pdf","Transcript Link")</f>
        <v>Transcript Link</v>
      </c>
    </row>
    <row r="1994" ht="180" spans="1:13">
      <c r="A1994" s="1" t="s">
        <v>8734</v>
      </c>
      <c r="B1994" s="1" t="s">
        <v>13</v>
      </c>
      <c r="C1994" s="4" t="s">
        <v>8747</v>
      </c>
      <c r="D1994" s="1" t="s">
        <v>8748</v>
      </c>
      <c r="E1994" s="1" t="s">
        <v>8749</v>
      </c>
      <c r="F1994" s="4" t="s">
        <v>17</v>
      </c>
      <c r="G1994" s="1" t="s">
        <v>18</v>
      </c>
      <c r="H1994" s="1" t="s">
        <v>19</v>
      </c>
      <c r="I1994" s="1" t="s">
        <v>20</v>
      </c>
      <c r="J1994" s="1" t="s">
        <v>8750</v>
      </c>
      <c r="K1994" s="1" t="s">
        <v>22</v>
      </c>
      <c r="L1994" s="1" t="str">
        <f>HYPERLINK("https://files.afu.se/Downloads/Transcripts/0%20-%20Government/USA%20-%20NASA%20Johnson/2013 11 26 - NASA Johnson - Thanksgiving Message from Station's Expedition 38 Crew_1HF9jOpM_wI - transcript (automated).pdf","Transcript Link")</f>
        <v>Transcript Link</v>
      </c>
      <c r="M1994" s="2" t="str">
        <f>HYPERLINK("https://files.afu.se/Downloads/Transcripts/0%20-%20Government/USA%20-%20NASA%20Johnson/2013 11 26 - NASA Johnson - Thanksgiving Message from Station's Expedition 38 Crew_1HF9jOpM_wI - transcript (automated).pdf","Transcript Link")</f>
        <v>Transcript Link</v>
      </c>
    </row>
    <row r="1995" ht="180" spans="1:13">
      <c r="A1995" s="1" t="s">
        <v>8751</v>
      </c>
      <c r="B1995" s="1" t="s">
        <v>13</v>
      </c>
      <c r="C1995" s="4" t="s">
        <v>8752</v>
      </c>
      <c r="D1995" s="1" t="s">
        <v>8753</v>
      </c>
      <c r="E1995" s="1" t="s">
        <v>8754</v>
      </c>
      <c r="F1995" s="4" t="s">
        <v>17</v>
      </c>
      <c r="G1995" s="1" t="s">
        <v>18</v>
      </c>
      <c r="H1995" s="1" t="s">
        <v>19</v>
      </c>
      <c r="I1995" s="1" t="s">
        <v>20</v>
      </c>
      <c r="J1995" s="1" t="s">
        <v>8755</v>
      </c>
      <c r="K1995" s="1" t="s">
        <v>22</v>
      </c>
      <c r="L1995" s="1" t="str">
        <f>HYPERLINK("https://files.afu.se/Downloads/Transcripts/0%20-%20Government/USA%20-%20NASA%20Johnson/2013 11 25 - NASA Johnson - Space Station Live  Nov. 22, 2013_HuD_tkjiTeQ - transcript (automated).pdf","Transcript Link")</f>
        <v>Transcript Link</v>
      </c>
      <c r="M1995" s="2" t="str">
        <f>HYPERLINK("https://files.afu.se/Downloads/Transcripts/0%20-%20Government/USA%20-%20NASA%20Johnson/2013 11 25 - NASA Johnson - Space Station Live  Nov. 22, 2013_HuD_tkjiTeQ - transcript (automated).pdf","Transcript Link")</f>
        <v>Transcript Link</v>
      </c>
    </row>
    <row r="1996" ht="180" spans="1:13">
      <c r="A1996" s="1" t="s">
        <v>8751</v>
      </c>
      <c r="B1996" s="1" t="s">
        <v>13</v>
      </c>
      <c r="C1996" s="4" t="s">
        <v>8756</v>
      </c>
      <c r="D1996" s="1" t="s">
        <v>8757</v>
      </c>
      <c r="E1996" s="1" t="s">
        <v>8758</v>
      </c>
      <c r="F1996" s="4" t="s">
        <v>17</v>
      </c>
      <c r="G1996" s="1" t="s">
        <v>18</v>
      </c>
      <c r="H1996" s="1" t="s">
        <v>19</v>
      </c>
      <c r="I1996" s="1" t="s">
        <v>20</v>
      </c>
      <c r="J1996" s="1" t="s">
        <v>8759</v>
      </c>
      <c r="K1996" s="1" t="s">
        <v>22</v>
      </c>
      <c r="L1996" s="1" t="str">
        <f>HYPERLINK("https://files.afu.se/Downloads/Transcripts/0%20-%20Government/USA%20-%20NASA%20Johnson/2013 11 25 - NASA Johnson - Space Station Live  Nov. 25, 2013_3dk_RIDsN2w - transcript (automated).pdf","Transcript Link")</f>
        <v>Transcript Link</v>
      </c>
      <c r="M1996" s="2" t="str">
        <f>HYPERLINK("https://files.afu.se/Downloads/Transcripts/0%20-%20Government/USA%20-%20NASA%20Johnson/2013 11 25 - NASA Johnson - Space Station Live  Nov. 25, 2013_3dk_RIDsN2w - transcript (automated).pdf","Transcript Link")</f>
        <v>Transcript Link</v>
      </c>
    </row>
    <row r="1997" ht="180" spans="1:13">
      <c r="A1997" s="1" t="s">
        <v>8760</v>
      </c>
      <c r="B1997" s="1" t="s">
        <v>13</v>
      </c>
      <c r="C1997" s="4" t="s">
        <v>8761</v>
      </c>
      <c r="D1997" s="1" t="s">
        <v>8762</v>
      </c>
      <c r="E1997" s="1" t="s">
        <v>8763</v>
      </c>
      <c r="F1997" s="4" t="s">
        <v>17</v>
      </c>
      <c r="G1997" s="1" t="s">
        <v>18</v>
      </c>
      <c r="H1997" s="1" t="s">
        <v>19</v>
      </c>
      <c r="I1997" s="1" t="s">
        <v>20</v>
      </c>
      <c r="J1997" s="1" t="s">
        <v>8764</v>
      </c>
      <c r="K1997" s="1" t="s">
        <v>22</v>
      </c>
      <c r="L1997" s="1" t="str">
        <f>HYPERLINK("https://files.afu.se/Downloads/Transcripts/0%20-%20Government/USA%20-%20NASA%20Johnson/2013 11 21 - NASA Johnson - Station Crew Sends Thanksgiving Message, Shows Off Selection of Food_wBtUwBsfy90 - transcript (automated).pdf","Transcript Link")</f>
        <v>Transcript Link</v>
      </c>
      <c r="M1997" s="2" t="str">
        <f>HYPERLINK("https://files.afu.se/Downloads/Transcripts/0%20-%20Government/USA%20-%20NASA%20Johnson/2013 11 21 - NASA Johnson - Station Crew Sends Thanksgiving Message, Shows Off Selection of Food_wBtUwBsfy90 - transcript (automated).pdf","Transcript Link")</f>
        <v>Transcript Link</v>
      </c>
    </row>
    <row r="1998" ht="180" spans="1:13">
      <c r="A1998" s="1" t="s">
        <v>8760</v>
      </c>
      <c r="B1998" s="1" t="s">
        <v>13</v>
      </c>
      <c r="C1998" s="4" t="s">
        <v>8765</v>
      </c>
      <c r="D1998" s="1" t="s">
        <v>8766</v>
      </c>
      <c r="E1998" s="1" t="s">
        <v>8767</v>
      </c>
      <c r="F1998" s="4" t="s">
        <v>17</v>
      </c>
      <c r="G1998" s="1" t="s">
        <v>18</v>
      </c>
      <c r="H1998" s="1" t="s">
        <v>19</v>
      </c>
      <c r="I1998" s="1" t="s">
        <v>20</v>
      </c>
      <c r="J1998" s="1" t="s">
        <v>8768</v>
      </c>
      <c r="K1998" s="1" t="s">
        <v>22</v>
      </c>
      <c r="L1998" s="1" t="str">
        <f>HYPERLINK("https://files.afu.se/Downloads/Transcripts/0%20-%20Government/USA%20-%20NASA%20Johnson/2013 11 21 - NASA Johnson - Space Station Live  Nov. 21, 2013_gTkhNcncVZ8 - transcript (automated).pdf","Transcript Link")</f>
        <v>Transcript Link</v>
      </c>
      <c r="M1998" s="2" t="str">
        <f>HYPERLINK("https://files.afu.se/Downloads/Transcripts/0%20-%20Government/USA%20-%20NASA%20Johnson/2013 11 21 - NASA Johnson - Space Station Live  Nov. 21, 2013_gTkhNcncVZ8 - transcript (automated).pdf","Transcript Link")</f>
        <v>Transcript Link</v>
      </c>
    </row>
    <row r="1999" ht="180" spans="1:13">
      <c r="A1999" s="1" t="s">
        <v>8769</v>
      </c>
      <c r="B1999" s="1" t="s">
        <v>13</v>
      </c>
      <c r="C1999" s="4" t="s">
        <v>8770</v>
      </c>
      <c r="D1999" s="1" t="s">
        <v>8771</v>
      </c>
      <c r="E1999" s="1" t="s">
        <v>8772</v>
      </c>
      <c r="F1999" s="4" t="s">
        <v>17</v>
      </c>
      <c r="G1999" s="1" t="s">
        <v>18</v>
      </c>
      <c r="H1999" s="1" t="s">
        <v>19</v>
      </c>
      <c r="I1999" s="1" t="s">
        <v>20</v>
      </c>
      <c r="J1999" s="1" t="s">
        <v>8773</v>
      </c>
      <c r="K1999" s="1" t="s">
        <v>22</v>
      </c>
      <c r="L1999" s="1" t="str">
        <f>HYPERLINK("https://files.afu.se/Downloads/Transcripts/0%20-%20Government/USA%20-%20NASA%20Johnson/2013 11 20 - NASA Johnson - Space Station Live  Commemorating 15 Years on Orbit_WMnCEnTWVwo - transcript (automated).pdf","Transcript Link")</f>
        <v>Transcript Link</v>
      </c>
      <c r="M1999" s="2" t="str">
        <f>HYPERLINK("https://files.afu.se/Downloads/Transcripts/0%20-%20Government/USA%20-%20NASA%20Johnson/2013 11 20 - NASA Johnson - Space Station Live  Commemorating 15 Years on Orbit_WMnCEnTWVwo - transcript (automated).pdf","Transcript Link")</f>
        <v>Transcript Link</v>
      </c>
    </row>
    <row r="2000" ht="180" spans="1:13">
      <c r="A2000" s="1" t="s">
        <v>8769</v>
      </c>
      <c r="B2000" s="1" t="s">
        <v>13</v>
      </c>
      <c r="C2000" s="4" t="s">
        <v>8774</v>
      </c>
      <c r="D2000" s="1" t="s">
        <v>8775</v>
      </c>
      <c r="E2000" s="1" t="s">
        <v>8776</v>
      </c>
      <c r="F2000" s="4" t="s">
        <v>17</v>
      </c>
      <c r="G2000" s="1" t="s">
        <v>18</v>
      </c>
      <c r="H2000" s="1" t="s">
        <v>19</v>
      </c>
      <c r="I2000" s="1" t="s">
        <v>20</v>
      </c>
      <c r="J2000" s="1" t="s">
        <v>8777</v>
      </c>
      <c r="K2000" s="1" t="s">
        <v>22</v>
      </c>
      <c r="L2000" s="1" t="str">
        <f>HYPERLINK("https://files.afu.se/Downloads/Transcripts/0%20-%20Government/USA%20-%20NASA%20Johnson/2013 11 20 - NASA Johnson - Space Station Live  Nov. 20, 2013_njaBLEFSzRM - transcript (automated).pdf","Transcript Link")</f>
        <v>Transcript Link</v>
      </c>
      <c r="M2000" s="2" t="str">
        <f>HYPERLINK("https://files.afu.se/Downloads/Transcripts/0%20-%20Government/USA%20-%20NASA%20Johnson/2013 11 20 - NASA Johnson - Space Station Live  Nov. 20, 2013_njaBLEFSzRM - transcript (automated).pdf","Transcript Link")</f>
        <v>Transcript Link</v>
      </c>
    </row>
    <row r="2001" ht="255" spans="1:13">
      <c r="A2001" s="1" t="s">
        <v>8769</v>
      </c>
      <c r="B2001" s="1" t="s">
        <v>13</v>
      </c>
      <c r="C2001" s="4" t="s">
        <v>8778</v>
      </c>
      <c r="D2001" s="1" t="s">
        <v>8779</v>
      </c>
      <c r="E2001" s="1" t="s">
        <v>8780</v>
      </c>
      <c r="F2001" s="4" t="s">
        <v>17</v>
      </c>
      <c r="G2001" s="1" t="s">
        <v>18</v>
      </c>
      <c r="H2001" s="1" t="s">
        <v>19</v>
      </c>
      <c r="I2001" s="1" t="s">
        <v>20</v>
      </c>
      <c r="J2001" s="1" t="s">
        <v>8781</v>
      </c>
      <c r="K2001" s="1" t="s">
        <v>22</v>
      </c>
      <c r="L2001" s="1" t="str">
        <f>HYPERLINK("https://files.afu.se/Downloads/Transcripts/0%20-%20Government/USA%20-%20NASA%20Johnson/2013 11 20 - NASA Johnson - Space Station Live  Marshall's Contributions to Station Hardware_zVzRrPRJQao - transcript (automated).pdf","Transcript Link")</f>
        <v>Transcript Link</v>
      </c>
      <c r="M2001" s="2" t="str">
        <f>HYPERLINK("https://files.afu.se/Downloads/Transcripts/0%20-%20Government/USA%20-%20NASA%20Johnson/2013 11 20 - NASA Johnson - Space Station Live  Marshall's Contributions to Station Hardware_zVzRrPRJQao - transcript (automated).pdf","Transcript Link")</f>
        <v>Transcript Link</v>
      </c>
    </row>
    <row r="2002" ht="180" spans="1:13">
      <c r="A2002" s="1" t="s">
        <v>8769</v>
      </c>
      <c r="B2002" s="1" t="s">
        <v>13</v>
      </c>
      <c r="C2002" s="4" t="s">
        <v>8782</v>
      </c>
      <c r="D2002" s="1" t="s">
        <v>8783</v>
      </c>
      <c r="E2002" s="1" t="s">
        <v>8784</v>
      </c>
      <c r="F2002" s="4" t="s">
        <v>17</v>
      </c>
      <c r="G2002" s="1" t="s">
        <v>18</v>
      </c>
      <c r="H2002" s="1" t="s">
        <v>19</v>
      </c>
      <c r="I2002" s="1" t="s">
        <v>20</v>
      </c>
      <c r="J2002" s="1" t="s">
        <v>8785</v>
      </c>
      <c r="K2002" s="1" t="s">
        <v>22</v>
      </c>
      <c r="L2002" s="1" t="str">
        <f>HYPERLINK("https://files.afu.se/Downloads/Transcripts/0%20-%20Government/USA%20-%20NASA%20Johnson/2013 11 20 - NASA Johnson - Space Station Live  From Zarya to Orion_dk6cQC9QP-g - transcript (automated).pdf","Transcript Link")</f>
        <v>Transcript Link</v>
      </c>
      <c r="M2002" s="2" t="str">
        <f>HYPERLINK("https://files.afu.se/Downloads/Transcripts/0%20-%20Government/USA%20-%20NASA%20Johnson/2013 11 20 - NASA Johnson - Space Station Live  From Zarya to Orion_dk6cQC9QP-g - transcript (automated).pdf","Transcript Link")</f>
        <v>Transcript Link</v>
      </c>
    </row>
    <row r="2003" ht="330" spans="1:13">
      <c r="A2003" s="1" t="s">
        <v>8769</v>
      </c>
      <c r="B2003" s="1" t="s">
        <v>13</v>
      </c>
      <c r="C2003" s="4" t="s">
        <v>8786</v>
      </c>
      <c r="D2003" s="1" t="s">
        <v>8787</v>
      </c>
      <c r="E2003" s="1" t="s">
        <v>8788</v>
      </c>
      <c r="F2003" s="4" t="s">
        <v>17</v>
      </c>
      <c r="G2003" s="1" t="s">
        <v>18</v>
      </c>
      <c r="H2003" s="1" t="s">
        <v>19</v>
      </c>
      <c r="I2003" s="1" t="s">
        <v>20</v>
      </c>
      <c r="J2003" s="1" t="s">
        <v>8789</v>
      </c>
      <c r="K2003" s="1" t="s">
        <v>22</v>
      </c>
      <c r="L2003" s="1" t="str">
        <f>HYPERLINK("https://files.afu.se/Downloads/Transcripts/0%20-%20Government/USA%20-%20NASA%20Johnson/2013 11 20 - NASA Johnson - Emerge - The Next Generation of JSC_zmULpvofSjA - transcript (automated).pdf","Transcript Link")</f>
        <v>Transcript Link</v>
      </c>
      <c r="M2003" s="2" t="str">
        <f>HYPERLINK("https://files.afu.se/Downloads/Transcripts/0%20-%20Government/USA%20-%20NASA%20Johnson/2013 11 20 - NASA Johnson - Emerge - The Next Generation of JSC_zmULpvofSjA - transcript (automated).pdf","Transcript Link")</f>
        <v>Transcript Link</v>
      </c>
    </row>
    <row r="2004" ht="225" spans="1:13">
      <c r="A2004" s="1" t="s">
        <v>8790</v>
      </c>
      <c r="B2004" s="1" t="s">
        <v>13</v>
      </c>
      <c r="C2004" s="4" t="s">
        <v>8791</v>
      </c>
      <c r="D2004" s="1" t="s">
        <v>8792</v>
      </c>
      <c r="E2004" s="1" t="s">
        <v>8793</v>
      </c>
      <c r="F2004" s="4" t="s">
        <v>17</v>
      </c>
      <c r="G2004" s="1" t="s">
        <v>18</v>
      </c>
      <c r="H2004" s="1" t="s">
        <v>19</v>
      </c>
      <c r="I2004" s="1" t="s">
        <v>20</v>
      </c>
      <c r="J2004" s="1" t="s">
        <v>8794</v>
      </c>
      <c r="K2004" s="1" t="s">
        <v>22</v>
      </c>
      <c r="L2004" s="1" t="str">
        <f>HYPERLINK("https://files.afu.se/Downloads/Transcripts/0%20-%20Government/USA%20-%20NASA%20Johnson/2013 11 19 - NASA Johnson - Space Station Live  Deploying Tiny Satellites from the Station_Z8fE-OwpF4E - transcript (automated).pdf","Transcript Link")</f>
        <v>Transcript Link</v>
      </c>
      <c r="M2004" s="2" t="str">
        <f>HYPERLINK("https://files.afu.se/Downloads/Transcripts/0%20-%20Government/USA%20-%20NASA%20Johnson/2013 11 19 - NASA Johnson - Space Station Live  Deploying Tiny Satellites from the Station_Z8fE-OwpF4E - transcript (automated).pdf","Transcript Link")</f>
        <v>Transcript Link</v>
      </c>
    </row>
    <row r="2005" ht="180" spans="1:13">
      <c r="A2005" s="1" t="s">
        <v>8790</v>
      </c>
      <c r="B2005" s="1" t="s">
        <v>13</v>
      </c>
      <c r="C2005" s="4" t="s">
        <v>8795</v>
      </c>
      <c r="D2005" s="1" t="s">
        <v>8796</v>
      </c>
      <c r="E2005" s="1" t="s">
        <v>8797</v>
      </c>
      <c r="F2005" s="4" t="s">
        <v>17</v>
      </c>
      <c r="G2005" s="1" t="s">
        <v>18</v>
      </c>
      <c r="H2005" s="1" t="s">
        <v>19</v>
      </c>
      <c r="I2005" s="1" t="s">
        <v>20</v>
      </c>
      <c r="J2005" s="1" t="s">
        <v>8798</v>
      </c>
      <c r="K2005" s="1" t="s">
        <v>22</v>
      </c>
      <c r="L2005" s="1" t="str">
        <f>HYPERLINK("https://files.afu.se/Downloads/Transcripts/0%20-%20Government/USA%20-%20NASA%20Johnson/2013 11 19 - NASA Johnson - Monthly ISS research video update for November 1, 2013_o60k1n2VAHE - transcript (automated).pdf","Transcript Link")</f>
        <v>Transcript Link</v>
      </c>
      <c r="M2005" s="2" t="str">
        <f>HYPERLINK("https://files.afu.se/Downloads/Transcripts/0%20-%20Government/USA%20-%20NASA%20Johnson/2013 11 19 - NASA Johnson - Monthly ISS research video update for November 1, 2013_o60k1n2VAHE - transcript (automated).pdf","Transcript Link")</f>
        <v>Transcript Link</v>
      </c>
    </row>
    <row r="2006" ht="180" spans="1:13">
      <c r="A2006" s="1" t="s">
        <v>8790</v>
      </c>
      <c r="B2006" s="1" t="s">
        <v>13</v>
      </c>
      <c r="C2006" s="4" t="s">
        <v>8799</v>
      </c>
      <c r="D2006" s="1" t="s">
        <v>8800</v>
      </c>
      <c r="E2006" s="1" t="s">
        <v>8801</v>
      </c>
      <c r="F2006" s="4" t="s">
        <v>17</v>
      </c>
      <c r="G2006" s="1" t="s">
        <v>18</v>
      </c>
      <c r="H2006" s="1" t="s">
        <v>19</v>
      </c>
      <c r="I2006" s="1" t="s">
        <v>20</v>
      </c>
      <c r="J2006" s="1" t="s">
        <v>8802</v>
      </c>
      <c r="K2006" s="1" t="s">
        <v>22</v>
      </c>
      <c r="L2006" s="1" t="str">
        <f>HYPERLINK("https://files.afu.se/Downloads/Transcripts/0%20-%20Government/USA%20-%20NASA%20Johnson/2013 11 19 - NASA Johnson - Space Station Live  Nov. 19, 2013_iBGJi_lk1r8 - transcript (automated).pdf","Transcript Link")</f>
        <v>Transcript Link</v>
      </c>
      <c r="M2006" s="2" t="str">
        <f>HYPERLINK("https://files.afu.se/Downloads/Transcripts/0%20-%20Government/USA%20-%20NASA%20Johnson/2013 11 19 - NASA Johnson - Space Station Live  Nov. 19, 2013_iBGJi_lk1r8 - transcript (automated).pdf","Transcript Link")</f>
        <v>Transcript Link</v>
      </c>
    </row>
    <row r="2007" ht="315" spans="1:13">
      <c r="A2007" s="1" t="s">
        <v>8803</v>
      </c>
      <c r="B2007" s="1" t="s">
        <v>13</v>
      </c>
      <c r="C2007" s="4" t="s">
        <v>8804</v>
      </c>
      <c r="D2007" s="1" t="s">
        <v>8805</v>
      </c>
      <c r="E2007" s="1" t="s">
        <v>8806</v>
      </c>
      <c r="F2007" s="4" t="s">
        <v>17</v>
      </c>
      <c r="G2007" s="1" t="s">
        <v>18</v>
      </c>
      <c r="H2007" s="1" t="s">
        <v>19</v>
      </c>
      <c r="I2007" s="1" t="s">
        <v>20</v>
      </c>
      <c r="J2007" s="1" t="s">
        <v>8807</v>
      </c>
      <c r="K2007" s="1" t="s">
        <v>22</v>
      </c>
      <c r="L2007" s="1" t="str">
        <f>HYPERLINK("https://files.afu.se/Downloads/Transcripts/0%20-%20Government/USA%20-%20NASA%20Johnson/2013 11 18 - NASA Johnson - Space Station Live  Repairing and Testing a Spacesuit on Orbit_sgJk8_glGxY - transcript (automated).pdf","Transcript Link")</f>
        <v>Transcript Link</v>
      </c>
      <c r="M2007" s="2" t="str">
        <f>HYPERLINK("https://files.afu.se/Downloads/Transcripts/0%20-%20Government/USA%20-%20NASA%20Johnson/2013 11 18 - NASA Johnson - Space Station Live  Repairing and Testing a Spacesuit on Orbit_sgJk8_glGxY - transcript (automated).pdf","Transcript Link")</f>
        <v>Transcript Link</v>
      </c>
    </row>
    <row r="2008" ht="180" spans="1:13">
      <c r="A2008" s="1" t="s">
        <v>8803</v>
      </c>
      <c r="B2008" s="1" t="s">
        <v>13</v>
      </c>
      <c r="C2008" s="4" t="s">
        <v>8808</v>
      </c>
      <c r="D2008" s="1" t="s">
        <v>8809</v>
      </c>
      <c r="E2008" s="1" t="s">
        <v>8810</v>
      </c>
      <c r="F2008" s="4" t="s">
        <v>17</v>
      </c>
      <c r="G2008" s="1" t="s">
        <v>18</v>
      </c>
      <c r="H2008" s="1" t="s">
        <v>19</v>
      </c>
      <c r="I2008" s="1" t="s">
        <v>20</v>
      </c>
      <c r="J2008" s="1" t="s">
        <v>8811</v>
      </c>
      <c r="K2008" s="1" t="s">
        <v>22</v>
      </c>
      <c r="L2008" s="1" t="str">
        <f>HYPERLINK("https://files.afu.se/Downloads/Transcripts/0%20-%20Government/USA%20-%20NASA%20Johnson/2013 11 18 - NASA Johnson - Space Station Live  Nov. 18, 2013_rmnpRJqWPfc - transcript (automated).pdf","Transcript Link")</f>
        <v>Transcript Link</v>
      </c>
      <c r="M2008" s="2" t="str">
        <f>HYPERLINK("https://files.afu.se/Downloads/Transcripts/0%20-%20Government/USA%20-%20NASA%20Johnson/2013 11 18 - NASA Johnson - Space Station Live  Nov. 18, 2013_rmnpRJqWPfc - transcript (automated).pdf","Transcript Link")</f>
        <v>Transcript Link</v>
      </c>
    </row>
    <row r="2009" ht="180" spans="1:13">
      <c r="A2009" s="1" t="s">
        <v>8812</v>
      </c>
      <c r="B2009" s="1" t="s">
        <v>13</v>
      </c>
      <c r="C2009" s="4" t="s">
        <v>8813</v>
      </c>
      <c r="D2009" s="1" t="s">
        <v>8814</v>
      </c>
      <c r="E2009" s="1" t="s">
        <v>8815</v>
      </c>
      <c r="F2009" s="4" t="s">
        <v>17</v>
      </c>
      <c r="G2009" s="1" t="s">
        <v>18</v>
      </c>
      <c r="H2009" s="1" t="s">
        <v>19</v>
      </c>
      <c r="I2009" s="1" t="s">
        <v>20</v>
      </c>
      <c r="J2009" s="1" t="s">
        <v>8816</v>
      </c>
      <c r="K2009" s="1" t="s">
        <v>22</v>
      </c>
      <c r="L2009" s="1" t="str">
        <f>HYPERLINK("https://files.afu.se/Downloads/Transcripts/0%20-%20Government/USA%20-%20NASA%20Johnson/2013 11 15 - NASA Johnson - Space Station Live  Nov. 15, 2013_XeBqyV2t190 - transcript (automated).pdf","Transcript Link")</f>
        <v>Transcript Link</v>
      </c>
      <c r="M2009" s="2" t="str">
        <f>HYPERLINK("https://files.afu.se/Downloads/Transcripts/0%20-%20Government/USA%20-%20NASA%20Johnson/2013 11 15 - NASA Johnson - Space Station Live  Nov. 15, 2013_XeBqyV2t190 - transcript (automated).pdf","Transcript Link")</f>
        <v>Transcript Link</v>
      </c>
    </row>
    <row r="2010" ht="180" spans="1:13">
      <c r="A2010" s="1" t="s">
        <v>8817</v>
      </c>
      <c r="B2010" s="1" t="s">
        <v>13</v>
      </c>
      <c r="C2010" s="4" t="s">
        <v>8818</v>
      </c>
      <c r="D2010" s="1" t="s">
        <v>8819</v>
      </c>
      <c r="E2010" s="1" t="s">
        <v>8820</v>
      </c>
      <c r="F2010" s="4" t="s">
        <v>17</v>
      </c>
      <c r="G2010" s="1" t="s">
        <v>18</v>
      </c>
      <c r="H2010" s="1" t="s">
        <v>19</v>
      </c>
      <c r="I2010" s="1" t="s">
        <v>20</v>
      </c>
      <c r="J2010" s="1" t="s">
        <v>8821</v>
      </c>
      <c r="K2010" s="1" t="s">
        <v>22</v>
      </c>
      <c r="L2010" s="1" t="str">
        <f>HYPERLINK("https://files.afu.se/Downloads/Transcripts/0%20-%20Government/USA%20-%20NASA%20Johnson/2013 11 14 - NASA Johnson - Space Station Live  Nov. 14, 2013_3RW8stH7GhA - transcript (automated).pdf","Transcript Link")</f>
        <v>Transcript Link</v>
      </c>
      <c r="M2010" s="2" t="str">
        <f>HYPERLINK("https://files.afu.se/Downloads/Transcripts/0%20-%20Government/USA%20-%20NASA%20Johnson/2013 11 14 - NASA Johnson - Space Station Live  Nov. 14, 2013_3RW8stH7GhA - transcript (automated).pdf","Transcript Link")</f>
        <v>Transcript Link</v>
      </c>
    </row>
    <row r="2011" ht="180" spans="1:13">
      <c r="A2011" s="1" t="s">
        <v>8817</v>
      </c>
      <c r="B2011" s="1" t="s">
        <v>13</v>
      </c>
      <c r="C2011" s="4" t="s">
        <v>8822</v>
      </c>
      <c r="D2011" s="1" t="s">
        <v>8823</v>
      </c>
      <c r="E2011" s="1" t="s">
        <v>8824</v>
      </c>
      <c r="F2011" s="4" t="s">
        <v>17</v>
      </c>
      <c r="G2011" s="1" t="s">
        <v>18</v>
      </c>
      <c r="H2011" s="1" t="s">
        <v>19</v>
      </c>
      <c r="I2011" s="1" t="s">
        <v>20</v>
      </c>
      <c r="J2011" s="1" t="s">
        <v>8825</v>
      </c>
      <c r="K2011" s="1" t="s">
        <v>22</v>
      </c>
      <c r="L2011" s="1" t="str">
        <f>HYPERLINK("https://files.afu.se/Downloads/Transcripts/0%20-%20Government/USA%20-%20NASA%20Johnson/2013 11 14 - NASA Johnson - Space Station Live  Robotic Arm Works  Hand in Hand  With Surgeons_5Ox3dQN_AO4 - transcript (automated).pdf","Transcript Link")</f>
        <v>Transcript Link</v>
      </c>
      <c r="M2011" s="2" t="str">
        <f>HYPERLINK("https://files.afu.se/Downloads/Transcripts/0%20-%20Government/USA%20-%20NASA%20Johnson/2013 11 14 - NASA Johnson - Space Station Live  Robotic Arm Works  Hand in Hand  With Surgeons_5Ox3dQN_AO4 - transcript (automated).pdf","Transcript Link")</f>
        <v>Transcript Link</v>
      </c>
    </row>
    <row r="2012" ht="180" spans="1:13">
      <c r="A2012" s="1" t="s">
        <v>8826</v>
      </c>
      <c r="B2012" s="1" t="s">
        <v>13</v>
      </c>
      <c r="C2012" s="4" t="s">
        <v>8827</v>
      </c>
      <c r="D2012" s="1" t="s">
        <v>8828</v>
      </c>
      <c r="E2012" s="1" t="s">
        <v>8829</v>
      </c>
      <c r="F2012" s="4" t="s">
        <v>17</v>
      </c>
      <c r="G2012" s="1" t="s">
        <v>18</v>
      </c>
      <c r="H2012" s="1" t="s">
        <v>19</v>
      </c>
      <c r="I2012" s="1" t="s">
        <v>20</v>
      </c>
      <c r="J2012" s="1" t="s">
        <v>8830</v>
      </c>
      <c r="K2012" s="1" t="s">
        <v>22</v>
      </c>
      <c r="L2012" s="1" t="str">
        <f>HYPERLINK("https://files.afu.se/Downloads/Transcripts/0%20-%20Government/USA%20-%20NASA%20Johnson/2013 11 13 - NASA Johnson - Expedition 38 Crew Profile, Version 2_8PLFVX-tE94 - transcript (automated).pdf","Transcript Link")</f>
        <v>Transcript Link</v>
      </c>
      <c r="M2012" s="2" t="str">
        <f>HYPERLINK("https://files.afu.se/Downloads/Transcripts/0%20-%20Government/USA%20-%20NASA%20Johnson/2013 11 13 - NASA Johnson - Expedition 38 Crew Profile, Version 2_8PLFVX-tE94 - transcript (automated).pdf","Transcript Link")</f>
        <v>Transcript Link</v>
      </c>
    </row>
    <row r="2013" ht="180" spans="1:13">
      <c r="A2013" s="1" t="s">
        <v>8826</v>
      </c>
      <c r="B2013" s="1" t="s">
        <v>13</v>
      </c>
      <c r="C2013" s="4" t="s">
        <v>8831</v>
      </c>
      <c r="D2013" s="1" t="s">
        <v>8832</v>
      </c>
      <c r="E2013" s="1" t="s">
        <v>8833</v>
      </c>
      <c r="F2013" s="4" t="s">
        <v>17</v>
      </c>
      <c r="G2013" s="1" t="s">
        <v>18</v>
      </c>
      <c r="H2013" s="1" t="s">
        <v>19</v>
      </c>
      <c r="I2013" s="1" t="s">
        <v>20</v>
      </c>
      <c r="J2013" s="1" t="s">
        <v>8834</v>
      </c>
      <c r="K2013" s="1" t="s">
        <v>22</v>
      </c>
      <c r="L2013" s="1" t="str">
        <f>HYPERLINK("https://files.afu.se/Downloads/Transcripts/0%20-%20Government/USA%20-%20NASA%20Johnson/2013 11 13 - NASA Johnson - Space Station Live  Nov. 13, 2013_BNL8a-nudIQ - transcript (automated).pdf","Transcript Link")</f>
        <v>Transcript Link</v>
      </c>
      <c r="M2013" s="2" t="str">
        <f>HYPERLINK("https://files.afu.se/Downloads/Transcripts/0%20-%20Government/USA%20-%20NASA%20Johnson/2013 11 13 - NASA Johnson - Space Station Live  Nov. 13, 2013_BNL8a-nudIQ - transcript (automated).pdf","Transcript Link")</f>
        <v>Transcript Link</v>
      </c>
    </row>
    <row r="2014" ht="180" spans="1:13">
      <c r="A2014" s="1" t="s">
        <v>8826</v>
      </c>
      <c r="B2014" s="1" t="s">
        <v>13</v>
      </c>
      <c r="C2014" s="4" t="s">
        <v>8835</v>
      </c>
      <c r="D2014" s="1" t="s">
        <v>8836</v>
      </c>
      <c r="E2014" s="1" t="s">
        <v>8837</v>
      </c>
      <c r="F2014" s="4" t="s">
        <v>17</v>
      </c>
      <c r="G2014" s="1" t="s">
        <v>18</v>
      </c>
      <c r="H2014" s="1" t="s">
        <v>19</v>
      </c>
      <c r="I2014" s="1" t="s">
        <v>20</v>
      </c>
      <c r="J2014" s="1" t="s">
        <v>8838</v>
      </c>
      <c r="K2014" s="1" t="s">
        <v>22</v>
      </c>
      <c r="L2014" s="1" t="str">
        <f>HYPERLINK("https://files.afu.se/Downloads/Transcripts/0%20-%20Government/USA%20-%20NASA%20Johnson/2013 11 13 - NASA Johnson - Typhoon Haiyan_wjee_JOCn7A - transcript (automated).pdf","Transcript Link")</f>
        <v>Transcript Link</v>
      </c>
      <c r="M2014" s="2" t="str">
        <f>HYPERLINK("https://files.afu.se/Downloads/Transcripts/0%20-%20Government/USA%20-%20NASA%20Johnson/2013 11 13 - NASA Johnson - Typhoon Haiyan_wjee_JOCn7A - transcript (automated).pdf","Transcript Link")</f>
        <v>Transcript Link</v>
      </c>
    </row>
    <row r="2015" ht="180" spans="1:13">
      <c r="A2015" s="1" t="s">
        <v>8839</v>
      </c>
      <c r="B2015" s="1" t="s">
        <v>13</v>
      </c>
      <c r="C2015" s="4" t="s">
        <v>8840</v>
      </c>
      <c r="D2015" s="1" t="s">
        <v>8841</v>
      </c>
      <c r="E2015" s="1" t="s">
        <v>8842</v>
      </c>
      <c r="F2015" s="4" t="s">
        <v>17</v>
      </c>
      <c r="G2015" s="1" t="s">
        <v>18</v>
      </c>
      <c r="H2015" s="1" t="s">
        <v>19</v>
      </c>
      <c r="I2015" s="1" t="s">
        <v>20</v>
      </c>
      <c r="J2015" s="1" t="s">
        <v>8843</v>
      </c>
      <c r="K2015" s="1" t="s">
        <v>22</v>
      </c>
      <c r="L2015" s="1" t="str">
        <f>HYPERLINK("https://files.afu.se/Downloads/Transcripts/0%20-%20Government/USA%20-%20NASA%20Johnson/2013 11 12 - NASA Johnson - NASA's Orion Sees Flawless Fairing Separation in Second Test_aoHwFCObkzo - transcript (automated).pdf","Transcript Link")</f>
        <v>Transcript Link</v>
      </c>
      <c r="M2015" s="2" t="str">
        <f>HYPERLINK("https://files.afu.se/Downloads/Transcripts/0%20-%20Government/USA%20-%20NASA%20Johnson/2013 11 12 - NASA Johnson - NASA's Orion Sees Flawless Fairing Separation in Second Test_aoHwFCObkzo - transcript (automated).pdf","Transcript Link")</f>
        <v>Transcript Link</v>
      </c>
    </row>
    <row r="2016" ht="315" spans="1:13">
      <c r="A2016" s="1" t="s">
        <v>8839</v>
      </c>
      <c r="B2016" s="1" t="s">
        <v>13</v>
      </c>
      <c r="C2016" s="4" t="s">
        <v>8844</v>
      </c>
      <c r="D2016" s="1" t="s">
        <v>8845</v>
      </c>
      <c r="E2016" s="1" t="s">
        <v>8846</v>
      </c>
      <c r="F2016" s="4" t="s">
        <v>17</v>
      </c>
      <c r="G2016" s="1" t="s">
        <v>18</v>
      </c>
      <c r="H2016" s="1" t="s">
        <v>19</v>
      </c>
      <c r="I2016" s="1" t="s">
        <v>20</v>
      </c>
      <c r="J2016" s="1" t="s">
        <v>8847</v>
      </c>
      <c r="K2016" s="1" t="s">
        <v>22</v>
      </c>
      <c r="L2016" s="1" t="str">
        <f>HYPERLINK("https://files.afu.se/Downloads/Transcripts/0%20-%20Government/USA%20-%20NASA%20Johnson/2013 11 12 - NASA Johnson - Expedition 38 39 Mission Overview_nAxY2v9aOrk - transcript (automated).pdf","Transcript Link")</f>
        <v>Transcript Link</v>
      </c>
      <c r="M2016" s="2" t="str">
        <f>HYPERLINK("https://files.afu.se/Downloads/Transcripts/0%20-%20Government/USA%20-%20NASA%20Johnson/2013 11 12 - NASA Johnson - Expedition 38 39 Mission Overview_nAxY2v9aOrk - transcript (automated).pdf","Transcript Link")</f>
        <v>Transcript Link</v>
      </c>
    </row>
    <row r="2017" ht="180" spans="1:13">
      <c r="A2017" s="1" t="s">
        <v>8839</v>
      </c>
      <c r="B2017" s="1" t="s">
        <v>13</v>
      </c>
      <c r="C2017" s="4" t="s">
        <v>8848</v>
      </c>
      <c r="D2017" s="1" t="s">
        <v>8849</v>
      </c>
      <c r="E2017" s="1" t="s">
        <v>8850</v>
      </c>
      <c r="F2017" s="4" t="s">
        <v>17</v>
      </c>
      <c r="G2017" s="1" t="s">
        <v>18</v>
      </c>
      <c r="H2017" s="1" t="s">
        <v>19</v>
      </c>
      <c r="I2017" s="1" t="s">
        <v>20</v>
      </c>
      <c r="J2017" s="1" t="s">
        <v>8851</v>
      </c>
      <c r="K2017" s="1" t="s">
        <v>22</v>
      </c>
      <c r="L2017" s="1" t="str">
        <f>HYPERLINK("https://files.afu.se/Downloads/Transcripts/0%20-%20Government/USA%20-%20NASA%20Johnson/2013 11 12 - NASA Johnson - Space Station Live  Nov. 12, 2013_4A8kx-EWWBk - transcript (automated).pdf","Transcript Link")</f>
        <v>Transcript Link</v>
      </c>
      <c r="M2017" s="2" t="str">
        <f>HYPERLINK("https://files.afu.se/Downloads/Transcripts/0%20-%20Government/USA%20-%20NASA%20Johnson/2013 11 12 - NASA Johnson - Space Station Live  Nov. 12, 2013_4A8kx-EWWBk - transcript (automated).pdf","Transcript Link")</f>
        <v>Transcript Link</v>
      </c>
    </row>
    <row r="2018" ht="180" spans="1:13">
      <c r="A2018" s="1" t="s">
        <v>8839</v>
      </c>
      <c r="B2018" s="1" t="s">
        <v>13</v>
      </c>
      <c r="C2018" s="4" t="s">
        <v>8852</v>
      </c>
      <c r="D2018" s="1" t="s">
        <v>8853</v>
      </c>
      <c r="E2018" s="1" t="s">
        <v>8854</v>
      </c>
      <c r="F2018" s="4" t="s">
        <v>17</v>
      </c>
      <c r="G2018" s="1" t="s">
        <v>18</v>
      </c>
      <c r="H2018" s="1" t="s">
        <v>19</v>
      </c>
      <c r="I2018" s="1" t="s">
        <v>20</v>
      </c>
      <c r="J2018" s="1" t="s">
        <v>8855</v>
      </c>
      <c r="K2018" s="1" t="s">
        <v>22</v>
      </c>
      <c r="L2018" s="1" t="str">
        <f>HYPERLINK("https://files.afu.se/Downloads/Transcripts/0%20-%20Government/USA%20-%20NASA%20Johnson/2013 11 12 - NASA Johnson - Expedition 37 Crew Welcomed Back to Earth_S-ARsgLWSt4 - transcript (automated).pdf","Transcript Link")</f>
        <v>Transcript Link</v>
      </c>
      <c r="M2018" s="2" t="str">
        <f>HYPERLINK("https://files.afu.se/Downloads/Transcripts/0%20-%20Government/USA%20-%20NASA%20Johnson/2013 11 12 - NASA Johnson - Expedition 37 Crew Welcomed Back to Earth_S-ARsgLWSt4 - transcript (automated).pdf","Transcript Link")</f>
        <v>Transcript Link</v>
      </c>
    </row>
    <row r="2019" ht="240" spans="1:13">
      <c r="A2019" s="1" t="s">
        <v>8856</v>
      </c>
      <c r="B2019" s="1" t="s">
        <v>13</v>
      </c>
      <c r="C2019" s="4" t="s">
        <v>8857</v>
      </c>
      <c r="D2019" s="1" t="s">
        <v>8858</v>
      </c>
      <c r="E2019" s="1" t="s">
        <v>8859</v>
      </c>
      <c r="F2019" s="4" t="s">
        <v>17</v>
      </c>
      <c r="G2019" s="1" t="s">
        <v>18</v>
      </c>
      <c r="H2019" s="1" t="s">
        <v>19</v>
      </c>
      <c r="I2019" s="1" t="s">
        <v>20</v>
      </c>
      <c r="J2019" s="1" t="s">
        <v>8860</v>
      </c>
      <c r="K2019" s="1" t="s">
        <v>22</v>
      </c>
      <c r="L2019" s="1" t="str">
        <f>HYPERLINK("https://files.afu.se/Downloads/Transcripts/0%20-%20Government/USA%20-%20NASA%20Johnson/2013 11 11 - NASA Johnson - Expedition 37 Crew Heads Back to Earth_GKwNSLkov6o - transcript (automated).pdf","Transcript Link")</f>
        <v>Transcript Link</v>
      </c>
      <c r="M2019" s="2" t="str">
        <f>HYPERLINK("https://files.afu.se/Downloads/Transcripts/0%20-%20Government/USA%20-%20NASA%20Johnson/2013 11 11 - NASA Johnson - Expedition 37 Crew Heads Back to Earth_GKwNSLkov6o - transcript (automated).pdf","Transcript Link")</f>
        <v>Transcript Link</v>
      </c>
    </row>
    <row r="2020" ht="240" spans="1:13">
      <c r="A2020" s="1" t="s">
        <v>8861</v>
      </c>
      <c r="B2020" s="1" t="s">
        <v>13</v>
      </c>
      <c r="C2020" s="4" t="s">
        <v>8862</v>
      </c>
      <c r="D2020" s="1" t="s">
        <v>8863</v>
      </c>
      <c r="E2020" s="1" t="s">
        <v>8864</v>
      </c>
      <c r="F2020" s="4" t="s">
        <v>17</v>
      </c>
      <c r="G2020" s="1" t="s">
        <v>18</v>
      </c>
      <c r="H2020" s="1" t="s">
        <v>19</v>
      </c>
      <c r="I2020" s="1" t="s">
        <v>20</v>
      </c>
      <c r="J2020" s="1" t="s">
        <v>8865</v>
      </c>
      <c r="K2020" s="1" t="s">
        <v>22</v>
      </c>
      <c r="L2020" s="1" t="str">
        <f>HYPERLINK("https://files.afu.se/Downloads/Transcripts/0%20-%20Government/USA%20-%20NASA%20Johnson/2013 11 10 - NASA Johnson - Expedition 37 Bids Farewell to Station Crewmates_Z-l3QFEmL5M - transcript (automated).pdf","Transcript Link")</f>
        <v>Transcript Link</v>
      </c>
      <c r="M2020" s="2" t="str">
        <f>HYPERLINK("https://files.afu.se/Downloads/Transcripts/0%20-%20Government/USA%20-%20NASA%20Johnson/2013 11 10 - NASA Johnson - Expedition 37 Bids Farewell to Station Crewmates_Z-l3QFEmL5M - transcript (automated).pdf","Transcript Link")</f>
        <v>Transcript Link</v>
      </c>
    </row>
    <row r="2021" ht="345" spans="1:13">
      <c r="A2021" s="1" t="s">
        <v>8866</v>
      </c>
      <c r="B2021" s="1" t="s">
        <v>13</v>
      </c>
      <c r="C2021" s="4" t="s">
        <v>8867</v>
      </c>
      <c r="D2021" s="1" t="s">
        <v>8868</v>
      </c>
      <c r="E2021" s="1" t="s">
        <v>8869</v>
      </c>
      <c r="F2021" s="4" t="s">
        <v>17</v>
      </c>
      <c r="G2021" s="1" t="s">
        <v>18</v>
      </c>
      <c r="H2021" s="1" t="s">
        <v>19</v>
      </c>
      <c r="I2021" s="1" t="s">
        <v>20</v>
      </c>
      <c r="J2021" s="1" t="s">
        <v>8870</v>
      </c>
      <c r="K2021" s="1" t="s">
        <v>22</v>
      </c>
      <c r="L2021" s="1" t="str">
        <f>HYPERLINK("https://files.afu.se/Downloads/Transcripts/0%20-%20Government/USA%20-%20NASA%20Johnson/2013 11 08 - NASA Johnson - Space Station Live  Advanced Eye Exams in Space_UOQRIPAE3Ko - transcript (automated).pdf","Transcript Link")</f>
        <v>Transcript Link</v>
      </c>
      <c r="M2021" s="2" t="str">
        <f>HYPERLINK("https://files.afu.se/Downloads/Transcripts/0%20-%20Government/USA%20-%20NASA%20Johnson/2013 11 08 - NASA Johnson - Space Station Live  Advanced Eye Exams in Space_UOQRIPAE3Ko - transcript (automated).pdf","Transcript Link")</f>
        <v>Transcript Link</v>
      </c>
    </row>
    <row r="2022" ht="180" spans="1:13">
      <c r="A2022" s="1" t="s">
        <v>8866</v>
      </c>
      <c r="B2022" s="1" t="s">
        <v>13</v>
      </c>
      <c r="C2022" s="4" t="s">
        <v>8871</v>
      </c>
      <c r="D2022" s="1" t="s">
        <v>8872</v>
      </c>
      <c r="E2022" s="1" t="s">
        <v>8873</v>
      </c>
      <c r="F2022" s="4" t="s">
        <v>17</v>
      </c>
      <c r="G2022" s="1" t="s">
        <v>18</v>
      </c>
      <c r="H2022" s="1" t="s">
        <v>19</v>
      </c>
      <c r="I2022" s="1" t="s">
        <v>20</v>
      </c>
      <c r="J2022" s="1" t="s">
        <v>8874</v>
      </c>
      <c r="K2022" s="1" t="s">
        <v>22</v>
      </c>
      <c r="L2022" s="1" t="str">
        <f>HYPERLINK("https://files.afu.se/Downloads/Transcripts/0%20-%20Government/USA%20-%20NASA%20Johnson/2013 11 08 - NASA Johnson - Space Station Live  Nov. 8, 2013_gvhGjLkNejw - transcript (automated).pdf","Transcript Link")</f>
        <v>Transcript Link</v>
      </c>
      <c r="M2022" s="2" t="str">
        <f>HYPERLINK("https://files.afu.se/Downloads/Transcripts/0%20-%20Government/USA%20-%20NASA%20Johnson/2013 11 08 - NASA Johnson - Space Station Live  Nov. 8, 2013_gvhGjLkNejw - transcript (automated).pdf","Transcript Link")</f>
        <v>Transcript Link</v>
      </c>
    </row>
    <row r="2023" ht="360" spans="1:13">
      <c r="A2023" s="1" t="s">
        <v>8866</v>
      </c>
      <c r="B2023" s="1" t="s">
        <v>13</v>
      </c>
      <c r="C2023" s="4" t="s">
        <v>8875</v>
      </c>
      <c r="D2023" s="1" t="s">
        <v>8876</v>
      </c>
      <c r="E2023" s="1" t="s">
        <v>8877</v>
      </c>
      <c r="F2023" s="4" t="s">
        <v>17</v>
      </c>
      <c r="G2023" s="1" t="s">
        <v>18</v>
      </c>
      <c r="H2023" s="1" t="s">
        <v>19</v>
      </c>
      <c r="I2023" s="1" t="s">
        <v>20</v>
      </c>
      <c r="J2023" s="1" t="s">
        <v>8878</v>
      </c>
      <c r="K2023" s="1" t="s">
        <v>22</v>
      </c>
      <c r="L2023" s="1" t="str">
        <f>HYPERLINK("https://files.afu.se/Downloads/Transcripts/0%20-%20Government/USA%20-%20NASA%20Johnson/2013 11 08 - NASA Johnson - Expedition 37 38 39 Joint Crew News Conference_ORsUo2eXHtc - transcript (automated).pdf","Transcript Link")</f>
        <v>Transcript Link</v>
      </c>
      <c r="M2023" s="2" t="str">
        <f>HYPERLINK("https://files.afu.se/Downloads/Transcripts/0%20-%20Government/USA%20-%20NASA%20Johnson/2013 11 08 - NASA Johnson - Expedition 37 38 39 Joint Crew News Conference_ORsUo2eXHtc - transcript (automated).pdf","Transcript Link")</f>
        <v>Transcript Link</v>
      </c>
    </row>
    <row r="2024" ht="180" spans="1:13">
      <c r="A2024" s="1" t="s">
        <v>8879</v>
      </c>
      <c r="B2024" s="1" t="s">
        <v>13</v>
      </c>
      <c r="C2024" s="4" t="s">
        <v>8880</v>
      </c>
      <c r="D2024" s="1" t="s">
        <v>8881</v>
      </c>
      <c r="E2024" s="1" t="s">
        <v>8882</v>
      </c>
      <c r="F2024" s="4" t="s">
        <v>17</v>
      </c>
      <c r="G2024" s="1" t="s">
        <v>18</v>
      </c>
      <c r="H2024" s="1" t="s">
        <v>19</v>
      </c>
      <c r="I2024" s="1" t="s">
        <v>20</v>
      </c>
      <c r="J2024" s="1" t="s">
        <v>8883</v>
      </c>
      <c r="K2024" s="1" t="s">
        <v>22</v>
      </c>
      <c r="L2024" s="1" t="str">
        <f>HYPERLINK("https://files.afu.se/Downloads/Transcripts/0%20-%20Government/USA%20-%20NASA%20Johnson/2013 11 07 - NASA Johnson - Space Station Live  Astronaut Peggy Whitson Talks Micro-Encapsulation Experiments_JDellw1knhk - transcript (automated).pdf","Transcript Link")</f>
        <v>Transcript Link</v>
      </c>
      <c r="M2024" s="2" t="str">
        <f>HYPERLINK("https://files.afu.se/Downloads/Transcripts/0%20-%20Government/USA%20-%20NASA%20Johnson/2013 11 07 - NASA Johnson - Space Station Live  Astronaut Peggy Whitson Talks Micro-Encapsulation Experiments_JDellw1knhk - transcript (automated).pdf","Transcript Link")</f>
        <v>Transcript Link</v>
      </c>
    </row>
    <row r="2025" ht="180" spans="1:13">
      <c r="A2025" s="1" t="s">
        <v>8879</v>
      </c>
      <c r="B2025" s="1" t="s">
        <v>13</v>
      </c>
      <c r="C2025" s="4" t="s">
        <v>8884</v>
      </c>
      <c r="D2025" s="1" t="s">
        <v>8885</v>
      </c>
      <c r="E2025" s="1" t="s">
        <v>8886</v>
      </c>
      <c r="F2025" s="4" t="s">
        <v>17</v>
      </c>
      <c r="G2025" s="1" t="s">
        <v>18</v>
      </c>
      <c r="H2025" s="1" t="s">
        <v>19</v>
      </c>
      <c r="I2025" s="1" t="s">
        <v>20</v>
      </c>
      <c r="J2025" s="1" t="s">
        <v>8887</v>
      </c>
      <c r="K2025" s="1" t="s">
        <v>22</v>
      </c>
      <c r="L2025" s="1" t="str">
        <f>HYPERLINK("https://files.afu.se/Downloads/Transcripts/0%20-%20Government/USA%20-%20NASA%20Johnson/2013 11 07 - NASA Johnson - Space Station Live  SPHERES-RINGS_w9G0p4H3bcc - transcript (automated).pdf","Transcript Link")</f>
        <v>Transcript Link</v>
      </c>
      <c r="M2025" s="2" t="str">
        <f>HYPERLINK("https://files.afu.se/Downloads/Transcripts/0%20-%20Government/USA%20-%20NASA%20Johnson/2013 11 07 - NASA Johnson - Space Station Live  SPHERES-RINGS_w9G0p4H3bcc - transcript (automated).pdf","Transcript Link")</f>
        <v>Transcript Link</v>
      </c>
    </row>
    <row r="2026" ht="180" spans="1:13">
      <c r="A2026" s="1" t="s">
        <v>8879</v>
      </c>
      <c r="B2026" s="1" t="s">
        <v>13</v>
      </c>
      <c r="C2026" s="4" t="s">
        <v>8888</v>
      </c>
      <c r="D2026" s="1" t="s">
        <v>8889</v>
      </c>
      <c r="E2026" s="1" t="s">
        <v>8890</v>
      </c>
      <c r="F2026" s="4" t="s">
        <v>17</v>
      </c>
      <c r="G2026" s="1" t="s">
        <v>18</v>
      </c>
      <c r="H2026" s="1" t="s">
        <v>19</v>
      </c>
      <c r="I2026" s="1" t="s">
        <v>20</v>
      </c>
      <c r="J2026" s="1" t="s">
        <v>8891</v>
      </c>
      <c r="K2026" s="1" t="s">
        <v>22</v>
      </c>
      <c r="L2026" s="1" t="str">
        <f>HYPERLINK("https://files.afu.se/Downloads/Transcripts/0%20-%20Government/USA%20-%20NASA%20Johnson/2013 11 07 - NASA Johnson - Space Station Live  Nov. 7, 2013_5S5kP1K1FgM - transcript (automated).pdf","Transcript Link")</f>
        <v>Transcript Link</v>
      </c>
      <c r="M2026" s="2" t="str">
        <f>HYPERLINK("https://files.afu.se/Downloads/Transcripts/0%20-%20Government/USA%20-%20NASA%20Johnson/2013 11 07 - NASA Johnson - Space Station Live  Nov. 7, 2013_5S5kP1K1FgM - transcript (automated).pdf","Transcript Link")</f>
        <v>Transcript Link</v>
      </c>
    </row>
    <row r="2027" ht="180" spans="1:13">
      <c r="A2027" s="1" t="s">
        <v>8879</v>
      </c>
      <c r="B2027" s="1" t="s">
        <v>13</v>
      </c>
      <c r="C2027" s="4" t="s">
        <v>8892</v>
      </c>
      <c r="D2027" s="1" t="s">
        <v>8893</v>
      </c>
      <c r="E2027" s="1" t="s">
        <v>8894</v>
      </c>
      <c r="F2027" s="4" t="s">
        <v>17</v>
      </c>
      <c r="G2027" s="1" t="s">
        <v>18</v>
      </c>
      <c r="H2027" s="1" t="s">
        <v>19</v>
      </c>
      <c r="I2027" s="1" t="s">
        <v>20</v>
      </c>
      <c r="J2027" s="1" t="s">
        <v>8895</v>
      </c>
      <c r="K2027" s="1" t="s">
        <v>22</v>
      </c>
      <c r="L2027" s="1" t="str">
        <f>HYPERLINK("https://files.afu.se/Downloads/Transcripts/0%20-%20Government/USA%20-%20NASA%20Johnson/2013 11 07 - NASA Johnson - Welcome Aboard!_xVuB5cuwB1w - transcript (automated).pdf","Transcript Link")</f>
        <v>Transcript Link</v>
      </c>
      <c r="M2027" s="2" t="str">
        <f>HYPERLINK("https://files.afu.se/Downloads/Transcripts/0%20-%20Government/USA%20-%20NASA%20Johnson/2013 11 07 - NASA Johnson - Welcome Aboard!_xVuB5cuwB1w - transcript (automated).pdf","Transcript Link")</f>
        <v>Transcript Link</v>
      </c>
    </row>
    <row r="2028" ht="180" spans="1:13">
      <c r="A2028" s="1" t="s">
        <v>8879</v>
      </c>
      <c r="B2028" s="1" t="s">
        <v>13</v>
      </c>
      <c r="C2028" s="4" t="s">
        <v>8896</v>
      </c>
      <c r="D2028" s="1" t="s">
        <v>8897</v>
      </c>
      <c r="E2028" s="1" t="s">
        <v>8898</v>
      </c>
      <c r="F2028" s="4" t="s">
        <v>17</v>
      </c>
      <c r="G2028" s="1" t="s">
        <v>18</v>
      </c>
      <c r="H2028" s="1" t="s">
        <v>19</v>
      </c>
      <c r="I2028" s="1" t="s">
        <v>20</v>
      </c>
      <c r="J2028" s="1" t="s">
        <v>8899</v>
      </c>
      <c r="K2028" s="1" t="s">
        <v>22</v>
      </c>
      <c r="L2028" s="1" t="str">
        <f>HYPERLINK("https://files.afu.se/Downloads/Transcripts/0%20-%20Government/USA%20-%20NASA%20Johnson/2013 11 07 - NASA Johnson - New Crew Arrives at Space Station_wmx28XW2c7Y - transcript (automated).pdf","Transcript Link")</f>
        <v>Transcript Link</v>
      </c>
      <c r="M2028" s="2" t="str">
        <f>HYPERLINK("https://files.afu.se/Downloads/Transcripts/0%20-%20Government/USA%20-%20NASA%20Johnson/2013 11 07 - NASA Johnson - New Crew Arrives at Space Station_wmx28XW2c7Y - transcript (automated).pdf","Transcript Link")</f>
        <v>Transcript Link</v>
      </c>
    </row>
    <row r="2029" ht="180" spans="1:13">
      <c r="A2029" s="1" t="s">
        <v>8900</v>
      </c>
      <c r="B2029" s="1" t="s">
        <v>13</v>
      </c>
      <c r="C2029" s="4" t="s">
        <v>8901</v>
      </c>
      <c r="D2029" s="1" t="s">
        <v>8902</v>
      </c>
      <c r="E2029" s="1" t="s">
        <v>8903</v>
      </c>
      <c r="F2029" s="4" t="s">
        <v>17</v>
      </c>
      <c r="G2029" s="1" t="s">
        <v>18</v>
      </c>
      <c r="H2029" s="1" t="s">
        <v>19</v>
      </c>
      <c r="I2029" s="1" t="s">
        <v>20</v>
      </c>
      <c r="J2029" s="1" t="s">
        <v>8904</v>
      </c>
      <c r="K2029" s="1" t="s">
        <v>22</v>
      </c>
      <c r="L2029" s="1" t="str">
        <f>HYPERLINK("https://files.afu.se/Downloads/Transcripts/0%20-%20Government/USA%20-%20NASA%20Johnson/2013 11 06 - NASA Johnson - Space Station Live  Nutrition and Bone Loss in Space_v7lsFqSoT2o - transcript (automated).pdf","Transcript Link")</f>
        <v>Transcript Link</v>
      </c>
      <c r="M2029" s="2" t="str">
        <f>HYPERLINK("https://files.afu.se/Downloads/Transcripts/0%20-%20Government/USA%20-%20NASA%20Johnson/2013 11 06 - NASA Johnson - Space Station Live  Nutrition and Bone Loss in Space_v7lsFqSoT2o - transcript (automated).pdf","Transcript Link")</f>
        <v>Transcript Link</v>
      </c>
    </row>
    <row r="2030" ht="180" spans="1:13">
      <c r="A2030" s="1" t="s">
        <v>8900</v>
      </c>
      <c r="B2030" s="1" t="s">
        <v>13</v>
      </c>
      <c r="C2030" s="4" t="s">
        <v>8905</v>
      </c>
      <c r="D2030" s="1" t="s">
        <v>8906</v>
      </c>
      <c r="E2030" s="1" t="s">
        <v>8907</v>
      </c>
      <c r="F2030" s="4" t="s">
        <v>17</v>
      </c>
      <c r="G2030" s="1" t="s">
        <v>18</v>
      </c>
      <c r="H2030" s="1" t="s">
        <v>19</v>
      </c>
      <c r="I2030" s="1" t="s">
        <v>20</v>
      </c>
      <c r="J2030" s="1" t="s">
        <v>8908</v>
      </c>
      <c r="K2030" s="1" t="s">
        <v>22</v>
      </c>
      <c r="L2030" s="1" t="str">
        <f>HYPERLINK("https://files.afu.se/Downloads/Transcripts/0%20-%20Government/USA%20-%20NASA%20Johnson/2013 11 06 - NASA Johnson - Space Station Live  Nov. 6, 2013_r3Bf0g56eYM - transcript (automated).pdf","Transcript Link")</f>
        <v>Transcript Link</v>
      </c>
      <c r="M2030" s="2" t="str">
        <f>HYPERLINK("https://files.afu.se/Downloads/Transcripts/0%20-%20Government/USA%20-%20NASA%20Johnson/2013 11 06 - NASA Johnson - Space Station Live  Nov. 6, 2013_r3Bf0g56eYM - transcript (automated).pdf","Transcript Link")</f>
        <v>Transcript Link</v>
      </c>
    </row>
    <row r="2031" ht="180" spans="1:13">
      <c r="A2031" s="1" t="s">
        <v>8909</v>
      </c>
      <c r="B2031" s="1" t="s">
        <v>13</v>
      </c>
      <c r="C2031" s="4" t="s">
        <v>8910</v>
      </c>
      <c r="D2031" s="1" t="s">
        <v>8911</v>
      </c>
      <c r="E2031" s="1" t="s">
        <v>8912</v>
      </c>
      <c r="F2031" s="4" t="s">
        <v>17</v>
      </c>
      <c r="G2031" s="1" t="s">
        <v>18</v>
      </c>
      <c r="H2031" s="1" t="s">
        <v>19</v>
      </c>
      <c r="I2031" s="1" t="s">
        <v>20</v>
      </c>
      <c r="J2031" s="1" t="s">
        <v>8913</v>
      </c>
      <c r="K2031" s="1" t="s">
        <v>22</v>
      </c>
      <c r="L2031" s="1" t="str">
        <f>HYPERLINK("https://files.afu.se/Downloads/Transcripts/0%20-%20Government/USA%20-%20NASA%20Johnson/2013 11 05 - NASA Johnson - Space Station Live  Nov. 5, 2013_fB9kjLFnjIs - transcript (automated).pdf","Transcript Link")</f>
        <v>Transcript Link</v>
      </c>
      <c r="M2031" s="2" t="str">
        <f>HYPERLINK("https://files.afu.se/Downloads/Transcripts/0%20-%20Government/USA%20-%20NASA%20Johnson/2013 11 05 - NASA Johnson - Space Station Live  Nov. 5, 2013_fB9kjLFnjIs - transcript (automated).pdf","Transcript Link")</f>
        <v>Transcript Link</v>
      </c>
    </row>
    <row r="2032" ht="180" spans="1:13">
      <c r="A2032" s="1" t="s">
        <v>8909</v>
      </c>
      <c r="B2032" s="1" t="s">
        <v>13</v>
      </c>
      <c r="C2032" s="4" t="s">
        <v>8914</v>
      </c>
      <c r="D2032" s="1" t="s">
        <v>8915</v>
      </c>
      <c r="E2032" s="1" t="s">
        <v>8916</v>
      </c>
      <c r="F2032" s="4" t="s">
        <v>17</v>
      </c>
      <c r="G2032" s="1" t="s">
        <v>18</v>
      </c>
      <c r="H2032" s="1" t="s">
        <v>19</v>
      </c>
      <c r="I2032" s="1" t="s">
        <v>20</v>
      </c>
      <c r="J2032" s="1" t="s">
        <v>8917</v>
      </c>
      <c r="K2032" s="1" t="s">
        <v>22</v>
      </c>
      <c r="L2032" s="1" t="str">
        <f>HYPERLINK("https://files.afu.se/Downloads/Transcripts/0%20-%20Government/USA%20-%20NASA%20Johnson/2013 11 05 - NASA Johnson - Expedition 38 Soyuz Rolls Out to Launch Pad_rDQpEqAQkgk - transcript (automated).pdf","Transcript Link")</f>
        <v>Transcript Link</v>
      </c>
      <c r="M2032" s="2" t="str">
        <f>HYPERLINK("https://files.afu.se/Downloads/Transcripts/0%20-%20Government/USA%20-%20NASA%20Johnson/2013 11 05 - NASA Johnson - Expedition 38 Soyuz Rolls Out to Launch Pad_rDQpEqAQkgk - transcript (automated).pdf","Transcript Link")</f>
        <v>Transcript Link</v>
      </c>
    </row>
    <row r="2033" ht="240" spans="1:13">
      <c r="A2033" s="1" t="s">
        <v>8918</v>
      </c>
      <c r="B2033" s="1" t="s">
        <v>13</v>
      </c>
      <c r="C2033" s="4" t="s">
        <v>8919</v>
      </c>
      <c r="D2033" s="1" t="s">
        <v>8920</v>
      </c>
      <c r="E2033" s="1" t="s">
        <v>8921</v>
      </c>
      <c r="F2033" s="4" t="s">
        <v>17</v>
      </c>
      <c r="G2033" s="1" t="s">
        <v>18</v>
      </c>
      <c r="H2033" s="1" t="s">
        <v>19</v>
      </c>
      <c r="I2033" s="1" t="s">
        <v>20</v>
      </c>
      <c r="J2033" s="1" t="s">
        <v>8922</v>
      </c>
      <c r="K2033" s="1" t="s">
        <v>22</v>
      </c>
      <c r="L2033" s="1" t="str">
        <f>HYPERLINK("https://files.afu.se/Downloads/Transcripts/0%20-%20Government/USA%20-%20NASA%20Johnson/2013 11 04 - NASA Johnson - Space Station Live  Amateur Radio on the International Space Station_gq3yuE_de-k - transcript (automated).pdf","Transcript Link")</f>
        <v>Transcript Link</v>
      </c>
      <c r="M2033" s="2" t="str">
        <f>HYPERLINK("https://files.afu.se/Downloads/Transcripts/0%20-%20Government/USA%20-%20NASA%20Johnson/2013 11 04 - NASA Johnson - Space Station Live  Amateur Radio on the International Space Station_gq3yuE_de-k - transcript (automated).pdf","Transcript Link")</f>
        <v>Transcript Link</v>
      </c>
    </row>
    <row r="2034" ht="180" spans="1:13">
      <c r="A2034" s="1" t="s">
        <v>8918</v>
      </c>
      <c r="B2034" s="1" t="s">
        <v>13</v>
      </c>
      <c r="C2034" s="4" t="s">
        <v>8923</v>
      </c>
      <c r="D2034" s="1" t="s">
        <v>8924</v>
      </c>
      <c r="E2034" s="1" t="s">
        <v>8925</v>
      </c>
      <c r="F2034" s="4" t="s">
        <v>17</v>
      </c>
      <c r="G2034" s="1" t="s">
        <v>18</v>
      </c>
      <c r="H2034" s="1" t="s">
        <v>19</v>
      </c>
      <c r="I2034" s="1" t="s">
        <v>20</v>
      </c>
      <c r="J2034" s="1" t="s">
        <v>8926</v>
      </c>
      <c r="K2034" s="1" t="s">
        <v>22</v>
      </c>
      <c r="L2034" s="1" t="str">
        <f>HYPERLINK("https://files.afu.se/Downloads/Transcripts/0%20-%20Government/USA%20-%20NASA%20Johnson/2013 11 04 - NASA Johnson - Soyuz TMA-11M Spacecraft Mated to Rocket_9SNKa6JpB00 - transcript (automated).pdf","Transcript Link")</f>
        <v>Transcript Link</v>
      </c>
      <c r="M2034" s="2" t="str">
        <f>HYPERLINK("https://files.afu.se/Downloads/Transcripts/0%20-%20Government/USA%20-%20NASA%20Johnson/2013 11 04 - NASA Johnson - Soyuz TMA-11M Spacecraft Mated to Rocket_9SNKa6JpB00 - transcript (automated).pdf","Transcript Link")</f>
        <v>Transcript Link</v>
      </c>
    </row>
    <row r="2035" ht="180" spans="1:13">
      <c r="A2035" s="1" t="s">
        <v>8918</v>
      </c>
      <c r="B2035" s="1" t="s">
        <v>13</v>
      </c>
      <c r="C2035" s="4" t="s">
        <v>8927</v>
      </c>
      <c r="D2035" s="1" t="s">
        <v>8928</v>
      </c>
      <c r="E2035" s="1" t="s">
        <v>8929</v>
      </c>
      <c r="F2035" s="4" t="s">
        <v>17</v>
      </c>
      <c r="G2035" s="1" t="s">
        <v>18</v>
      </c>
      <c r="H2035" s="1" t="s">
        <v>19</v>
      </c>
      <c r="I2035" s="1" t="s">
        <v>20</v>
      </c>
      <c r="J2035" s="1" t="s">
        <v>8930</v>
      </c>
      <c r="K2035" s="1" t="s">
        <v>22</v>
      </c>
      <c r="L2035" s="1" t="str">
        <f>HYPERLINK("https://files.afu.se/Downloads/Transcripts/0%20-%20Government/USA%20-%20NASA%20Johnson/2013 11 04 - NASA Johnson - Space Station Live  Nov. 4, 2013_oL6hGWDd2lM - transcript (automated).pdf","Transcript Link")</f>
        <v>Transcript Link</v>
      </c>
      <c r="M2035" s="2" t="str">
        <f>HYPERLINK("https://files.afu.se/Downloads/Transcripts/0%20-%20Government/USA%20-%20NASA%20Johnson/2013 11 04 - NASA Johnson - Space Station Live  Nov. 4, 2013_oL6hGWDd2lM - transcript (automated).pdf","Transcript Link")</f>
        <v>Transcript Link</v>
      </c>
    </row>
    <row r="2036" ht="180" spans="1:13">
      <c r="A2036" s="1" t="s">
        <v>8931</v>
      </c>
      <c r="B2036" s="1" t="s">
        <v>13</v>
      </c>
      <c r="C2036" s="4" t="s">
        <v>8932</v>
      </c>
      <c r="D2036" s="1" t="s">
        <v>8933</v>
      </c>
      <c r="E2036" s="1" t="s">
        <v>8934</v>
      </c>
      <c r="F2036" s="4" t="s">
        <v>17</v>
      </c>
      <c r="G2036" s="1" t="s">
        <v>18</v>
      </c>
      <c r="H2036" s="1" t="s">
        <v>19</v>
      </c>
      <c r="I2036" s="1" t="s">
        <v>20</v>
      </c>
      <c r="J2036" s="1" t="s">
        <v>8935</v>
      </c>
      <c r="K2036" s="1" t="s">
        <v>22</v>
      </c>
      <c r="L2036" s="1" t="str">
        <f>HYPERLINK("https://files.afu.se/Downloads/Transcripts/0%20-%20Government/USA%20-%20NASA%20Johnson/2013 11 01 - NASA Johnson - Next Station Crew Preps for Soyuz Launch_1zAtMVncT-c - transcript (automated).pdf","Transcript Link")</f>
        <v>Transcript Link</v>
      </c>
      <c r="M2036" s="2" t="str">
        <f>HYPERLINK("https://files.afu.se/Downloads/Transcripts/0%20-%20Government/USA%20-%20NASA%20Johnson/2013 11 01 - NASA Johnson - Next Station Crew Preps for Soyuz Launch_1zAtMVncT-c - transcript (automated).pdf","Transcript Link")</f>
        <v>Transcript Link</v>
      </c>
    </row>
    <row r="2037" ht="180" spans="1:13">
      <c r="A2037" s="1" t="s">
        <v>8931</v>
      </c>
      <c r="B2037" s="1" t="s">
        <v>13</v>
      </c>
      <c r="C2037" s="4" t="s">
        <v>8936</v>
      </c>
      <c r="D2037" s="1" t="s">
        <v>8937</v>
      </c>
      <c r="E2037" s="1" t="s">
        <v>8938</v>
      </c>
      <c r="F2037" s="4" t="s">
        <v>17</v>
      </c>
      <c r="G2037" s="1" t="s">
        <v>18</v>
      </c>
      <c r="H2037" s="1" t="s">
        <v>19</v>
      </c>
      <c r="I2037" s="1" t="s">
        <v>20</v>
      </c>
      <c r="J2037" s="1" t="s">
        <v>8939</v>
      </c>
      <c r="K2037" s="1" t="s">
        <v>22</v>
      </c>
      <c r="L2037" s="1" t="str">
        <f>HYPERLINK("https://files.afu.se/Downloads/Transcripts/0%20-%20Government/USA%20-%20NASA%20Johnson/2013 11 01 - NASA Johnson - Space Station Live  Astronaut Chris Cassidy_I8Rm49OUe5U - transcript (automated).pdf","Transcript Link")</f>
        <v>Transcript Link</v>
      </c>
      <c r="M2037" s="2" t="str">
        <f>HYPERLINK("https://files.afu.se/Downloads/Transcripts/0%20-%20Government/USA%20-%20NASA%20Johnson/2013 11 01 - NASA Johnson - Space Station Live  Astronaut Chris Cassidy_I8Rm49OUe5U - transcript (automated).pdf","Transcript Link")</f>
        <v>Transcript Link</v>
      </c>
    </row>
    <row r="2038" ht="180" spans="1:13">
      <c r="A2038" s="1" t="s">
        <v>8931</v>
      </c>
      <c r="B2038" s="1" t="s">
        <v>13</v>
      </c>
      <c r="C2038" s="4" t="s">
        <v>8940</v>
      </c>
      <c r="D2038" s="1" t="s">
        <v>8941</v>
      </c>
      <c r="E2038" s="1" t="s">
        <v>8942</v>
      </c>
      <c r="F2038" s="4" t="s">
        <v>17</v>
      </c>
      <c r="G2038" s="1" t="s">
        <v>18</v>
      </c>
      <c r="H2038" s="1" t="s">
        <v>19</v>
      </c>
      <c r="I2038" s="1" t="s">
        <v>20</v>
      </c>
      <c r="J2038" s="1" t="s">
        <v>8943</v>
      </c>
      <c r="K2038" s="1" t="s">
        <v>22</v>
      </c>
      <c r="L2038" s="1" t="str">
        <f>HYPERLINK("https://files.afu.se/Downloads/Transcripts/0%20-%20Government/USA%20-%20NASA%20Johnson/2013 11 01 - NASA Johnson - Space Station Live  Nov. 1, 2013_tPURHbNzf9Q - transcript (automated).pdf","Transcript Link")</f>
        <v>Transcript Link</v>
      </c>
      <c r="M2038" s="2" t="str">
        <f>HYPERLINK("https://files.afu.se/Downloads/Transcripts/0%20-%20Government/USA%20-%20NASA%20Johnson/2013 11 01 - NASA Johnson - Space Station Live  Nov. 1, 2013_tPURHbNzf9Q - transcript (automated).pdf","Transcript Link")</f>
        <v>Transcript Link</v>
      </c>
    </row>
    <row r="2039" ht="345" spans="1:13">
      <c r="A2039" s="1" t="s">
        <v>8944</v>
      </c>
      <c r="B2039" s="1" t="s">
        <v>13</v>
      </c>
      <c r="C2039" s="4" t="s">
        <v>8945</v>
      </c>
      <c r="D2039" s="1" t="s">
        <v>8946</v>
      </c>
      <c r="E2039" s="1" t="s">
        <v>8947</v>
      </c>
      <c r="F2039" s="4" t="s">
        <v>17</v>
      </c>
      <c r="G2039" s="1" t="s">
        <v>18</v>
      </c>
      <c r="H2039" s="1" t="s">
        <v>19</v>
      </c>
      <c r="I2039" s="1" t="s">
        <v>20</v>
      </c>
      <c r="J2039" s="1" t="s">
        <v>8948</v>
      </c>
      <c r="K2039" s="1" t="s">
        <v>22</v>
      </c>
      <c r="L2039" s="1" t="str">
        <f>HYPERLINK("https://files.afu.se/Downloads/Transcripts/0%20-%20Government/USA%20-%20NASA%20Johnson/2013 10 31 - NASA Johnson - NASA Astronaut Karen Nyberg Invites Quilters to Create a Space Square_N0c1CijmH7o - transcript (automated).pdf","Transcript Link")</f>
        <v>Transcript Link</v>
      </c>
      <c r="M2039" s="2" t="str">
        <f>HYPERLINK("https://files.afu.se/Downloads/Transcripts/0%20-%20Government/USA%20-%20NASA%20Johnson/2013 10 31 - NASA Johnson - NASA Astronaut Karen Nyberg Invites Quilters to Create a Space Square_N0c1CijmH7o - transcript (automated).pdf","Transcript Link")</f>
        <v>Transcript Link</v>
      </c>
    </row>
    <row r="2040" ht="180" spans="1:13">
      <c r="A2040" s="1" t="s">
        <v>8944</v>
      </c>
      <c r="B2040" s="1" t="s">
        <v>13</v>
      </c>
      <c r="C2040" s="4" t="s">
        <v>8949</v>
      </c>
      <c r="D2040" s="1" t="s">
        <v>8950</v>
      </c>
      <c r="E2040" s="1" t="s">
        <v>8951</v>
      </c>
      <c r="F2040" s="4" t="s">
        <v>17</v>
      </c>
      <c r="G2040" s="1" t="s">
        <v>18</v>
      </c>
      <c r="H2040" s="1" t="s">
        <v>19</v>
      </c>
      <c r="I2040" s="1" t="s">
        <v>20</v>
      </c>
      <c r="J2040" s="1" t="s">
        <v>8952</v>
      </c>
      <c r="K2040" s="1" t="s">
        <v>22</v>
      </c>
      <c r="L2040" s="1" t="str">
        <f>HYPERLINK("https://files.afu.se/Downloads/Transcripts/0%20-%20Government/USA%20-%20NASA%20Johnson/2013 10 31 - NASA Johnson - Space Station Live  Oct. 31, 2013_Cck1tDv57ig - transcript (automated).pdf","Transcript Link")</f>
        <v>Transcript Link</v>
      </c>
      <c r="M2040" s="2" t="str">
        <f>HYPERLINK("https://files.afu.se/Downloads/Transcripts/0%20-%20Government/USA%20-%20NASA%20Johnson/2013 10 31 - NASA Johnson - Space Station Live  Oct. 31, 2013_Cck1tDv57ig - transcript (automated).pdf","Transcript Link")</f>
        <v>Transcript Link</v>
      </c>
    </row>
    <row r="2041" ht="345" spans="1:13">
      <c r="A2041" s="1" t="s">
        <v>8953</v>
      </c>
      <c r="B2041" s="1" t="s">
        <v>13</v>
      </c>
      <c r="C2041" s="4" t="s">
        <v>8954</v>
      </c>
      <c r="D2041" s="1" t="s">
        <v>8955</v>
      </c>
      <c r="E2041" s="1" t="s">
        <v>8956</v>
      </c>
      <c r="F2041" s="4" t="s">
        <v>17</v>
      </c>
      <c r="G2041" s="1" t="s">
        <v>18</v>
      </c>
      <c r="H2041" s="1" t="s">
        <v>19</v>
      </c>
      <c r="I2041" s="1" t="s">
        <v>20</v>
      </c>
      <c r="J2041" s="1" t="s">
        <v>8957</v>
      </c>
      <c r="K2041" s="1" t="s">
        <v>22</v>
      </c>
      <c r="L2041" s="1" t="str">
        <f>HYPERLINK("https://files.afu.se/Downloads/Transcripts/0%20-%20Government/USA%20-%20NASA%20Johnson/2013 10 30 - NASA Johnson - Space Station Live  3-D Printing on the Station_Uy11alCPe60 - transcript (automated).pdf","Transcript Link")</f>
        <v>Transcript Link</v>
      </c>
      <c r="M2041" s="2" t="str">
        <f>HYPERLINK("https://files.afu.se/Downloads/Transcripts/0%20-%20Government/USA%20-%20NASA%20Johnson/2013 10 30 - NASA Johnson - Space Station Live  3-D Printing on the Station_Uy11alCPe60 - transcript (automated).pdf","Transcript Link")</f>
        <v>Transcript Link</v>
      </c>
    </row>
    <row r="2042" ht="180" spans="1:13">
      <c r="A2042" s="1" t="s">
        <v>8953</v>
      </c>
      <c r="B2042" s="1" t="s">
        <v>13</v>
      </c>
      <c r="C2042" s="4" t="s">
        <v>8958</v>
      </c>
      <c r="D2042" s="1" t="s">
        <v>8959</v>
      </c>
      <c r="E2042" s="1" t="s">
        <v>8960</v>
      </c>
      <c r="F2042" s="4" t="s">
        <v>17</v>
      </c>
      <c r="G2042" s="1" t="s">
        <v>18</v>
      </c>
      <c r="H2042" s="1" t="s">
        <v>19</v>
      </c>
      <c r="I2042" s="1" t="s">
        <v>20</v>
      </c>
      <c r="J2042" s="1" t="s">
        <v>8961</v>
      </c>
      <c r="K2042" s="1" t="s">
        <v>22</v>
      </c>
      <c r="L2042" s="1" t="str">
        <f>HYPERLINK("https://files.afu.se/Downloads/Transcripts/0%20-%20Government/USA%20-%20NASA%20Johnson/2013 10 30 - NASA Johnson - Space Station Live  Oct. 30, 2013_tUsnNx1SINE - transcript (automated).pdf","Transcript Link")</f>
        <v>Transcript Link</v>
      </c>
      <c r="M2042" s="2" t="str">
        <f>HYPERLINK("https://files.afu.se/Downloads/Transcripts/0%20-%20Government/USA%20-%20NASA%20Johnson/2013 10 30 - NASA Johnson - Space Station Live  Oct. 30, 2013_tUsnNx1SINE - transcript (automated).pdf","Transcript Link")</f>
        <v>Transcript Link</v>
      </c>
    </row>
    <row r="2043" ht="180" spans="1:13">
      <c r="A2043" s="1" t="s">
        <v>8962</v>
      </c>
      <c r="B2043" s="1" t="s">
        <v>13</v>
      </c>
      <c r="C2043" s="4" t="s">
        <v>8963</v>
      </c>
      <c r="D2043" s="1" t="s">
        <v>8964</v>
      </c>
      <c r="E2043" s="1" t="s">
        <v>8965</v>
      </c>
      <c r="F2043" s="4" t="s">
        <v>17</v>
      </c>
      <c r="G2043" s="1" t="s">
        <v>18</v>
      </c>
      <c r="H2043" s="1" t="s">
        <v>19</v>
      </c>
      <c r="I2043" s="1" t="s">
        <v>20</v>
      </c>
      <c r="J2043" s="1" t="s">
        <v>8966</v>
      </c>
      <c r="K2043" s="1" t="s">
        <v>22</v>
      </c>
      <c r="L2043" s="1" t="str">
        <f>HYPERLINK("https://files.afu.se/Downloads/Transcripts/0%20-%20Government/USA%20-%20NASA%20Johnson/2013 10 29 - NASA Johnson - Space Station Live  Oct. 29, 2013_kwtRgmNetG0 - transcript (automated).pdf","Transcript Link")</f>
        <v>Transcript Link</v>
      </c>
      <c r="M2043" s="2" t="str">
        <f>HYPERLINK("https://files.afu.se/Downloads/Transcripts/0%20-%20Government/USA%20-%20NASA%20Johnson/2013 10 29 - NASA Johnson - Space Station Live  Oct. 29, 2013_kwtRgmNetG0 - transcript (automated).pdf","Transcript Link")</f>
        <v>Transcript Link</v>
      </c>
    </row>
    <row r="2044" ht="180" spans="1:13">
      <c r="A2044" s="1" t="s">
        <v>8967</v>
      </c>
      <c r="B2044" s="1" t="s">
        <v>13</v>
      </c>
      <c r="C2044" s="4" t="s">
        <v>8968</v>
      </c>
      <c r="D2044" s="1" t="s">
        <v>8969</v>
      </c>
      <c r="E2044" s="1" t="s">
        <v>8970</v>
      </c>
      <c r="F2044" s="4" t="s">
        <v>17</v>
      </c>
      <c r="G2044" s="1" t="s">
        <v>18</v>
      </c>
      <c r="H2044" s="1" t="s">
        <v>19</v>
      </c>
      <c r="I2044" s="1" t="s">
        <v>20</v>
      </c>
      <c r="J2044" s="1" t="s">
        <v>8971</v>
      </c>
      <c r="K2044" s="1" t="s">
        <v>22</v>
      </c>
      <c r="L2044" s="1" t="str">
        <f>HYPERLINK("https://files.afu.se/Downloads/Transcripts/0%20-%20Government/USA%20-%20NASA%20Johnson/2013 10 28 - NASA Johnson - Expedition 38 Crew Departs Star City_qeuvB1WfEd4 - transcript (automated).pdf","Transcript Link")</f>
        <v>Transcript Link</v>
      </c>
      <c r="M2044" s="2" t="str">
        <f>HYPERLINK("https://files.afu.se/Downloads/Transcripts/0%20-%20Government/USA%20-%20NASA%20Johnson/2013 10 28 - NASA Johnson - Expedition 38 Crew Departs Star City_qeuvB1WfEd4 - transcript (automated).pdf","Transcript Link")</f>
        <v>Transcript Link</v>
      </c>
    </row>
    <row r="2045" ht="180" spans="1:13">
      <c r="A2045" s="1" t="s">
        <v>8967</v>
      </c>
      <c r="B2045" s="1" t="s">
        <v>13</v>
      </c>
      <c r="C2045" s="4" t="s">
        <v>8972</v>
      </c>
      <c r="D2045" s="1" t="s">
        <v>8973</v>
      </c>
      <c r="E2045" s="1" t="s">
        <v>8974</v>
      </c>
      <c r="F2045" s="4" t="s">
        <v>17</v>
      </c>
      <c r="G2045" s="1" t="s">
        <v>18</v>
      </c>
      <c r="H2045" s="1" t="s">
        <v>19</v>
      </c>
      <c r="I2045" s="1" t="s">
        <v>20</v>
      </c>
      <c r="J2045" s="1" t="s">
        <v>8975</v>
      </c>
      <c r="K2045" s="1" t="s">
        <v>22</v>
      </c>
      <c r="L2045" s="1" t="str">
        <f>HYPERLINK("https://files.afu.se/Downloads/Transcripts/0%20-%20Government/USA%20-%20NASA%20Johnson/2013 10 28 - NASA Johnson - Expedition 38 Flight Engineer Rick Mastracchio_O3tXqbl95cI - transcript (automated).pdf","Transcript Link")</f>
        <v>Transcript Link</v>
      </c>
      <c r="M2045" s="2" t="str">
        <f>HYPERLINK("https://files.afu.se/Downloads/Transcripts/0%20-%20Government/USA%20-%20NASA%20Johnson/2013 10 28 - NASA Johnson - Expedition 38 Flight Engineer Rick Mastracchio_O3tXqbl95cI - transcript (automated).pdf","Transcript Link")</f>
        <v>Transcript Link</v>
      </c>
    </row>
    <row r="2046" ht="180" spans="1:13">
      <c r="A2046" s="1" t="s">
        <v>8967</v>
      </c>
      <c r="B2046" s="1" t="s">
        <v>13</v>
      </c>
      <c r="C2046" s="4" t="s">
        <v>8976</v>
      </c>
      <c r="D2046" s="1" t="s">
        <v>8977</v>
      </c>
      <c r="E2046" s="1" t="s">
        <v>8978</v>
      </c>
      <c r="F2046" s="4" t="s">
        <v>17</v>
      </c>
      <c r="G2046" s="1" t="s">
        <v>18</v>
      </c>
      <c r="H2046" s="1" t="s">
        <v>19</v>
      </c>
      <c r="I2046" s="1" t="s">
        <v>20</v>
      </c>
      <c r="J2046" s="1" t="s">
        <v>8979</v>
      </c>
      <c r="K2046" s="1" t="s">
        <v>22</v>
      </c>
      <c r="L2046" s="1" t="str">
        <f>HYPERLINK("https://files.afu.se/Downloads/Transcripts/0%20-%20Government/USA%20-%20NASA%20Johnson/2013 10 28 - NASA Johnson - Expedition 38 Flight Engineer Koichi Wakata_pij-M_eAeCg - transcript (automated).pdf","Transcript Link")</f>
        <v>Transcript Link</v>
      </c>
      <c r="M2046" s="2" t="str">
        <f>HYPERLINK("https://files.afu.se/Downloads/Transcripts/0%20-%20Government/USA%20-%20NASA%20Johnson/2013 10 28 - NASA Johnson - Expedition 38 Flight Engineer Koichi Wakata_pij-M_eAeCg - transcript (automated).pdf","Transcript Link")</f>
        <v>Transcript Link</v>
      </c>
    </row>
    <row r="2047" ht="180" spans="1:13">
      <c r="A2047" s="1" t="s">
        <v>8967</v>
      </c>
      <c r="B2047" s="1" t="s">
        <v>13</v>
      </c>
      <c r="C2047" s="4" t="s">
        <v>8980</v>
      </c>
      <c r="D2047" s="1" t="s">
        <v>8981</v>
      </c>
      <c r="E2047" s="1" t="s">
        <v>8982</v>
      </c>
      <c r="F2047" s="4" t="s">
        <v>17</v>
      </c>
      <c r="G2047" s="1" t="s">
        <v>18</v>
      </c>
      <c r="H2047" s="1" t="s">
        <v>19</v>
      </c>
      <c r="I2047" s="1" t="s">
        <v>20</v>
      </c>
      <c r="J2047" s="1" t="s">
        <v>8983</v>
      </c>
      <c r="K2047" s="1" t="s">
        <v>22</v>
      </c>
      <c r="L2047" s="1" t="str">
        <f>HYPERLINK("https://files.afu.se/Downloads/Transcripts/0%20-%20Government/USA%20-%20NASA%20Johnson/2013 10 28 - NASA Johnson - Expedition 38 Crew Profile, Version 1_3ZoEIsl852Q - transcript (automated).pdf","Transcript Link")</f>
        <v>Transcript Link</v>
      </c>
      <c r="M2047" s="2" t="str">
        <f>HYPERLINK("https://files.afu.se/Downloads/Transcripts/0%20-%20Government/USA%20-%20NASA%20Johnson/2013 10 28 - NASA Johnson - Expedition 38 Crew Profile, Version 1_3ZoEIsl852Q - transcript (automated).pdf","Transcript Link")</f>
        <v>Transcript Link</v>
      </c>
    </row>
    <row r="2048" ht="180" spans="1:13">
      <c r="A2048" s="1" t="s">
        <v>8967</v>
      </c>
      <c r="B2048" s="1" t="s">
        <v>13</v>
      </c>
      <c r="C2048" s="4" t="s">
        <v>8984</v>
      </c>
      <c r="D2048" s="1" t="s">
        <v>8985</v>
      </c>
      <c r="E2048" s="1" t="s">
        <v>8986</v>
      </c>
      <c r="F2048" s="4" t="s">
        <v>17</v>
      </c>
      <c r="G2048" s="1" t="s">
        <v>18</v>
      </c>
      <c r="H2048" s="1" t="s">
        <v>19</v>
      </c>
      <c r="I2048" s="1" t="s">
        <v>20</v>
      </c>
      <c r="J2048" s="1" t="s">
        <v>8987</v>
      </c>
      <c r="K2048" s="1" t="s">
        <v>22</v>
      </c>
      <c r="L2048" s="1" t="str">
        <f>HYPERLINK("https://files.afu.se/Downloads/Transcripts/0%20-%20Government/USA%20-%20NASA%20Johnson/2013 10 28 - NASA Johnson - Expedition 38 Flight Engineer Mikhail Tyurin_HLoGlt-XOMU - transcript (automated).pdf","Transcript Link")</f>
        <v>Transcript Link</v>
      </c>
      <c r="M2048" s="2" t="str">
        <f>HYPERLINK("https://files.afu.se/Downloads/Transcripts/0%20-%20Government/USA%20-%20NASA%20Johnson/2013 10 28 - NASA Johnson - Expedition 38 Flight Engineer Mikhail Tyurin_HLoGlt-XOMU - transcript (automated).pdf","Transcript Link")</f>
        <v>Transcript Link</v>
      </c>
    </row>
    <row r="2049" ht="180" spans="1:13">
      <c r="A2049" s="1" t="s">
        <v>8967</v>
      </c>
      <c r="B2049" s="1" t="s">
        <v>13</v>
      </c>
      <c r="C2049" s="4" t="s">
        <v>8988</v>
      </c>
      <c r="D2049" s="1" t="s">
        <v>8989</v>
      </c>
      <c r="E2049" s="1" t="s">
        <v>8990</v>
      </c>
      <c r="F2049" s="4" t="s">
        <v>17</v>
      </c>
      <c r="G2049" s="1" t="s">
        <v>18</v>
      </c>
      <c r="H2049" s="1" t="s">
        <v>19</v>
      </c>
      <c r="I2049" s="1" t="s">
        <v>20</v>
      </c>
      <c r="J2049" s="1" t="s">
        <v>8991</v>
      </c>
      <c r="K2049" s="1" t="s">
        <v>22</v>
      </c>
      <c r="L2049" s="1" t="str">
        <f>HYPERLINK("https://files.afu.se/Downloads/Transcripts/0%20-%20Government/USA%20-%20NASA%20Johnson/2013 10 28 - NASA Johnson - Space Station Live  Oct. 28, 2013__rWWFuRXHyI - transcript (automated).pdf","Transcript Link")</f>
        <v>Transcript Link</v>
      </c>
      <c r="M2049" s="2" t="str">
        <f>HYPERLINK("https://files.afu.se/Downloads/Transcripts/0%20-%20Government/USA%20-%20NASA%20Johnson/2013 10 28 - NASA Johnson - Space Station Live  Oct. 28, 2013__rWWFuRXHyI - transcript (automated).pdf","Transcript Link")</f>
        <v>Transcript Link</v>
      </c>
    </row>
    <row r="2050" ht="180" spans="1:13">
      <c r="A2050" s="1" t="s">
        <v>8992</v>
      </c>
      <c r="B2050" s="1" t="s">
        <v>13</v>
      </c>
      <c r="C2050" s="4" t="s">
        <v>8993</v>
      </c>
      <c r="D2050" s="1" t="s">
        <v>8994</v>
      </c>
      <c r="E2050" s="1" t="s">
        <v>8995</v>
      </c>
      <c r="F2050" s="4" t="s">
        <v>17</v>
      </c>
      <c r="G2050" s="1" t="s">
        <v>18</v>
      </c>
      <c r="H2050" s="1" t="s">
        <v>19</v>
      </c>
      <c r="I2050" s="1" t="s">
        <v>20</v>
      </c>
      <c r="J2050" s="1" t="s">
        <v>8996</v>
      </c>
      <c r="K2050" s="1" t="s">
        <v>22</v>
      </c>
      <c r="L2050" s="1" t="str">
        <f>HYPERLINK("https://files.afu.se/Downloads/Transcripts/0%20-%20Government/USA%20-%20NASA%20Johnson/2013 10 25 - NASA Johnson - Space Station Live  Oct. 25, 2013_GUkC0FnH9zg - transcript (automated).pdf","Transcript Link")</f>
        <v>Transcript Link</v>
      </c>
      <c r="M2050" s="2" t="str">
        <f>HYPERLINK("https://files.afu.se/Downloads/Transcripts/0%20-%20Government/USA%20-%20NASA%20Johnson/2013 10 25 - NASA Johnson - Space Station Live  Oct. 25, 2013_GUkC0FnH9zg - transcript (automated).pdf","Transcript Link")</f>
        <v>Transcript Link</v>
      </c>
    </row>
    <row r="2051" ht="180" spans="1:13">
      <c r="A2051" s="1" t="s">
        <v>8997</v>
      </c>
      <c r="B2051" s="1" t="s">
        <v>13</v>
      </c>
      <c r="C2051" s="4" t="s">
        <v>8998</v>
      </c>
      <c r="D2051" s="1" t="s">
        <v>8999</v>
      </c>
      <c r="E2051" s="1" t="s">
        <v>9000</v>
      </c>
      <c r="F2051" s="4" t="s">
        <v>17</v>
      </c>
      <c r="G2051" s="1" t="s">
        <v>18</v>
      </c>
      <c r="H2051" s="1" t="s">
        <v>19</v>
      </c>
      <c r="I2051" s="1" t="s">
        <v>20</v>
      </c>
      <c r="J2051" s="1" t="s">
        <v>9001</v>
      </c>
      <c r="K2051" s="1" t="s">
        <v>22</v>
      </c>
      <c r="L2051" s="1" t="str">
        <f>HYPERLINK("https://files.afu.se/Downloads/Transcripts/0%20-%20Government/USA%20-%20NASA%20Johnson/2013 10 24 - NASA Johnson - Space Station Live  Spacesuit Water Leak Troubleshooting_-gpwJ-USrpg - transcript (automated).pdf","Transcript Link")</f>
        <v>Transcript Link</v>
      </c>
      <c r="M2051" s="2" t="str">
        <f>HYPERLINK("https://files.afu.se/Downloads/Transcripts/0%20-%20Government/USA%20-%20NASA%20Johnson/2013 10 24 - NASA Johnson - Space Station Live  Spacesuit Water Leak Troubleshooting_-gpwJ-USrpg - transcript (automated).pdf","Transcript Link")</f>
        <v>Transcript Link</v>
      </c>
    </row>
    <row r="2052" ht="180" spans="1:13">
      <c r="A2052" s="1" t="s">
        <v>8997</v>
      </c>
      <c r="B2052" s="1" t="s">
        <v>13</v>
      </c>
      <c r="C2052" s="4" t="s">
        <v>9002</v>
      </c>
      <c r="D2052" s="1" t="s">
        <v>9003</v>
      </c>
      <c r="E2052" s="1" t="s">
        <v>9004</v>
      </c>
      <c r="F2052" s="4" t="s">
        <v>17</v>
      </c>
      <c r="G2052" s="1" t="s">
        <v>18</v>
      </c>
      <c r="H2052" s="1" t="s">
        <v>19</v>
      </c>
      <c r="I2052" s="1" t="s">
        <v>20</v>
      </c>
      <c r="J2052" s="1" t="s">
        <v>9005</v>
      </c>
      <c r="K2052" s="1" t="s">
        <v>22</v>
      </c>
      <c r="L2052" s="1" t="str">
        <f>HYPERLINK("https://files.afu.se/Downloads/Transcripts/0%20-%20Government/USA%20-%20NASA%20Johnson/2013 10 24 - NASA Johnson - Space Station Live  Oct. 24, 2013_fmGsYe7Fx-U - transcript (automated).pdf","Transcript Link")</f>
        <v>Transcript Link</v>
      </c>
      <c r="M2052" s="2" t="str">
        <f>HYPERLINK("https://files.afu.se/Downloads/Transcripts/0%20-%20Government/USA%20-%20NASA%20Johnson/2013 10 24 - NASA Johnson - Space Station Live  Oct. 24, 2013_fmGsYe7Fx-U - transcript (automated).pdf","Transcript Link")</f>
        <v>Transcript Link</v>
      </c>
    </row>
    <row r="2053" ht="180" spans="1:13">
      <c r="A2053" s="1" t="s">
        <v>9006</v>
      </c>
      <c r="B2053" s="1" t="s">
        <v>13</v>
      </c>
      <c r="C2053" s="4" t="s">
        <v>9007</v>
      </c>
      <c r="D2053" s="1" t="s">
        <v>9008</v>
      </c>
      <c r="E2053" s="1" t="s">
        <v>9009</v>
      </c>
      <c r="F2053" s="4" t="s">
        <v>17</v>
      </c>
      <c r="G2053" s="1" t="s">
        <v>18</v>
      </c>
      <c r="H2053" s="1" t="s">
        <v>19</v>
      </c>
      <c r="I2053" s="1" t="s">
        <v>20</v>
      </c>
      <c r="J2053" s="1" t="s">
        <v>9010</v>
      </c>
      <c r="K2053" s="1" t="s">
        <v>22</v>
      </c>
      <c r="L2053" s="1" t="str">
        <f>HYPERLINK("https://files.afu.se/Downloads/Transcripts/0%20-%20Government/USA%20-%20NASA%20Johnson/2013 10 23 - NASA Johnson - Jumping Spider, Nefertiti, Onboard the International Space Station_EPPGQeZ4aw4 - transcript (automated).pdf","Transcript Link")</f>
        <v>Transcript Link</v>
      </c>
      <c r="M2053" s="2" t="str">
        <f>HYPERLINK("https://files.afu.se/Downloads/Transcripts/0%20-%20Government/USA%20-%20NASA%20Johnson/2013 10 23 - NASA Johnson - Jumping Spider, Nefertiti, Onboard the International Space Station_EPPGQeZ4aw4 - transcript (automated).pdf","Transcript Link")</f>
        <v>Transcript Link</v>
      </c>
    </row>
    <row r="2054" ht="180" spans="1:13">
      <c r="A2054" s="1" t="s">
        <v>9006</v>
      </c>
      <c r="B2054" s="1" t="s">
        <v>13</v>
      </c>
      <c r="C2054" s="4" t="s">
        <v>9011</v>
      </c>
      <c r="D2054" s="1" t="s">
        <v>9012</v>
      </c>
      <c r="E2054" s="1" t="s">
        <v>9013</v>
      </c>
      <c r="F2054" s="4" t="s">
        <v>17</v>
      </c>
      <c r="G2054" s="1" t="s">
        <v>18</v>
      </c>
      <c r="H2054" s="1" t="s">
        <v>19</v>
      </c>
      <c r="I2054" s="1" t="s">
        <v>20</v>
      </c>
      <c r="J2054" s="1" t="s">
        <v>9014</v>
      </c>
      <c r="K2054" s="1" t="s">
        <v>22</v>
      </c>
      <c r="L2054" s="1" t="str">
        <f>HYPERLINK("https://files.afu.se/Downloads/Transcripts/0%20-%20Government/USA%20-%20NASA%20Johnson/2013 10 23 - NASA Johnson - Space Station Live  Oct. 23, 2013_TD0uHZkfQ-8 - transcript (automated).pdf","Transcript Link")</f>
        <v>Transcript Link</v>
      </c>
      <c r="M2054" s="2" t="str">
        <f>HYPERLINK("https://files.afu.se/Downloads/Transcripts/0%20-%20Government/USA%20-%20NASA%20Johnson/2013 10 23 - NASA Johnson - Space Station Live  Oct. 23, 2013_TD0uHZkfQ-8 - transcript (automated).pdf","Transcript Link")</f>
        <v>Transcript Link</v>
      </c>
    </row>
    <row r="2055" ht="180" spans="1:13">
      <c r="A2055" s="1" t="s">
        <v>9006</v>
      </c>
      <c r="B2055" s="1" t="s">
        <v>13</v>
      </c>
      <c r="C2055" s="4" t="s">
        <v>9015</v>
      </c>
      <c r="D2055" s="1" t="s">
        <v>9016</v>
      </c>
      <c r="E2055" s="1" t="s">
        <v>9017</v>
      </c>
      <c r="F2055" s="4" t="s">
        <v>17</v>
      </c>
      <c r="G2055" s="1" t="s">
        <v>18</v>
      </c>
      <c r="H2055" s="1" t="s">
        <v>19</v>
      </c>
      <c r="I2055" s="1" t="s">
        <v>20</v>
      </c>
      <c r="J2055" s="1" t="s">
        <v>9018</v>
      </c>
      <c r="K2055" s="1" t="s">
        <v>22</v>
      </c>
      <c r="L2055" s="1" t="str">
        <f>HYPERLINK("https://files.afu.se/Downloads/Transcripts/0%20-%20Government/USA%20-%20NASA%20Johnson/2013 10 23 - NASA Johnson - Expedition 37 Crew Profile, Version 2_ab-m1a0TR9s - transcript (automated).pdf","Transcript Link")</f>
        <v>Transcript Link</v>
      </c>
      <c r="M2055" s="2" t="str">
        <f>HYPERLINK("https://files.afu.se/Downloads/Transcripts/0%20-%20Government/USA%20-%20NASA%20Johnson/2013 10 23 - NASA Johnson - Expedition 37 Crew Profile, Version 2_ab-m1a0TR9s - transcript (automated).pdf","Transcript Link")</f>
        <v>Transcript Link</v>
      </c>
    </row>
    <row r="2056" ht="180" spans="1:13">
      <c r="A2056" s="1" t="s">
        <v>9006</v>
      </c>
      <c r="B2056" s="1" t="s">
        <v>13</v>
      </c>
      <c r="C2056" s="4" t="s">
        <v>9019</v>
      </c>
      <c r="D2056" s="1" t="s">
        <v>9020</v>
      </c>
      <c r="E2056" s="1" t="s">
        <v>9021</v>
      </c>
      <c r="F2056" s="4" t="s">
        <v>17</v>
      </c>
      <c r="G2056" s="1" t="s">
        <v>18</v>
      </c>
      <c r="H2056" s="1" t="s">
        <v>19</v>
      </c>
      <c r="I2056" s="1" t="s">
        <v>20</v>
      </c>
      <c r="J2056" s="1" t="s">
        <v>9022</v>
      </c>
      <c r="K2056" s="1" t="s">
        <v>22</v>
      </c>
      <c r="L2056" s="1" t="str">
        <f>HYPERLINK("https://files.afu.se/Downloads/Transcripts/0%20-%20Government/USA%20-%20NASA%20Johnson/2013 10 23 - NASA Johnson - Expedition 37 38 Mission Overview_z1BiBDhdPDU - transcript (automated).pdf","Transcript Link")</f>
        <v>Transcript Link</v>
      </c>
      <c r="M2056" s="2" t="str">
        <f>HYPERLINK("https://files.afu.se/Downloads/Transcripts/0%20-%20Government/USA%20-%20NASA%20Johnson/2013 10 23 - NASA Johnson - Expedition 37 38 Mission Overview_z1BiBDhdPDU - transcript (automated).pdf","Transcript Link")</f>
        <v>Transcript Link</v>
      </c>
    </row>
    <row r="2057" ht="180" spans="1:13">
      <c r="A2057" s="1" t="s">
        <v>9023</v>
      </c>
      <c r="B2057" s="1" t="s">
        <v>13</v>
      </c>
      <c r="C2057" s="4" t="s">
        <v>9024</v>
      </c>
      <c r="D2057" s="1" t="s">
        <v>9025</v>
      </c>
      <c r="E2057" s="1" t="s">
        <v>9026</v>
      </c>
      <c r="F2057" s="4" t="s">
        <v>17</v>
      </c>
      <c r="G2057" s="1" t="s">
        <v>18</v>
      </c>
      <c r="H2057" s="1" t="s">
        <v>19</v>
      </c>
      <c r="I2057" s="1" t="s">
        <v>20</v>
      </c>
      <c r="J2057" s="1" t="s">
        <v>9027</v>
      </c>
      <c r="K2057" s="1" t="s">
        <v>22</v>
      </c>
      <c r="L2057" s="1" t="str">
        <f>HYPERLINK("https://files.afu.se/Downloads/Transcripts/0%20-%20Government/USA%20-%20NASA%20Johnson/2013 10 22 - NASA Johnson - Space Station Live  Oct. 22, 2013_s02WQxnkviI - transcript (automated).pdf","Transcript Link")</f>
        <v>Transcript Link</v>
      </c>
      <c r="M2057" s="2" t="str">
        <f>HYPERLINK("https://files.afu.se/Downloads/Transcripts/0%20-%20Government/USA%20-%20NASA%20Johnson/2013 10 22 - NASA Johnson - Space Station Live  Oct. 22, 2013_s02WQxnkviI - transcript (automated).pdf","Transcript Link")</f>
        <v>Transcript Link</v>
      </c>
    </row>
    <row r="2058" ht="180" spans="1:13">
      <c r="A2058" s="1" t="s">
        <v>9028</v>
      </c>
      <c r="B2058" s="1" t="s">
        <v>13</v>
      </c>
      <c r="C2058" s="4" t="s">
        <v>9029</v>
      </c>
      <c r="D2058" s="1" t="s">
        <v>9030</v>
      </c>
      <c r="E2058" s="1" t="s">
        <v>9031</v>
      </c>
      <c r="F2058" s="4" t="s">
        <v>17</v>
      </c>
      <c r="G2058" s="1" t="s">
        <v>18</v>
      </c>
      <c r="H2058" s="1" t="s">
        <v>19</v>
      </c>
      <c r="I2058" s="1" t="s">
        <v>20</v>
      </c>
      <c r="J2058" s="1" t="s">
        <v>9032</v>
      </c>
      <c r="K2058" s="1" t="s">
        <v>22</v>
      </c>
      <c r="L2058" s="1" t="str">
        <f>HYPERLINK("https://files.afu.se/Downloads/Transcripts/0%20-%20Government/USA%20-%20NASA%20Johnson/2013 10 21 - NASA Johnson - Space Station Live  Oct. 21, 2013_tsGcF6sETWQ - transcript (automated).pdf","Transcript Link")</f>
        <v>Transcript Link</v>
      </c>
      <c r="M2058" s="2" t="str">
        <f>HYPERLINK("https://files.afu.se/Downloads/Transcripts/0%20-%20Government/USA%20-%20NASA%20Johnson/2013 10 21 - NASA Johnson - Space Station Live  Oct. 21, 2013_tsGcF6sETWQ - transcript (automated).pdf","Transcript Link")</f>
        <v>Transcript Link</v>
      </c>
    </row>
    <row r="2059" ht="180" spans="1:13">
      <c r="A2059" s="1" t="s">
        <v>9033</v>
      </c>
      <c r="B2059" s="1" t="s">
        <v>13</v>
      </c>
      <c r="C2059" s="4" t="s">
        <v>9034</v>
      </c>
      <c r="D2059" s="1" t="s">
        <v>9035</v>
      </c>
      <c r="E2059" s="1" t="s">
        <v>9036</v>
      </c>
      <c r="F2059" s="4" t="s">
        <v>17</v>
      </c>
      <c r="G2059" s="1" t="s">
        <v>18</v>
      </c>
      <c r="H2059" s="1" t="s">
        <v>19</v>
      </c>
      <c r="I2059" s="1" t="s">
        <v>20</v>
      </c>
      <c r="J2059" s="1" t="s">
        <v>9037</v>
      </c>
      <c r="K2059" s="1" t="s">
        <v>22</v>
      </c>
      <c r="L2059" s="1" t="str">
        <f>HYPERLINK("https://files.afu.se/Downloads/Transcripts/0%20-%20Government/USA%20-%20NASA%20Johnson/2013 09 30 - NASA Johnson - Space Station Live  Sept. 30, 2013_sg514Mh3ysA - transcript (automated).pdf","Transcript Link")</f>
        <v>Transcript Link</v>
      </c>
      <c r="M2059" s="2" t="str">
        <f>HYPERLINK("https://files.afu.se/Downloads/Transcripts/0%20-%20Government/USA%20-%20NASA%20Johnson/2013 09 30 - NASA Johnson - Space Station Live  Sept. 30, 2013_sg514Mh3ysA - transcript (automated).pdf","Transcript Link")</f>
        <v>Transcript Link</v>
      </c>
    </row>
    <row r="2060" ht="180" spans="1:13">
      <c r="A2060" s="1" t="s">
        <v>9033</v>
      </c>
      <c r="B2060" s="1" t="s">
        <v>13</v>
      </c>
      <c r="C2060" s="4" t="s">
        <v>9038</v>
      </c>
      <c r="D2060" s="1" t="s">
        <v>9039</v>
      </c>
      <c r="E2060" s="1" t="s">
        <v>9040</v>
      </c>
      <c r="F2060" s="4" t="s">
        <v>17</v>
      </c>
      <c r="G2060" s="1" t="s">
        <v>18</v>
      </c>
      <c r="H2060" s="1" t="s">
        <v>19</v>
      </c>
      <c r="I2060" s="1" t="s">
        <v>20</v>
      </c>
      <c r="J2060" s="1" t="s">
        <v>9041</v>
      </c>
      <c r="K2060" s="1" t="s">
        <v>22</v>
      </c>
      <c r="L2060" s="1" t="str">
        <f>HYPERLINK("https://files.afu.se/Downloads/Transcripts/0%20-%20Government/USA%20-%20NASA%20Johnson/2013 09 30 - NASA Johnson - 2013 Racing the Station_Kr5036qjSnw - transcript (automated).pdf","Transcript Link")</f>
        <v>Transcript Link</v>
      </c>
      <c r="M2060" s="2" t="str">
        <f>HYPERLINK("https://files.afu.se/Downloads/Transcripts/0%20-%20Government/USA%20-%20NASA%20Johnson/2013 09 30 - NASA Johnson - 2013 Racing the Station_Kr5036qjSnw - transcript (automated).pdf","Transcript Link")</f>
        <v>Transcript Link</v>
      </c>
    </row>
    <row r="2061" ht="180" spans="1:13">
      <c r="A2061" s="1" t="s">
        <v>9033</v>
      </c>
      <c r="B2061" s="1" t="s">
        <v>13</v>
      </c>
      <c r="C2061" s="4" t="s">
        <v>9042</v>
      </c>
      <c r="D2061" s="1" t="s">
        <v>9043</v>
      </c>
      <c r="E2061" s="1" t="s">
        <v>9044</v>
      </c>
      <c r="F2061" s="4" t="s">
        <v>17</v>
      </c>
      <c r="G2061" s="1" t="s">
        <v>18</v>
      </c>
      <c r="H2061" s="1" t="s">
        <v>19</v>
      </c>
      <c r="I2061" s="1" t="s">
        <v>20</v>
      </c>
      <c r="J2061" s="1" t="s">
        <v>9045</v>
      </c>
      <c r="K2061" s="1" t="s">
        <v>22</v>
      </c>
      <c r="L2061" s="1" t="str">
        <f>HYPERLINK("https://files.afu.se/Downloads/Transcripts/0%20-%20Government/USA%20-%20NASA%20Johnson/2013 09 30 - NASA Johnson - Biweekly ISS Research Update - Sept. 1, 2013_TiAoo-cO4mo - transcript (automated).pdf","Transcript Link")</f>
        <v>Transcript Link</v>
      </c>
      <c r="M2061" s="2" t="str">
        <f>HYPERLINK("https://files.afu.se/Downloads/Transcripts/0%20-%20Government/USA%20-%20NASA%20Johnson/2013 09 30 - NASA Johnson - Biweekly ISS Research Update - Sept. 1, 2013_TiAoo-cO4mo - transcript (automated).pdf","Transcript Link")</f>
        <v>Transcript Link</v>
      </c>
    </row>
    <row r="2062" ht="180" spans="1:13">
      <c r="A2062" s="1" t="s">
        <v>9033</v>
      </c>
      <c r="B2062" s="1" t="s">
        <v>13</v>
      </c>
      <c r="C2062" s="4" t="s">
        <v>9046</v>
      </c>
      <c r="D2062" s="1" t="s">
        <v>9047</v>
      </c>
      <c r="E2062" s="1" t="s">
        <v>9048</v>
      </c>
      <c r="F2062" s="4" t="s">
        <v>17</v>
      </c>
      <c r="G2062" s="1" t="s">
        <v>18</v>
      </c>
      <c r="H2062" s="1" t="s">
        <v>19</v>
      </c>
      <c r="I2062" s="1" t="s">
        <v>20</v>
      </c>
      <c r="J2062" s="1" t="s">
        <v>9049</v>
      </c>
      <c r="K2062" s="1" t="s">
        <v>22</v>
      </c>
      <c r="L2062" s="1" t="str">
        <f>HYPERLINK("https://files.afu.se/Downloads/Transcripts/0%20-%20Government/USA%20-%20NASA%20Johnson/2013 09 30 - NASA Johnson - NASA Flight Director Talks Arrival of Cygnus_s9Er3OOgen8 - transcript (automated).pdf","Transcript Link")</f>
        <v>Transcript Link</v>
      </c>
      <c r="M2062" s="2" t="str">
        <f>HYPERLINK("https://files.afu.se/Downloads/Transcripts/0%20-%20Government/USA%20-%20NASA%20Johnson/2013 09 30 - NASA Johnson - NASA Flight Director Talks Arrival of Cygnus_s9Er3OOgen8 - transcript (automated).pdf","Transcript Link")</f>
        <v>Transcript Link</v>
      </c>
    </row>
    <row r="2063" ht="180" spans="1:13">
      <c r="A2063" s="1" t="s">
        <v>9033</v>
      </c>
      <c r="B2063" s="1" t="s">
        <v>13</v>
      </c>
      <c r="C2063" s="4" t="s">
        <v>9050</v>
      </c>
      <c r="D2063" s="1" t="s">
        <v>9051</v>
      </c>
      <c r="E2063" s="1" t="s">
        <v>9052</v>
      </c>
      <c r="F2063" s="4" t="s">
        <v>17</v>
      </c>
      <c r="G2063" s="1" t="s">
        <v>18</v>
      </c>
      <c r="H2063" s="1" t="s">
        <v>19</v>
      </c>
      <c r="I2063" s="1" t="s">
        <v>20</v>
      </c>
      <c r="J2063" s="1" t="s">
        <v>9053</v>
      </c>
      <c r="K2063" s="1" t="s">
        <v>22</v>
      </c>
      <c r="L2063" s="1" t="str">
        <f>HYPERLINK("https://files.afu.se/Downloads/Transcripts/0%20-%20Government/USA%20-%20NASA%20Johnson/2013 09 30 - NASA Johnson - Astronaut Shannon Lucid Speaks About G. David Low and Cygnus_O0KNY63kpS4 - transcript (automated).pdf","Transcript Link")</f>
        <v>Transcript Link</v>
      </c>
      <c r="M2063" s="2" t="str">
        <f>HYPERLINK("https://files.afu.se/Downloads/Transcripts/0%20-%20Government/USA%20-%20NASA%20Johnson/2013 09 30 - NASA Johnson - Astronaut Shannon Lucid Speaks About G. David Low and Cygnus_O0KNY63kpS4 - transcript (automated).pdf","Transcript Link")</f>
        <v>Transcript Link</v>
      </c>
    </row>
    <row r="2064" ht="180" spans="1:13">
      <c r="A2064" s="1" t="s">
        <v>9054</v>
      </c>
      <c r="B2064" s="1" t="s">
        <v>13</v>
      </c>
      <c r="C2064" s="4" t="s">
        <v>9055</v>
      </c>
      <c r="D2064" s="1" t="s">
        <v>9056</v>
      </c>
      <c r="E2064" s="1" t="s">
        <v>9057</v>
      </c>
      <c r="F2064" s="4" t="s">
        <v>17</v>
      </c>
      <c r="G2064" s="1" t="s">
        <v>18</v>
      </c>
      <c r="H2064" s="1" t="s">
        <v>19</v>
      </c>
      <c r="I2064" s="1" t="s">
        <v>20</v>
      </c>
      <c r="J2064" s="1" t="s">
        <v>9058</v>
      </c>
      <c r="K2064" s="1" t="s">
        <v>22</v>
      </c>
      <c r="L2064" s="1" t="str">
        <f>HYPERLINK("https://files.afu.se/Downloads/Transcripts/0%20-%20Government/USA%20-%20NASA%20Johnson/2013 09 27 - NASA Johnson - Space Station Live  Sept. 27, 2013_w7xboBrjcio - transcript (automated).pdf","Transcript Link")</f>
        <v>Transcript Link</v>
      </c>
      <c r="M2064" s="2" t="str">
        <f>HYPERLINK("https://files.afu.se/Downloads/Transcripts/0%20-%20Government/USA%20-%20NASA%20Johnson/2013 09 27 - NASA Johnson - Space Station Live  Sept. 27, 2013_w7xboBrjcio - transcript (automated).pdf","Transcript Link")</f>
        <v>Transcript Link</v>
      </c>
    </row>
    <row r="2065" ht="180" spans="1:13">
      <c r="A2065" s="1" t="s">
        <v>9054</v>
      </c>
      <c r="B2065" s="1" t="s">
        <v>13</v>
      </c>
      <c r="C2065" s="4" t="s">
        <v>9059</v>
      </c>
      <c r="D2065" s="1" t="s">
        <v>9060</v>
      </c>
      <c r="E2065" s="1" t="s">
        <v>9061</v>
      </c>
      <c r="F2065" s="4" t="s">
        <v>17</v>
      </c>
      <c r="G2065" s="1" t="s">
        <v>18</v>
      </c>
      <c r="H2065" s="1" t="s">
        <v>19</v>
      </c>
      <c r="I2065" s="1" t="s">
        <v>20</v>
      </c>
      <c r="J2065" s="1" t="s">
        <v>9062</v>
      </c>
      <c r="K2065" s="1" t="s">
        <v>22</v>
      </c>
      <c r="L2065" s="1" t="str">
        <f>HYPERLINK("https://files.afu.se/Downloads/Transcripts/0%20-%20Government/USA%20-%20NASA%20Johnson/2013 09 27 - NASA Johnson - Space Station Live  Karen Nyberg's Creative Skills and Technical Abilities_dKhLb0tlJ-U - transcript (automated).pdf","Transcript Link")</f>
        <v>Transcript Link</v>
      </c>
      <c r="M2065" s="2" t="str">
        <f>HYPERLINK("https://files.afu.se/Downloads/Transcripts/0%20-%20Government/USA%20-%20NASA%20Johnson/2013 09 27 - NASA Johnson - Space Station Live  Karen Nyberg's Creative Skills and Technical Abilities_dKhLb0tlJ-U - transcript (automated).pdf","Transcript Link")</f>
        <v>Transcript Link</v>
      </c>
    </row>
    <row r="2066" ht="180" spans="1:13">
      <c r="A2066" s="1" t="s">
        <v>9054</v>
      </c>
      <c r="B2066" s="1" t="s">
        <v>13</v>
      </c>
      <c r="C2066" s="4" t="s">
        <v>9063</v>
      </c>
      <c r="D2066" s="1" t="s">
        <v>9064</v>
      </c>
      <c r="E2066" s="1" t="s">
        <v>9065</v>
      </c>
      <c r="F2066" s="4" t="s">
        <v>17</v>
      </c>
      <c r="G2066" s="1" t="s">
        <v>18</v>
      </c>
      <c r="H2066" s="1" t="s">
        <v>19</v>
      </c>
      <c r="I2066" s="1" t="s">
        <v>20</v>
      </c>
      <c r="J2066" s="1" t="s">
        <v>9066</v>
      </c>
      <c r="K2066" s="1" t="s">
        <v>22</v>
      </c>
      <c r="L2066" s="1" t="str">
        <f>HYPERLINK("https://files.afu.se/Downloads/Transcripts/0%20-%20Government/USA%20-%20NASA%20Johnson/2013 09 27 - NASA Johnson - Conversations with Astronaut Karen Nyberg on...Hobbies_61E4MKosRdE - transcript (automated).pdf","Transcript Link")</f>
        <v>Transcript Link</v>
      </c>
      <c r="M2066" s="2" t="str">
        <f>HYPERLINK("https://files.afu.se/Downloads/Transcripts/0%20-%20Government/USA%20-%20NASA%20Johnson/2013 09 27 - NASA Johnson - Conversations with Astronaut Karen Nyberg on...Hobbies_61E4MKosRdE - transcript (automated).pdf","Transcript Link")</f>
        <v>Transcript Link</v>
      </c>
    </row>
    <row r="2067" ht="180" spans="1:13">
      <c r="A2067" s="1" t="s">
        <v>9067</v>
      </c>
      <c r="B2067" s="1" t="s">
        <v>13</v>
      </c>
      <c r="C2067" s="4" t="s">
        <v>9068</v>
      </c>
      <c r="D2067" s="1" t="s">
        <v>9069</v>
      </c>
      <c r="E2067" s="1" t="s">
        <v>9070</v>
      </c>
      <c r="F2067" s="4" t="s">
        <v>17</v>
      </c>
      <c r="G2067" s="1" t="s">
        <v>18</v>
      </c>
      <c r="H2067" s="1" t="s">
        <v>19</v>
      </c>
      <c r="I2067" s="1" t="s">
        <v>20</v>
      </c>
      <c r="J2067" s="1" t="s">
        <v>9071</v>
      </c>
      <c r="K2067" s="1" t="s">
        <v>22</v>
      </c>
      <c r="L2067" s="1" t="str">
        <f>HYPERLINK("https://files.afu.se/Downloads/Transcripts/0%20-%20Government/USA%20-%20NASA%20Johnson/2013 09 26 - NASA Johnson - High School Students Chat With NASA Astronaut_QONqNwoc9BE - transcript (automated).pdf","Transcript Link")</f>
        <v>Transcript Link</v>
      </c>
      <c r="M2067" s="2" t="str">
        <f>HYPERLINK("https://files.afu.se/Downloads/Transcripts/0%20-%20Government/USA%20-%20NASA%20Johnson/2013 09 26 - NASA Johnson - High School Students Chat With NASA Astronaut_QONqNwoc9BE - transcript (automated).pdf","Transcript Link")</f>
        <v>Transcript Link</v>
      </c>
    </row>
    <row r="2068" ht="300" spans="1:13">
      <c r="A2068" s="1" t="s">
        <v>9067</v>
      </c>
      <c r="B2068" s="1" t="s">
        <v>13</v>
      </c>
      <c r="C2068" s="4" t="s">
        <v>9072</v>
      </c>
      <c r="D2068" s="1" t="s">
        <v>9073</v>
      </c>
      <c r="E2068" s="1" t="s">
        <v>9074</v>
      </c>
      <c r="F2068" s="4" t="s">
        <v>17</v>
      </c>
      <c r="G2068" s="1" t="s">
        <v>18</v>
      </c>
      <c r="H2068" s="1" t="s">
        <v>19</v>
      </c>
      <c r="I2068" s="1" t="s">
        <v>20</v>
      </c>
      <c r="J2068" s="1" t="s">
        <v>9075</v>
      </c>
      <c r="K2068" s="1" t="s">
        <v>22</v>
      </c>
      <c r="L2068" s="1" t="str">
        <f>HYPERLINK("https://files.afu.se/Downloads/Transcripts/0%20-%20Government/USA%20-%20NASA%20Johnson/2013 09 26 - NASA Johnson - Space Station Live  Training Like an Astronaut_2ynFyxTS8B8 - transcript (automated).pdf","Transcript Link")</f>
        <v>Transcript Link</v>
      </c>
      <c r="M2068" s="2" t="str">
        <f>HYPERLINK("https://files.afu.se/Downloads/Transcripts/0%20-%20Government/USA%20-%20NASA%20Johnson/2013 09 26 - NASA Johnson - Space Station Live  Training Like an Astronaut_2ynFyxTS8B8 - transcript (automated).pdf","Transcript Link")</f>
        <v>Transcript Link</v>
      </c>
    </row>
    <row r="2069" ht="180" spans="1:13">
      <c r="A2069" s="1" t="s">
        <v>9067</v>
      </c>
      <c r="B2069" s="1" t="s">
        <v>13</v>
      </c>
      <c r="C2069" s="4" t="s">
        <v>9076</v>
      </c>
      <c r="D2069" s="1" t="s">
        <v>9077</v>
      </c>
      <c r="E2069" s="1" t="s">
        <v>9078</v>
      </c>
      <c r="F2069" s="4" t="s">
        <v>17</v>
      </c>
      <c r="G2069" s="1" t="s">
        <v>18</v>
      </c>
      <c r="H2069" s="1" t="s">
        <v>19</v>
      </c>
      <c r="I2069" s="1" t="s">
        <v>20</v>
      </c>
      <c r="J2069" s="1" t="s">
        <v>9079</v>
      </c>
      <c r="K2069" s="1" t="s">
        <v>22</v>
      </c>
      <c r="L2069" s="1" t="str">
        <f>HYPERLINK("https://files.afu.se/Downloads/Transcripts/0%20-%20Government/USA%20-%20NASA%20Johnson/2013 09 26 - NASA Johnson - Space Station Live  Sept. 26, 2013_jtLqjGMMVCo - transcript (automated).pdf","Transcript Link")</f>
        <v>Transcript Link</v>
      </c>
      <c r="M2069" s="2" t="str">
        <f>HYPERLINK("https://files.afu.se/Downloads/Transcripts/0%20-%20Government/USA%20-%20NASA%20Johnson/2013 09 26 - NASA Johnson - Space Station Live  Sept. 26, 2013_jtLqjGMMVCo - transcript (automated).pdf","Transcript Link")</f>
        <v>Transcript Link</v>
      </c>
    </row>
    <row r="2070" ht="180" spans="1:13">
      <c r="A2070" s="1" t="s">
        <v>9067</v>
      </c>
      <c r="B2070" s="1" t="s">
        <v>13</v>
      </c>
      <c r="C2070" s="4" t="s">
        <v>9080</v>
      </c>
      <c r="D2070" s="1" t="s">
        <v>9081</v>
      </c>
      <c r="E2070" s="1" t="s">
        <v>9082</v>
      </c>
      <c r="F2070" s="4" t="s">
        <v>17</v>
      </c>
      <c r="G2070" s="1" t="s">
        <v>18</v>
      </c>
      <c r="H2070" s="1" t="s">
        <v>19</v>
      </c>
      <c r="I2070" s="1" t="s">
        <v>20</v>
      </c>
      <c r="J2070" s="1" t="s">
        <v>9083</v>
      </c>
      <c r="K2070" s="1" t="s">
        <v>22</v>
      </c>
      <c r="L2070" s="1" t="str">
        <f>HYPERLINK("https://files.afu.se/Downloads/Transcripts/0%20-%20Government/USA%20-%20NASA%20Johnson/2013 09 26 - NASA Johnson - New Crewmates Welcomed Aboard Station_XCeb0CI6eQM - transcript (automated).pdf","Transcript Link")</f>
        <v>Transcript Link</v>
      </c>
      <c r="M2070" s="2" t="str">
        <f>HYPERLINK("https://files.afu.se/Downloads/Transcripts/0%20-%20Government/USA%20-%20NASA%20Johnson/2013 09 26 - NASA Johnson - New Crewmates Welcomed Aboard Station_XCeb0CI6eQM - transcript (automated).pdf","Transcript Link")</f>
        <v>Transcript Link</v>
      </c>
    </row>
    <row r="2071" ht="180" spans="1:13">
      <c r="A2071" s="1" t="s">
        <v>9067</v>
      </c>
      <c r="B2071" s="1" t="s">
        <v>13</v>
      </c>
      <c r="C2071" s="4" t="s">
        <v>9084</v>
      </c>
      <c r="D2071" s="1" t="s">
        <v>9085</v>
      </c>
      <c r="E2071" s="1" t="s">
        <v>9086</v>
      </c>
      <c r="F2071" s="4" t="s">
        <v>17</v>
      </c>
      <c r="G2071" s="1" t="s">
        <v>18</v>
      </c>
      <c r="H2071" s="1" t="s">
        <v>19</v>
      </c>
      <c r="I2071" s="1" t="s">
        <v>20</v>
      </c>
      <c r="J2071" s="1" t="s">
        <v>9087</v>
      </c>
      <c r="K2071" s="1" t="s">
        <v>22</v>
      </c>
      <c r="L2071" s="1" t="str">
        <f>HYPERLINK("https://files.afu.se/Downloads/Transcripts/0%20-%20Government/USA%20-%20NASA%20Johnson/2013 09 26 - NASA Johnson - Expedition 37 Arrives at Station, Docks to Poisk_GN5LQh3q08s - transcript (automated).pdf","Transcript Link")</f>
        <v>Transcript Link</v>
      </c>
      <c r="M2071" s="2" t="str">
        <f>HYPERLINK("https://files.afu.se/Downloads/Transcripts/0%20-%20Government/USA%20-%20NASA%20Johnson/2013 09 26 - NASA Johnson - Expedition 37 Arrives at Station, Docks to Poisk_GN5LQh3q08s - transcript (automated).pdf","Transcript Link")</f>
        <v>Transcript Link</v>
      </c>
    </row>
    <row r="2072" ht="195" spans="1:13">
      <c r="A2072" s="1" t="s">
        <v>9088</v>
      </c>
      <c r="B2072" s="1" t="s">
        <v>13</v>
      </c>
      <c r="C2072" s="4" t="s">
        <v>9089</v>
      </c>
      <c r="D2072" s="1" t="s">
        <v>9090</v>
      </c>
      <c r="E2072" s="1" t="s">
        <v>9091</v>
      </c>
      <c r="F2072" s="4" t="s">
        <v>17</v>
      </c>
      <c r="G2072" s="1" t="s">
        <v>18</v>
      </c>
      <c r="H2072" s="1" t="s">
        <v>19</v>
      </c>
      <c r="I2072" s="1" t="s">
        <v>20</v>
      </c>
      <c r="J2072" s="1" t="s">
        <v>9092</v>
      </c>
      <c r="K2072" s="1" t="s">
        <v>22</v>
      </c>
      <c r="L2072" s="1" t="str">
        <f>HYPERLINK("https://files.afu.se/Downloads/Transcripts/0%20-%20Government/USA%20-%20NASA%20Johnson/2013 09 25 - NASA Johnson - New Space Station Crew Launches_jOJpf-fn_NY - transcript (automated).pdf","Transcript Link")</f>
        <v>Transcript Link</v>
      </c>
      <c r="M2072" s="2" t="str">
        <f>HYPERLINK("https://files.afu.se/Downloads/Transcripts/0%20-%20Government/USA%20-%20NASA%20Johnson/2013 09 25 - NASA Johnson - New Space Station Crew Launches_jOJpf-fn_NY - transcript (automated).pdf","Transcript Link")</f>
        <v>Transcript Link</v>
      </c>
    </row>
    <row r="2073" ht="180" spans="1:13">
      <c r="A2073" s="1" t="s">
        <v>9088</v>
      </c>
      <c r="B2073" s="1" t="s">
        <v>13</v>
      </c>
      <c r="C2073" s="4" t="s">
        <v>9093</v>
      </c>
      <c r="D2073" s="1" t="s">
        <v>9094</v>
      </c>
      <c r="E2073" s="1" t="s">
        <v>9095</v>
      </c>
      <c r="F2073" s="4" t="s">
        <v>17</v>
      </c>
      <c r="G2073" s="1" t="s">
        <v>18</v>
      </c>
      <c r="H2073" s="1" t="s">
        <v>19</v>
      </c>
      <c r="I2073" s="1" t="s">
        <v>20</v>
      </c>
      <c r="J2073" s="1" t="s">
        <v>9096</v>
      </c>
      <c r="K2073" s="1" t="s">
        <v>22</v>
      </c>
      <c r="L2073" s="1" t="str">
        <f>HYPERLINK("https://files.afu.se/Downloads/Transcripts/0%20-%20Government/USA%20-%20NASA%20Johnson/2013 09 25 - NASA Johnson - Space Station Live  Sept. 25, 2013_Rrt3sgjJ_5s - transcript (automated).pdf","Transcript Link")</f>
        <v>Transcript Link</v>
      </c>
      <c r="M2073" s="2" t="str">
        <f>HYPERLINK("https://files.afu.se/Downloads/Transcripts/0%20-%20Government/USA%20-%20NASA%20Johnson/2013 09 25 - NASA Johnson - Space Station Live  Sept. 25, 2013_Rrt3sgjJ_5s - transcript (automated).pdf","Transcript Link")</f>
        <v>Transcript Link</v>
      </c>
    </row>
    <row r="2074" ht="180" spans="1:13">
      <c r="A2074" s="1" t="s">
        <v>9097</v>
      </c>
      <c r="B2074" s="1" t="s">
        <v>13</v>
      </c>
      <c r="C2074" s="4" t="s">
        <v>9098</v>
      </c>
      <c r="D2074" s="1" t="s">
        <v>9099</v>
      </c>
      <c r="E2074" s="1" t="s">
        <v>9100</v>
      </c>
      <c r="F2074" s="4" t="s">
        <v>17</v>
      </c>
      <c r="G2074" s="1" t="s">
        <v>18</v>
      </c>
      <c r="H2074" s="1" t="s">
        <v>19</v>
      </c>
      <c r="I2074" s="1" t="s">
        <v>20</v>
      </c>
      <c r="J2074" s="1" t="s">
        <v>9101</v>
      </c>
      <c r="K2074" s="1" t="s">
        <v>22</v>
      </c>
      <c r="L2074" s="1" t="str">
        <f>HYPERLINK("https://files.afu.se/Downloads/Transcripts/0%20-%20Government/USA%20-%20NASA%20Johnson/2013 09 24 - NASA Johnson - Space Station Live  Sept. 24, 2013_0mKEOlOFoxQ - transcript (automated).pdf","Transcript Link")</f>
        <v>Transcript Link</v>
      </c>
      <c r="M2074" s="2" t="str">
        <f>HYPERLINK("https://files.afu.se/Downloads/Transcripts/0%20-%20Government/USA%20-%20NASA%20Johnson/2013 09 24 - NASA Johnson - Space Station Live  Sept. 24, 2013_0mKEOlOFoxQ - transcript (automated).pdf","Transcript Link")</f>
        <v>Transcript Link</v>
      </c>
    </row>
    <row r="2075" ht="180" spans="1:13">
      <c r="A2075" s="1" t="s">
        <v>9102</v>
      </c>
      <c r="B2075" s="1" t="s">
        <v>13</v>
      </c>
      <c r="C2075" s="4" t="s">
        <v>9103</v>
      </c>
      <c r="D2075" s="1" t="s">
        <v>9104</v>
      </c>
      <c r="E2075" s="1" t="s">
        <v>9105</v>
      </c>
      <c r="F2075" s="4" t="s">
        <v>17</v>
      </c>
      <c r="G2075" s="1" t="s">
        <v>18</v>
      </c>
      <c r="H2075" s="1" t="s">
        <v>19</v>
      </c>
      <c r="I2075" s="1" t="s">
        <v>20</v>
      </c>
      <c r="J2075" s="1" t="s">
        <v>9106</v>
      </c>
      <c r="K2075" s="1" t="s">
        <v>22</v>
      </c>
      <c r="L2075" s="1" t="str">
        <f>HYPERLINK("https://files.afu.se/Downloads/Transcripts/0%20-%20Government/USA%20-%20NASA%20Johnson/2013 09 23 - NASA Johnson - Space Station Live  Coordinating Activities with the Station Crew_3WCw02GgdNE - transcript (automated).pdf","Transcript Link")</f>
        <v>Transcript Link</v>
      </c>
      <c r="M2075" s="2" t="str">
        <f>HYPERLINK("https://files.afu.se/Downloads/Transcripts/0%20-%20Government/USA%20-%20NASA%20Johnson/2013 09 23 - NASA Johnson - Space Station Live  Coordinating Activities with the Station Crew_3WCw02GgdNE - transcript (automated).pdf","Transcript Link")</f>
        <v>Transcript Link</v>
      </c>
    </row>
    <row r="2076" ht="409.5" spans="1:13">
      <c r="A2076" s="1" t="s">
        <v>9102</v>
      </c>
      <c r="B2076" s="1" t="s">
        <v>13</v>
      </c>
      <c r="C2076" s="4" t="s">
        <v>9107</v>
      </c>
      <c r="D2076" s="1" t="s">
        <v>9108</v>
      </c>
      <c r="E2076" s="1" t="s">
        <v>9109</v>
      </c>
      <c r="F2076" s="4" t="s">
        <v>17</v>
      </c>
      <c r="G2076" s="1" t="s">
        <v>18</v>
      </c>
      <c r="H2076" s="1" t="s">
        <v>19</v>
      </c>
      <c r="I2076" s="1" t="s">
        <v>20</v>
      </c>
      <c r="J2076" s="1" t="s">
        <v>9110</v>
      </c>
      <c r="K2076" s="1" t="s">
        <v>22</v>
      </c>
      <c r="L2076" s="1" t="str">
        <f>HYPERLINK("https://files.afu.se/Downloads/Transcripts/0%20-%20Government/USA%20-%20NASA%20Johnson/2013 09 23 - NASA Johnson - Space Station Live  Cygnus Rendezvous With Station Delayed_Axd-YVkZrtg - transcript (automated).pdf","Transcript Link")</f>
        <v>Transcript Link</v>
      </c>
      <c r="M2076" s="2" t="str">
        <f>HYPERLINK("https://files.afu.se/Downloads/Transcripts/0%20-%20Government/USA%20-%20NASA%20Johnson/2013 09 23 - NASA Johnson - Space Station Live  Cygnus Rendezvous With Station Delayed_Axd-YVkZrtg - transcript (automated).pdf","Transcript Link")</f>
        <v>Transcript Link</v>
      </c>
    </row>
    <row r="2077" ht="180" spans="1:13">
      <c r="A2077" s="1" t="s">
        <v>9102</v>
      </c>
      <c r="B2077" s="1" t="s">
        <v>13</v>
      </c>
      <c r="C2077" s="4" t="s">
        <v>9111</v>
      </c>
      <c r="D2077" s="1" t="s">
        <v>9112</v>
      </c>
      <c r="E2077" s="1" t="s">
        <v>9113</v>
      </c>
      <c r="F2077" s="4" t="s">
        <v>17</v>
      </c>
      <c r="G2077" s="1" t="s">
        <v>18</v>
      </c>
      <c r="H2077" s="1" t="s">
        <v>19</v>
      </c>
      <c r="I2077" s="1" t="s">
        <v>20</v>
      </c>
      <c r="J2077" s="1" t="s">
        <v>9114</v>
      </c>
      <c r="K2077" s="1" t="s">
        <v>22</v>
      </c>
      <c r="L2077" s="1" t="str">
        <f>HYPERLINK("https://files.afu.se/Downloads/Transcripts/0%20-%20Government/USA%20-%20NASA%20Johnson/2013 09 23 - NASA Johnson - Expedition 37 38 Soyuz TMA-10M Roll Out_scy4vjm7uTc - transcript (automated).pdf","Transcript Link")</f>
        <v>Transcript Link</v>
      </c>
      <c r="M2077" s="2" t="str">
        <f>HYPERLINK("https://files.afu.se/Downloads/Transcripts/0%20-%20Government/USA%20-%20NASA%20Johnson/2013 09 23 - NASA Johnson - Expedition 37 38 Soyuz TMA-10M Roll Out_scy4vjm7uTc - transcript (automated).pdf","Transcript Link")</f>
        <v>Transcript Link</v>
      </c>
    </row>
    <row r="2078" ht="180" spans="1:13">
      <c r="A2078" s="1" t="s">
        <v>9102</v>
      </c>
      <c r="B2078" s="1" t="s">
        <v>13</v>
      </c>
      <c r="C2078" s="4" t="s">
        <v>9115</v>
      </c>
      <c r="D2078" s="1" t="s">
        <v>9116</v>
      </c>
      <c r="E2078" s="1" t="s">
        <v>9117</v>
      </c>
      <c r="F2078" s="4" t="s">
        <v>17</v>
      </c>
      <c r="G2078" s="1" t="s">
        <v>18</v>
      </c>
      <c r="H2078" s="1" t="s">
        <v>19</v>
      </c>
      <c r="I2078" s="1" t="s">
        <v>20</v>
      </c>
      <c r="J2078" s="1" t="s">
        <v>9118</v>
      </c>
      <c r="K2078" s="1" t="s">
        <v>22</v>
      </c>
      <c r="L2078" s="1" t="str">
        <f>HYPERLINK("https://files.afu.se/Downloads/Transcripts/0%20-%20Government/USA%20-%20NASA%20Johnson/2013 09 23 - NASA Johnson - Space Station Live  Sept. 23, 2013_HnGsd11x2fk - transcript (automated).pdf","Transcript Link")</f>
        <v>Transcript Link</v>
      </c>
      <c r="M2078" s="2" t="str">
        <f>HYPERLINK("https://files.afu.se/Downloads/Transcripts/0%20-%20Government/USA%20-%20NASA%20Johnson/2013 09 23 - NASA Johnson - Space Station Live  Sept. 23, 2013_HnGsd11x2fk - transcript (automated).pdf","Transcript Link")</f>
        <v>Transcript Link</v>
      </c>
    </row>
    <row r="2079" ht="180" spans="1:13">
      <c r="A2079" s="1" t="s">
        <v>9119</v>
      </c>
      <c r="B2079" s="1" t="s">
        <v>13</v>
      </c>
      <c r="C2079" s="4" t="s">
        <v>9120</v>
      </c>
      <c r="D2079" s="1" t="s">
        <v>9121</v>
      </c>
      <c r="E2079" s="1" t="s">
        <v>9122</v>
      </c>
      <c r="F2079" s="4" t="s">
        <v>17</v>
      </c>
      <c r="G2079" s="1" t="s">
        <v>18</v>
      </c>
      <c r="H2079" s="1" t="s">
        <v>19</v>
      </c>
      <c r="I2079" s="1" t="s">
        <v>20</v>
      </c>
      <c r="J2079" s="1" t="s">
        <v>9123</v>
      </c>
      <c r="K2079" s="1" t="s">
        <v>22</v>
      </c>
      <c r="L2079" s="1" t="str">
        <f>HYPERLINK("https://files.afu.se/Downloads/Transcripts/0%20-%20Government/USA%20-%20NASA%20Johnson/2013 09 20 - NASA Johnson - Running in Space!__ikouWcXhd0 - transcript (automated).pdf","Transcript Link")</f>
        <v>Transcript Link</v>
      </c>
      <c r="M2079" s="2" t="str">
        <f>HYPERLINK("https://files.afu.se/Downloads/Transcripts/0%20-%20Government/USA%20-%20NASA%20Johnson/2013 09 20 - NASA Johnson - Running in Space!__ikouWcXhd0 - transcript (automated).pdf","Transcript Link")</f>
        <v>Transcript Link</v>
      </c>
    </row>
    <row r="2080" ht="315" spans="1:13">
      <c r="A2080" s="1" t="s">
        <v>9119</v>
      </c>
      <c r="B2080" s="1" t="s">
        <v>13</v>
      </c>
      <c r="C2080" s="4" t="s">
        <v>9124</v>
      </c>
      <c r="D2080" s="1" t="s">
        <v>9125</v>
      </c>
      <c r="E2080" s="1" t="s">
        <v>9126</v>
      </c>
      <c r="F2080" s="4" t="s">
        <v>17</v>
      </c>
      <c r="G2080" s="1" t="s">
        <v>18</v>
      </c>
      <c r="H2080" s="1" t="s">
        <v>19</v>
      </c>
      <c r="I2080" s="1" t="s">
        <v>20</v>
      </c>
      <c r="J2080" s="1" t="s">
        <v>9127</v>
      </c>
      <c r="K2080" s="1" t="s">
        <v>22</v>
      </c>
      <c r="L2080" s="1" t="str">
        <f>HYPERLINK("https://files.afu.se/Downloads/Transcripts/0%20-%20Government/USA%20-%20NASA%20Johnson/2013 09 20 - NASA Johnson - International Space Station Program Artist Shows His Creative Process_x49QfKZ7_Lg - transcript (automated).pdf","Transcript Link")</f>
        <v>Transcript Link</v>
      </c>
      <c r="M2080" s="2" t="str">
        <f>HYPERLINK("https://files.afu.se/Downloads/Transcripts/0%20-%20Government/USA%20-%20NASA%20Johnson/2013 09 20 - NASA Johnson - International Space Station Program Artist Shows His Creative Process_x49QfKZ7_Lg - transcript (automated).pdf","Transcript Link")</f>
        <v>Transcript Link</v>
      </c>
    </row>
    <row r="2081" ht="180" spans="1:13">
      <c r="A2081" s="1" t="s">
        <v>9119</v>
      </c>
      <c r="B2081" s="1" t="s">
        <v>13</v>
      </c>
      <c r="C2081" s="4" t="s">
        <v>9128</v>
      </c>
      <c r="D2081" s="1" t="s">
        <v>9129</v>
      </c>
      <c r="E2081" s="1" t="s">
        <v>9130</v>
      </c>
      <c r="F2081" s="4" t="s">
        <v>17</v>
      </c>
      <c r="G2081" s="1" t="s">
        <v>18</v>
      </c>
      <c r="H2081" s="1" t="s">
        <v>19</v>
      </c>
      <c r="I2081" s="1" t="s">
        <v>20</v>
      </c>
      <c r="J2081" s="1" t="s">
        <v>9131</v>
      </c>
      <c r="K2081" s="1" t="s">
        <v>22</v>
      </c>
      <c r="L2081" s="1" t="str">
        <f>HYPERLINK("https://files.afu.se/Downloads/Transcripts/0%20-%20Government/USA%20-%20NASA%20Johnson/2013 09 20 - NASA Johnson - Space Station Live  Sept. 20, 2013_O0AmGqHHo9Y - transcript (automated).pdf","Transcript Link")</f>
        <v>Transcript Link</v>
      </c>
      <c r="M2081" s="2" t="str">
        <f>HYPERLINK("https://files.afu.se/Downloads/Transcripts/0%20-%20Government/USA%20-%20NASA%20Johnson/2013 09 20 - NASA Johnson - Space Station Live  Sept. 20, 2013_O0AmGqHHo9Y - transcript (automated).pdf","Transcript Link")</f>
        <v>Transcript Link</v>
      </c>
    </row>
    <row r="2082" ht="180" spans="1:13">
      <c r="A2082" s="1" t="s">
        <v>9119</v>
      </c>
      <c r="B2082" s="1" t="s">
        <v>13</v>
      </c>
      <c r="C2082" s="4" t="s">
        <v>9132</v>
      </c>
      <c r="D2082" s="1" t="s">
        <v>9133</v>
      </c>
      <c r="E2082" s="1" t="s">
        <v>9134</v>
      </c>
      <c r="F2082" s="4" t="s">
        <v>17</v>
      </c>
      <c r="G2082" s="1" t="s">
        <v>18</v>
      </c>
      <c r="H2082" s="1" t="s">
        <v>19</v>
      </c>
      <c r="I2082" s="1" t="s">
        <v>20</v>
      </c>
      <c r="J2082" s="1" t="s">
        <v>9135</v>
      </c>
      <c r="K2082" s="1" t="s">
        <v>22</v>
      </c>
      <c r="L2082" s="1" t="str">
        <f>HYPERLINK("https://files.afu.se/Downloads/Transcripts/0%20-%20Government/USA%20-%20NASA%20Johnson/2013 09 20 - NASA Johnson - Space Station Live  Tracking How Astronauts Run in Space_eCULfmZ7bb8 - transcript (automated).pdf","Transcript Link")</f>
        <v>Transcript Link</v>
      </c>
      <c r="M2082" s="2" t="str">
        <f>HYPERLINK("https://files.afu.se/Downloads/Transcripts/0%20-%20Government/USA%20-%20NASA%20Johnson/2013 09 20 - NASA Johnson - Space Station Live  Tracking How Astronauts Run in Space_eCULfmZ7bb8 - transcript (automated).pdf","Transcript Link")</f>
        <v>Transcript Link</v>
      </c>
    </row>
    <row r="2083" ht="180" spans="1:13">
      <c r="A2083" s="1" t="s">
        <v>9119</v>
      </c>
      <c r="B2083" s="1" t="s">
        <v>13</v>
      </c>
      <c r="C2083" s="4" t="s">
        <v>9136</v>
      </c>
      <c r="D2083" s="1" t="s">
        <v>9137</v>
      </c>
      <c r="E2083" s="1" t="s">
        <v>9138</v>
      </c>
      <c r="F2083" s="4" t="s">
        <v>17</v>
      </c>
      <c r="G2083" s="1" t="s">
        <v>18</v>
      </c>
      <c r="H2083" s="1" t="s">
        <v>19</v>
      </c>
      <c r="I2083" s="1" t="s">
        <v>20</v>
      </c>
      <c r="J2083" s="1" t="s">
        <v>9139</v>
      </c>
      <c r="K2083" s="1" t="s">
        <v>22</v>
      </c>
      <c r="L2083" s="1" t="str">
        <f>HYPERLINK("https://files.afu.se/Downloads/Transcripts/0%20-%20Government/USA%20-%20NASA%20Johnson/2013 09 20 - NASA Johnson - Space Station Live  Cygnus Progress Report_R9fGZVCUgW0 - transcript (automated).pdf","Transcript Link")</f>
        <v>Transcript Link</v>
      </c>
      <c r="M2083" s="2" t="str">
        <f>HYPERLINK("https://files.afu.se/Downloads/Transcripts/0%20-%20Government/USA%20-%20NASA%20Johnson/2013 09 20 - NASA Johnson - Space Station Live  Cygnus Progress Report_R9fGZVCUgW0 - transcript (automated).pdf","Transcript Link")</f>
        <v>Transcript Link</v>
      </c>
    </row>
    <row r="2084" ht="180" spans="1:13">
      <c r="A2084" s="1" t="s">
        <v>9140</v>
      </c>
      <c r="B2084" s="1" t="s">
        <v>13</v>
      </c>
      <c r="C2084" s="4" t="s">
        <v>9141</v>
      </c>
      <c r="D2084" s="1" t="s">
        <v>9142</v>
      </c>
      <c r="E2084" s="1" t="s">
        <v>9143</v>
      </c>
      <c r="F2084" s="4" t="s">
        <v>17</v>
      </c>
      <c r="G2084" s="1" t="s">
        <v>18</v>
      </c>
      <c r="H2084" s="1" t="s">
        <v>19</v>
      </c>
      <c r="I2084" s="1" t="s">
        <v>20</v>
      </c>
      <c r="J2084" s="1" t="s">
        <v>9144</v>
      </c>
      <c r="K2084" s="1" t="s">
        <v>22</v>
      </c>
      <c r="L2084" s="1" t="str">
        <f>HYPERLINK("https://files.afu.se/Downloads/Transcripts/0%20-%20Government/USA%20-%20NASA%20Johnson/2013 09 19 - NASA Johnson - Georgia Students Chat With NASA Engineer_IZjAvqd2USE - transcript (automated).pdf","Transcript Link")</f>
        <v>Transcript Link</v>
      </c>
      <c r="M2084" s="2" t="str">
        <f>HYPERLINK("https://files.afu.se/Downloads/Transcripts/0%20-%20Government/USA%20-%20NASA%20Johnson/2013 09 19 - NASA Johnson - Georgia Students Chat With NASA Engineer_IZjAvqd2USE - transcript (automated).pdf","Transcript Link")</f>
        <v>Transcript Link</v>
      </c>
    </row>
    <row r="2085" ht="180" spans="1:13">
      <c r="A2085" s="1" t="s">
        <v>9140</v>
      </c>
      <c r="B2085" s="1" t="s">
        <v>13</v>
      </c>
      <c r="C2085" s="4" t="s">
        <v>9145</v>
      </c>
      <c r="D2085" s="1" t="s">
        <v>9146</v>
      </c>
      <c r="E2085" s="1" t="s">
        <v>9147</v>
      </c>
      <c r="F2085" s="4" t="s">
        <v>17</v>
      </c>
      <c r="G2085" s="1" t="s">
        <v>18</v>
      </c>
      <c r="H2085" s="1" t="s">
        <v>19</v>
      </c>
      <c r="I2085" s="1" t="s">
        <v>20</v>
      </c>
      <c r="J2085" s="1" t="s">
        <v>9148</v>
      </c>
      <c r="K2085" s="1" t="s">
        <v>22</v>
      </c>
      <c r="L2085" s="1" t="str">
        <f>HYPERLINK("https://files.afu.se/Downloads/Transcripts/0%20-%20Government/USA%20-%20NASA%20Johnson/2013 09 19 - NASA Johnson - New Station Trio Preps for Launch in Kazakhstan._0bho96llThE - transcript (automated).pdf","Transcript Link")</f>
        <v>Transcript Link</v>
      </c>
      <c r="M2085" s="2" t="str">
        <f>HYPERLINK("https://files.afu.se/Downloads/Transcripts/0%20-%20Government/USA%20-%20NASA%20Johnson/2013 09 19 - NASA Johnson - New Station Trio Preps for Launch in Kazakhstan._0bho96llThE - transcript (automated).pdf","Transcript Link")</f>
        <v>Transcript Link</v>
      </c>
    </row>
    <row r="2086" ht="180" spans="1:13">
      <c r="A2086" s="1" t="s">
        <v>9140</v>
      </c>
      <c r="B2086" s="1" t="s">
        <v>13</v>
      </c>
      <c r="C2086" s="4" t="s">
        <v>9149</v>
      </c>
      <c r="D2086" s="1" t="s">
        <v>9150</v>
      </c>
      <c r="E2086" s="1" t="s">
        <v>9151</v>
      </c>
      <c r="F2086" s="4" t="s">
        <v>17</v>
      </c>
      <c r="G2086" s="1" t="s">
        <v>18</v>
      </c>
      <c r="H2086" s="1" t="s">
        <v>19</v>
      </c>
      <c r="I2086" s="1" t="s">
        <v>20</v>
      </c>
      <c r="J2086" s="1" t="s">
        <v>9152</v>
      </c>
      <c r="K2086" s="1" t="s">
        <v>22</v>
      </c>
      <c r="L2086" s="1" t="str">
        <f>HYPERLINK("https://files.afu.se/Downloads/Transcripts/0%20-%20Government/USA%20-%20NASA%20Johnson/2013 09 19 - NASA Johnson - Space Station Live  Career Choices at NASA_RsN5wbcXED0 - transcript (automated).pdf","Transcript Link")</f>
        <v>Transcript Link</v>
      </c>
      <c r="M2086" s="2" t="str">
        <f>HYPERLINK("https://files.afu.se/Downloads/Transcripts/0%20-%20Government/USA%20-%20NASA%20Johnson/2013 09 19 - NASA Johnson - Space Station Live  Career Choices at NASA_RsN5wbcXED0 - transcript (automated).pdf","Transcript Link")</f>
        <v>Transcript Link</v>
      </c>
    </row>
    <row r="2087" ht="180" spans="1:13">
      <c r="A2087" s="1" t="s">
        <v>9140</v>
      </c>
      <c r="B2087" s="1" t="s">
        <v>13</v>
      </c>
      <c r="C2087" s="4" t="s">
        <v>9153</v>
      </c>
      <c r="D2087" s="1" t="s">
        <v>9154</v>
      </c>
      <c r="E2087" s="1" t="s">
        <v>9155</v>
      </c>
      <c r="F2087" s="4" t="s">
        <v>17</v>
      </c>
      <c r="G2087" s="1" t="s">
        <v>18</v>
      </c>
      <c r="H2087" s="1" t="s">
        <v>19</v>
      </c>
      <c r="I2087" s="1" t="s">
        <v>20</v>
      </c>
      <c r="J2087" s="1" t="s">
        <v>9156</v>
      </c>
      <c r="K2087" s="1" t="s">
        <v>22</v>
      </c>
      <c r="L2087" s="1" t="str">
        <f>HYPERLINK("https://files.afu.se/Downloads/Transcripts/0%20-%20Government/USA%20-%20NASA%20Johnson/2013 09 19 - NASA Johnson - Space Station Live  Sept. 19, 2013_hyxDrnkHQSs - transcript (automated).pdf","Transcript Link")</f>
        <v>Transcript Link</v>
      </c>
      <c r="M2087" s="2" t="str">
        <f>HYPERLINK("https://files.afu.se/Downloads/Transcripts/0%20-%20Government/USA%20-%20NASA%20Johnson/2013 09 19 - NASA Johnson - Space Station Live  Sept. 19, 2013_hyxDrnkHQSs - transcript (automated).pdf","Transcript Link")</f>
        <v>Transcript Link</v>
      </c>
    </row>
    <row r="2088" ht="180" spans="1:13">
      <c r="A2088" s="1" t="s">
        <v>9140</v>
      </c>
      <c r="B2088" s="1" t="s">
        <v>13</v>
      </c>
      <c r="C2088" s="4" t="s">
        <v>9157</v>
      </c>
      <c r="D2088" s="1" t="s">
        <v>9158</v>
      </c>
      <c r="E2088" s="1" t="s">
        <v>9159</v>
      </c>
      <c r="F2088" s="4" t="s">
        <v>17</v>
      </c>
      <c r="G2088" s="1" t="s">
        <v>18</v>
      </c>
      <c r="H2088" s="1" t="s">
        <v>19</v>
      </c>
      <c r="I2088" s="1" t="s">
        <v>20</v>
      </c>
      <c r="J2088" s="1" t="s">
        <v>9160</v>
      </c>
      <c r="K2088" s="1" t="s">
        <v>22</v>
      </c>
      <c r="L2088" s="1" t="str">
        <f>HYPERLINK("https://files.afu.se/Downloads/Transcripts/0%20-%20Government/USA%20-%20NASA%20Johnson/2013 09 19 - NASA Johnson - Conversations with Astronaut Karen Nyberg on...Career Choices_1pZ06OwCu2g - transcript (automated).pdf","Transcript Link")</f>
        <v>Transcript Link</v>
      </c>
      <c r="M2088" s="2" t="str">
        <f>HYPERLINK("https://files.afu.se/Downloads/Transcripts/0%20-%20Government/USA%20-%20NASA%20Johnson/2013 09 19 - NASA Johnson - Conversations with Astronaut Karen Nyberg on...Career Choices_1pZ06OwCu2g - transcript (automated).pdf","Transcript Link")</f>
        <v>Transcript Link</v>
      </c>
    </row>
    <row r="2089" ht="180" spans="1:13">
      <c r="A2089" s="1" t="s">
        <v>9140</v>
      </c>
      <c r="B2089" s="1" t="s">
        <v>13</v>
      </c>
      <c r="C2089" s="4" t="s">
        <v>9161</v>
      </c>
      <c r="D2089" s="1" t="s">
        <v>9162</v>
      </c>
      <c r="E2089" s="1" t="s">
        <v>9163</v>
      </c>
      <c r="F2089" s="4" t="s">
        <v>17</v>
      </c>
      <c r="G2089" s="1" t="s">
        <v>18</v>
      </c>
      <c r="H2089" s="1" t="s">
        <v>19</v>
      </c>
      <c r="I2089" s="1" t="s">
        <v>20</v>
      </c>
      <c r="J2089" s="1" t="s">
        <v>9164</v>
      </c>
      <c r="K2089" s="1" t="s">
        <v>22</v>
      </c>
      <c r="L2089" s="1" t="str">
        <f>HYPERLINK("https://files.afu.se/Downloads/Transcripts/0%20-%20Government/USA%20-%20NASA%20Johnson/2013 09 19 - NASA Johnson - Expedition 37 Crew Profile, Version 1_MyHYphRAeYw - transcript (automated).pdf","Transcript Link")</f>
        <v>Transcript Link</v>
      </c>
      <c r="M2089" s="2" t="str">
        <f>HYPERLINK("https://files.afu.se/Downloads/Transcripts/0%20-%20Government/USA%20-%20NASA%20Johnson/2013 09 19 - NASA Johnson - Expedition 37 Crew Profile, Version 1_MyHYphRAeYw - transcript (automated).pdf","Transcript Link")</f>
        <v>Transcript Link</v>
      </c>
    </row>
    <row r="2090" ht="375" spans="1:13">
      <c r="A2090" s="1" t="s">
        <v>9165</v>
      </c>
      <c r="B2090" s="1" t="s">
        <v>13</v>
      </c>
      <c r="C2090" s="4" t="s">
        <v>9166</v>
      </c>
      <c r="D2090" s="1" t="s">
        <v>9167</v>
      </c>
      <c r="E2090" s="1" t="s">
        <v>9168</v>
      </c>
      <c r="F2090" s="4" t="s">
        <v>17</v>
      </c>
      <c r="G2090" s="1" t="s">
        <v>18</v>
      </c>
      <c r="H2090" s="1" t="s">
        <v>19</v>
      </c>
      <c r="I2090" s="1" t="s">
        <v>20</v>
      </c>
      <c r="J2090" s="1" t="s">
        <v>9169</v>
      </c>
      <c r="K2090" s="1" t="s">
        <v>22</v>
      </c>
      <c r="L2090" s="1" t="str">
        <f>HYPERLINK("https://files.afu.se/Downloads/Transcripts/0%20-%20Government/USA%20-%20NASA%20Johnson/2013 09 18 - NASA Johnson - Train Like an Astronaut  Countdown to Liftoff_1MSC_52LVOg - transcript (automated).pdf","Transcript Link")</f>
        <v>Transcript Link</v>
      </c>
      <c r="M2090" s="2" t="str">
        <f>HYPERLINK("https://files.afu.se/Downloads/Transcripts/0%20-%20Government/USA%20-%20NASA%20Johnson/2013 09 18 - NASA Johnson - Train Like an Astronaut  Countdown to Liftoff_1MSC_52LVOg - transcript (automated).pdf","Transcript Link")</f>
        <v>Transcript Link</v>
      </c>
    </row>
    <row r="2091" ht="255" spans="1:13">
      <c r="A2091" s="1" t="s">
        <v>9170</v>
      </c>
      <c r="B2091" s="1" t="s">
        <v>13</v>
      </c>
      <c r="C2091" s="4" t="s">
        <v>9171</v>
      </c>
      <c r="D2091" s="1" t="s">
        <v>9172</v>
      </c>
      <c r="E2091" s="1" t="s">
        <v>9173</v>
      </c>
      <c r="F2091" s="4" t="s">
        <v>17</v>
      </c>
      <c r="G2091" s="1" t="s">
        <v>18</v>
      </c>
      <c r="H2091" s="1" t="s">
        <v>19</v>
      </c>
      <c r="I2091" s="1" t="s">
        <v>20</v>
      </c>
      <c r="J2091" s="1" t="s">
        <v>9174</v>
      </c>
      <c r="K2091" s="1" t="s">
        <v>22</v>
      </c>
      <c r="L2091" s="1" t="str">
        <f>HYPERLINK("https://files.afu.se/Downloads/Transcripts/0%20-%20Government/USA%20-%20NASA%20Johnson/2013 09 17 - NASA Johnson - Space Station Live  Antares Launch Update_SgcxhpoDH3Y - transcript (automated).pdf","Transcript Link")</f>
        <v>Transcript Link</v>
      </c>
      <c r="M2091" s="2" t="str">
        <f>HYPERLINK("https://files.afu.se/Downloads/Transcripts/0%20-%20Government/USA%20-%20NASA%20Johnson/2013 09 17 - NASA Johnson - Space Station Live  Antares Launch Update_SgcxhpoDH3Y - transcript (automated).pdf","Transcript Link")</f>
        <v>Transcript Link</v>
      </c>
    </row>
    <row r="2092" ht="180" spans="1:13">
      <c r="A2092" s="1" t="s">
        <v>9170</v>
      </c>
      <c r="B2092" s="1" t="s">
        <v>13</v>
      </c>
      <c r="C2092" s="4" t="s">
        <v>9175</v>
      </c>
      <c r="D2092" s="1" t="s">
        <v>9176</v>
      </c>
      <c r="E2092" s="1" t="s">
        <v>9177</v>
      </c>
      <c r="F2092" s="4" t="s">
        <v>17</v>
      </c>
      <c r="G2092" s="1" t="s">
        <v>18</v>
      </c>
      <c r="H2092" s="1" t="s">
        <v>19</v>
      </c>
      <c r="I2092" s="1" t="s">
        <v>20</v>
      </c>
      <c r="J2092" s="1" t="s">
        <v>9178</v>
      </c>
      <c r="K2092" s="1" t="s">
        <v>22</v>
      </c>
      <c r="L2092" s="1" t="str">
        <f>HYPERLINK("https://files.afu.se/Downloads/Transcripts/0%20-%20Government/USA%20-%20NASA%20Johnson/2013 09 17 - NASA Johnson - Space Station Live  Sept. 17, 2013_3PYLbcfXlw8 - transcript (automated).pdf","Transcript Link")</f>
        <v>Transcript Link</v>
      </c>
      <c r="M2092" s="2" t="str">
        <f>HYPERLINK("https://files.afu.se/Downloads/Transcripts/0%20-%20Government/USA%20-%20NASA%20Johnson/2013 09 17 - NASA Johnson - Space Station Live  Sept. 17, 2013_3PYLbcfXlw8 - transcript (automated).pdf","Transcript Link")</f>
        <v>Transcript Link</v>
      </c>
    </row>
    <row r="2093" ht="180" spans="1:13">
      <c r="A2093" s="1" t="s">
        <v>9179</v>
      </c>
      <c r="B2093" s="1" t="s">
        <v>13</v>
      </c>
      <c r="C2093" s="4" t="s">
        <v>9180</v>
      </c>
      <c r="D2093" s="1" t="s">
        <v>9181</v>
      </c>
      <c r="E2093" s="1" t="s">
        <v>9182</v>
      </c>
      <c r="F2093" s="4" t="s">
        <v>17</v>
      </c>
      <c r="G2093" s="1" t="s">
        <v>18</v>
      </c>
      <c r="H2093" s="1" t="s">
        <v>19</v>
      </c>
      <c r="I2093" s="1" t="s">
        <v>20</v>
      </c>
      <c r="J2093" s="1" t="s">
        <v>9183</v>
      </c>
      <c r="K2093" s="1" t="s">
        <v>22</v>
      </c>
      <c r="L2093" s="1" t="str">
        <f>HYPERLINK("https://files.afu.se/Downloads/Transcripts/0%20-%20Government/USA%20-%20NASA%20Johnson/2013 09 16 - NASA Johnson - Space Station Live  Sept. 16, 2013_NiHQIpOsL24 - transcript (automated).pdf","Transcript Link")</f>
        <v>Transcript Link</v>
      </c>
      <c r="M2093" s="2" t="str">
        <f>HYPERLINK("https://files.afu.se/Downloads/Transcripts/0%20-%20Government/USA%20-%20NASA%20Johnson/2013 09 16 - NASA Johnson - Space Station Live  Sept. 16, 2013_NiHQIpOsL24 - transcript (automated).pdf","Transcript Link")</f>
        <v>Transcript Link</v>
      </c>
    </row>
    <row r="2094" ht="180" spans="1:13">
      <c r="A2094" s="1" t="s">
        <v>9184</v>
      </c>
      <c r="B2094" s="1" t="s">
        <v>13</v>
      </c>
      <c r="C2094" s="4" t="s">
        <v>9185</v>
      </c>
      <c r="D2094" s="1" t="s">
        <v>9186</v>
      </c>
      <c r="E2094" s="1" t="s">
        <v>9187</v>
      </c>
      <c r="F2094" s="4" t="s">
        <v>17</v>
      </c>
      <c r="G2094" s="1" t="s">
        <v>18</v>
      </c>
      <c r="H2094" s="1" t="s">
        <v>19</v>
      </c>
      <c r="I2094" s="1" t="s">
        <v>20</v>
      </c>
      <c r="J2094" s="1" t="s">
        <v>9188</v>
      </c>
      <c r="K2094" s="1" t="s">
        <v>22</v>
      </c>
      <c r="L2094" s="1" t="str">
        <f>HYPERLINK("https://files.afu.se/Downloads/Transcripts/0%20-%20Government/USA%20-%20NASA%20Johnson/2013 09 13 - NASA Johnson - Space Station Live  Sept. 13, 2013_jPeHX0SAz2M - transcript (automated).pdf","Transcript Link")</f>
        <v>Transcript Link</v>
      </c>
      <c r="M2094" s="2" t="str">
        <f>HYPERLINK("https://files.afu.se/Downloads/Transcripts/0%20-%20Government/USA%20-%20NASA%20Johnson/2013 09 13 - NASA Johnson - Space Station Live  Sept. 13, 2013_jPeHX0SAz2M - transcript (automated).pdf","Transcript Link")</f>
        <v>Transcript Link</v>
      </c>
    </row>
    <row r="2095" ht="180" spans="1:13">
      <c r="A2095" s="1" t="s">
        <v>9184</v>
      </c>
      <c r="B2095" s="1" t="s">
        <v>13</v>
      </c>
      <c r="C2095" s="4" t="s">
        <v>9189</v>
      </c>
      <c r="D2095" s="1" t="s">
        <v>9190</v>
      </c>
      <c r="E2095" s="1" t="s">
        <v>9191</v>
      </c>
      <c r="F2095" s="4" t="s">
        <v>17</v>
      </c>
      <c r="G2095" s="1" t="s">
        <v>18</v>
      </c>
      <c r="H2095" s="1" t="s">
        <v>19</v>
      </c>
      <c r="I2095" s="1" t="s">
        <v>20</v>
      </c>
      <c r="J2095" s="1" t="s">
        <v>9192</v>
      </c>
      <c r="K2095" s="1" t="s">
        <v>22</v>
      </c>
      <c r="L2095" s="1" t="str">
        <f>HYPERLINK("https://files.afu.se/Downloads/Transcripts/0%20-%20Government/USA%20-%20NASA%20Johnson/2013 09 13 - NASA Johnson - Space Station Live  Run Like an Astronaut_qm-QKtBjSms - transcript (automated).pdf","Transcript Link")</f>
        <v>Transcript Link</v>
      </c>
      <c r="M2095" s="2" t="str">
        <f>HYPERLINK("https://files.afu.se/Downloads/Transcripts/0%20-%20Government/USA%20-%20NASA%20Johnson/2013 09 13 - NASA Johnson - Space Station Live  Run Like an Astronaut_qm-QKtBjSms - transcript (automated).pdf","Transcript Link")</f>
        <v>Transcript Link</v>
      </c>
    </row>
    <row r="2096" ht="180" spans="1:13">
      <c r="A2096" s="1" t="s">
        <v>9184</v>
      </c>
      <c r="B2096" s="1" t="s">
        <v>13</v>
      </c>
      <c r="C2096" s="4" t="s">
        <v>9193</v>
      </c>
      <c r="D2096" s="1" t="s">
        <v>9194</v>
      </c>
      <c r="E2096" s="1" t="s">
        <v>9195</v>
      </c>
      <c r="F2096" s="4" t="s">
        <v>17</v>
      </c>
      <c r="G2096" s="1" t="s">
        <v>18</v>
      </c>
      <c r="H2096" s="1" t="s">
        <v>19</v>
      </c>
      <c r="I2096" s="1" t="s">
        <v>20</v>
      </c>
      <c r="J2096" s="1" t="s">
        <v>9196</v>
      </c>
      <c r="K2096" s="1" t="s">
        <v>22</v>
      </c>
      <c r="L2096" s="1" t="str">
        <f>HYPERLINK("https://files.afu.se/Downloads/Transcripts/0%20-%20Government/USA%20-%20NASA%20Johnson/2013 09 13 - NASA Johnson - Conversations with Astronaut Karen Nyberg on...Running_kOACF9uL4Bc - transcript (automated).pdf","Transcript Link")</f>
        <v>Transcript Link</v>
      </c>
      <c r="M2096" s="2" t="str">
        <f>HYPERLINK("https://files.afu.se/Downloads/Transcripts/0%20-%20Government/USA%20-%20NASA%20Johnson/2013 09 13 - NASA Johnson - Conversations with Astronaut Karen Nyberg on...Running_kOACF9uL4Bc - transcript (automated).pdf","Transcript Link")</f>
        <v>Transcript Link</v>
      </c>
    </row>
    <row r="2097" ht="180" spans="1:13">
      <c r="A2097" s="1" t="s">
        <v>9197</v>
      </c>
      <c r="B2097" s="1" t="s">
        <v>13</v>
      </c>
      <c r="C2097" s="4" t="s">
        <v>9198</v>
      </c>
      <c r="D2097" s="1" t="s">
        <v>9199</v>
      </c>
      <c r="E2097" s="1" t="s">
        <v>9200</v>
      </c>
      <c r="F2097" s="4" t="s">
        <v>17</v>
      </c>
      <c r="G2097" s="1" t="s">
        <v>18</v>
      </c>
      <c r="H2097" s="1" t="s">
        <v>19</v>
      </c>
      <c r="I2097" s="1" t="s">
        <v>20</v>
      </c>
      <c r="J2097" s="1" t="s">
        <v>9201</v>
      </c>
      <c r="K2097" s="1" t="s">
        <v>22</v>
      </c>
      <c r="L2097" s="1" t="str">
        <f>HYPERLINK("https://files.afu.se/Downloads/Transcripts/0%20-%20Government/USA%20-%20NASA%20Johnson/2013 09 12 - NASA Johnson - This is JSC  Rocket Science_m7-87uOE0xk - transcript (automated).pdf","Transcript Link")</f>
        <v>Transcript Link</v>
      </c>
      <c r="M2097" s="2" t="str">
        <f>HYPERLINK("https://files.afu.se/Downloads/Transcripts/0%20-%20Government/USA%20-%20NASA%20Johnson/2013 09 12 - NASA Johnson - This is JSC  Rocket Science_m7-87uOE0xk - transcript (automated).pdf","Transcript Link")</f>
        <v>Transcript Link</v>
      </c>
    </row>
    <row r="2098" ht="180" spans="1:13">
      <c r="A2098" s="1" t="s">
        <v>9197</v>
      </c>
      <c r="B2098" s="1" t="s">
        <v>13</v>
      </c>
      <c r="C2098" s="4" t="s">
        <v>9202</v>
      </c>
      <c r="D2098" s="1" t="s">
        <v>9203</v>
      </c>
      <c r="E2098" s="4" t="s">
        <v>9204</v>
      </c>
      <c r="F2098" s="4" t="s">
        <v>17</v>
      </c>
      <c r="G2098" s="1" t="s">
        <v>18</v>
      </c>
      <c r="H2098" s="1" t="s">
        <v>19</v>
      </c>
      <c r="I2098" s="1" t="s">
        <v>20</v>
      </c>
      <c r="J2098" s="1" t="s">
        <v>9205</v>
      </c>
      <c r="K2098" s="1" t="s">
        <v>22</v>
      </c>
      <c r="L2098" s="1" t="str">
        <f>HYPERLINK("https://files.afu.se/Downloads/Transcripts/0%20-%20Government/USA%20-%20NASA%20Johnson/2013 09 12 - NASA Johnson - Train Like an Astronaut   Muscle Strength_QKlE7gf3xlw - transcript (automated).pdf","Transcript Link")</f>
        <v>Transcript Link</v>
      </c>
      <c r="M2098" s="2" t="str">
        <f>HYPERLINK("https://files.afu.se/Downloads/Transcripts/0%20-%20Government/USA%20-%20NASA%20Johnson/2013 09 12 - NASA Johnson - Train Like an Astronaut   Muscle Strength_QKlE7gf3xlw - transcript (automated).pdf","Transcript Link")</f>
        <v>Transcript Link</v>
      </c>
    </row>
    <row r="2099" ht="180" spans="1:13">
      <c r="A2099" s="1" t="s">
        <v>9197</v>
      </c>
      <c r="B2099" s="1" t="s">
        <v>13</v>
      </c>
      <c r="C2099" s="4" t="s">
        <v>9206</v>
      </c>
      <c r="D2099" s="1" t="s">
        <v>9207</v>
      </c>
      <c r="E2099" s="1" t="s">
        <v>9208</v>
      </c>
      <c r="F2099" s="4" t="s">
        <v>17</v>
      </c>
      <c r="G2099" s="1" t="s">
        <v>18</v>
      </c>
      <c r="H2099" s="1" t="s">
        <v>19</v>
      </c>
      <c r="I2099" s="1" t="s">
        <v>20</v>
      </c>
      <c r="J2099" s="1" t="s">
        <v>9209</v>
      </c>
      <c r="K2099" s="1" t="s">
        <v>22</v>
      </c>
      <c r="L2099" s="1" t="str">
        <f>HYPERLINK("https://files.afu.se/Downloads/Transcripts/0%20-%20Government/USA%20-%20NASA%20Johnson/2013 09 12 - NASA Johnson - Space Station Live  Cygnus Robotics Operations_p7afh6oujC8 - transcript (automated).pdf","Transcript Link")</f>
        <v>Transcript Link</v>
      </c>
      <c r="M2099" s="2" t="str">
        <f>HYPERLINK("https://files.afu.se/Downloads/Transcripts/0%20-%20Government/USA%20-%20NASA%20Johnson/2013 09 12 - NASA Johnson - Space Station Live  Cygnus Robotics Operations_p7afh6oujC8 - transcript (automated).pdf","Transcript Link")</f>
        <v>Transcript Link</v>
      </c>
    </row>
    <row r="2100" ht="180" spans="1:13">
      <c r="A2100" s="1" t="s">
        <v>9197</v>
      </c>
      <c r="B2100" s="1" t="s">
        <v>13</v>
      </c>
      <c r="C2100" s="4" t="s">
        <v>9210</v>
      </c>
      <c r="D2100" s="1" t="s">
        <v>9211</v>
      </c>
      <c r="E2100" s="1" t="s">
        <v>9212</v>
      </c>
      <c r="F2100" s="4" t="s">
        <v>17</v>
      </c>
      <c r="G2100" s="1" t="s">
        <v>18</v>
      </c>
      <c r="H2100" s="1" t="s">
        <v>19</v>
      </c>
      <c r="I2100" s="1" t="s">
        <v>20</v>
      </c>
      <c r="J2100" s="1" t="s">
        <v>9213</v>
      </c>
      <c r="K2100" s="1" t="s">
        <v>22</v>
      </c>
      <c r="L2100" s="1" t="str">
        <f>HYPERLINK("https://files.afu.se/Downloads/Transcripts/0%20-%20Government/USA%20-%20NASA%20Johnson/2013 09 12 - NASA Johnson - Space Station Live  Sept. 12, 2013_3c9eO-aNdJg - transcript (automated).pdf","Transcript Link")</f>
        <v>Transcript Link</v>
      </c>
      <c r="M2100" s="2" t="str">
        <f>HYPERLINK("https://files.afu.se/Downloads/Transcripts/0%20-%20Government/USA%20-%20NASA%20Johnson/2013 09 12 - NASA Johnson - Space Station Live  Sept. 12, 2013_3c9eO-aNdJg - transcript (automated).pdf","Transcript Link")</f>
        <v>Transcript Link</v>
      </c>
    </row>
    <row r="2101" ht="180" spans="1:13">
      <c r="A2101" s="1" t="s">
        <v>9214</v>
      </c>
      <c r="B2101" s="1" t="s">
        <v>13</v>
      </c>
      <c r="C2101" s="4" t="s">
        <v>9215</v>
      </c>
      <c r="D2101" s="1" t="s">
        <v>9216</v>
      </c>
      <c r="E2101" s="1" t="s">
        <v>9217</v>
      </c>
      <c r="F2101" s="4" t="s">
        <v>17</v>
      </c>
      <c r="G2101" s="1" t="s">
        <v>18</v>
      </c>
      <c r="H2101" s="1" t="s">
        <v>19</v>
      </c>
      <c r="I2101" s="1" t="s">
        <v>20</v>
      </c>
      <c r="J2101" s="1" t="s">
        <v>9218</v>
      </c>
      <c r="K2101" s="1" t="s">
        <v>22</v>
      </c>
      <c r="L2101" s="1" t="str">
        <f>HYPERLINK("https://files.afu.se/Downloads/Transcripts/0%20-%20Government/USA%20-%20NASA%20Johnson/2013 09 11 - NASA Johnson - Space Station Live  Preparing for Cygnus_dqL0VroFS6Y - transcript (automated).pdf","Transcript Link")</f>
        <v>Transcript Link</v>
      </c>
      <c r="M2101" s="2" t="str">
        <f>HYPERLINK("https://files.afu.se/Downloads/Transcripts/0%20-%20Government/USA%20-%20NASA%20Johnson/2013 09 11 - NASA Johnson - Space Station Live  Preparing for Cygnus_dqL0VroFS6Y - transcript (automated).pdf","Transcript Link")</f>
        <v>Transcript Link</v>
      </c>
    </row>
    <row r="2102" ht="180" spans="1:13">
      <c r="A2102" s="1" t="s">
        <v>9214</v>
      </c>
      <c r="B2102" s="1" t="s">
        <v>13</v>
      </c>
      <c r="C2102" s="4" t="s">
        <v>9219</v>
      </c>
      <c r="D2102" s="1" t="s">
        <v>9220</v>
      </c>
      <c r="E2102" s="1" t="s">
        <v>9221</v>
      </c>
      <c r="F2102" s="4" t="s">
        <v>17</v>
      </c>
      <c r="G2102" s="1" t="s">
        <v>18</v>
      </c>
      <c r="H2102" s="1" t="s">
        <v>19</v>
      </c>
      <c r="I2102" s="1" t="s">
        <v>20</v>
      </c>
      <c r="J2102" s="1" t="s">
        <v>9222</v>
      </c>
      <c r="K2102" s="1" t="s">
        <v>22</v>
      </c>
      <c r="L2102" s="1" t="str">
        <f>HYPERLINK("https://files.afu.se/Downloads/Transcripts/0%20-%20Government/USA%20-%20NASA%20Johnson/2013 09 11 - NASA Johnson - Space Station Live  Training for Cygnus_XqSW1xI4oo0 - transcript (automated).pdf","Transcript Link")</f>
        <v>Transcript Link</v>
      </c>
      <c r="M2102" s="2" t="str">
        <f>HYPERLINK("https://files.afu.se/Downloads/Transcripts/0%20-%20Government/USA%20-%20NASA%20Johnson/2013 09 11 - NASA Johnson - Space Station Live  Training for Cygnus_XqSW1xI4oo0 - transcript (automated).pdf","Transcript Link")</f>
        <v>Transcript Link</v>
      </c>
    </row>
    <row r="2103" ht="180" spans="1:13">
      <c r="A2103" s="1" t="s">
        <v>9214</v>
      </c>
      <c r="B2103" s="1" t="s">
        <v>13</v>
      </c>
      <c r="C2103" s="4" t="s">
        <v>9223</v>
      </c>
      <c r="D2103" s="1" t="s">
        <v>9224</v>
      </c>
      <c r="E2103" s="1" t="s">
        <v>9225</v>
      </c>
      <c r="F2103" s="4" t="s">
        <v>17</v>
      </c>
      <c r="G2103" s="1" t="s">
        <v>18</v>
      </c>
      <c r="H2103" s="1" t="s">
        <v>19</v>
      </c>
      <c r="I2103" s="1" t="s">
        <v>20</v>
      </c>
      <c r="J2103" s="1" t="s">
        <v>9226</v>
      </c>
      <c r="K2103" s="1" t="s">
        <v>22</v>
      </c>
      <c r="L2103" s="1" t="str">
        <f>HYPERLINK("https://files.afu.se/Downloads/Transcripts/0%20-%20Government/USA%20-%20NASA%20Johnson/2013 09 11 - NASA Johnson - Space Station Live  Sept. 11, 2013_-M260qf8bbc - transcript (automated).pdf","Transcript Link")</f>
        <v>Transcript Link</v>
      </c>
      <c r="M2103" s="2" t="str">
        <f>HYPERLINK("https://files.afu.se/Downloads/Transcripts/0%20-%20Government/USA%20-%20NASA%20Johnson/2013 09 11 - NASA Johnson - Space Station Live  Sept. 11, 2013_-M260qf8bbc - transcript (automated).pdf","Transcript Link")</f>
        <v>Transcript Link</v>
      </c>
    </row>
    <row r="2104" ht="180" spans="1:13">
      <c r="A2104" s="1" t="s">
        <v>9214</v>
      </c>
      <c r="B2104" s="1" t="s">
        <v>13</v>
      </c>
      <c r="C2104" s="4" t="s">
        <v>9227</v>
      </c>
      <c r="D2104" s="1" t="s">
        <v>9228</v>
      </c>
      <c r="E2104" s="1" t="s">
        <v>9229</v>
      </c>
      <c r="F2104" s="4" t="s">
        <v>17</v>
      </c>
      <c r="G2104" s="1" t="s">
        <v>18</v>
      </c>
      <c r="H2104" s="1" t="s">
        <v>19</v>
      </c>
      <c r="I2104" s="1" t="s">
        <v>20</v>
      </c>
      <c r="J2104" s="1" t="s">
        <v>9230</v>
      </c>
      <c r="K2104" s="1" t="s">
        <v>22</v>
      </c>
      <c r="L2104" s="1" t="str">
        <f>HYPERLINK("https://files.afu.se/Downloads/Transcripts/0%20-%20Government/USA%20-%20NASA%20Johnson/2013 09 11 - NASA Johnson - Preparing America for Deep Space Exploration  Episode 3 Music Video_cWc6SptEhmg - transcript (automated).pdf","Transcript Link")</f>
        <v>Transcript Link</v>
      </c>
      <c r="M2104" s="2" t="str">
        <f>HYPERLINK("https://files.afu.se/Downloads/Transcripts/0%20-%20Government/USA%20-%20NASA%20Johnson/2013 09 11 - NASA Johnson - Preparing America for Deep Space Exploration  Episode 3 Music Video_cWc6SptEhmg - transcript (automated).pdf","Transcript Link")</f>
        <v>Transcript Link</v>
      </c>
    </row>
    <row r="2105" ht="180" spans="1:13">
      <c r="A2105" s="1" t="s">
        <v>9214</v>
      </c>
      <c r="B2105" s="1" t="s">
        <v>13</v>
      </c>
      <c r="C2105" s="4" t="s">
        <v>9231</v>
      </c>
      <c r="D2105" s="1" t="s">
        <v>9232</v>
      </c>
      <c r="E2105" s="1" t="s">
        <v>9233</v>
      </c>
      <c r="F2105" s="4" t="s">
        <v>17</v>
      </c>
      <c r="G2105" s="1" t="s">
        <v>18</v>
      </c>
      <c r="H2105" s="1" t="s">
        <v>19</v>
      </c>
      <c r="I2105" s="1" t="s">
        <v>20</v>
      </c>
      <c r="J2105" s="1" t="s">
        <v>9234</v>
      </c>
      <c r="K2105" s="1" t="s">
        <v>22</v>
      </c>
      <c r="L2105" s="1" t="str">
        <f>HYPERLINK("https://files.afu.se/Downloads/Transcripts/0%20-%20Government/USA%20-%20NASA%20Johnson/2013 09 11 - NASA Johnson - Expedition 36 Trio Leaves Station, Heads Home_KBP7BSEsQWM - transcript (automated).pdf","Transcript Link")</f>
        <v>Transcript Link</v>
      </c>
      <c r="M2105" s="2" t="str">
        <f>HYPERLINK("https://files.afu.se/Downloads/Transcripts/0%20-%20Government/USA%20-%20NASA%20Johnson/2013 09 11 - NASA Johnson - Expedition 36 Trio Leaves Station, Heads Home_KBP7BSEsQWM - transcript (automated).pdf","Transcript Link")</f>
        <v>Transcript Link</v>
      </c>
    </row>
    <row r="2106" ht="180" spans="1:13">
      <c r="A2106" s="1" t="s">
        <v>9235</v>
      </c>
      <c r="B2106" s="1" t="s">
        <v>13</v>
      </c>
      <c r="C2106" s="4" t="s">
        <v>9236</v>
      </c>
      <c r="D2106" s="1" t="s">
        <v>9237</v>
      </c>
      <c r="E2106" s="1" t="s">
        <v>9238</v>
      </c>
      <c r="F2106" s="4" t="s">
        <v>17</v>
      </c>
      <c r="G2106" s="1" t="s">
        <v>18</v>
      </c>
      <c r="H2106" s="1" t="s">
        <v>19</v>
      </c>
      <c r="I2106" s="1" t="s">
        <v>20</v>
      </c>
      <c r="J2106" s="1" t="s">
        <v>9239</v>
      </c>
      <c r="K2106" s="1" t="s">
        <v>22</v>
      </c>
      <c r="L2106" s="1" t="str">
        <f>HYPERLINK("https://files.afu.se/Downloads/Transcripts/0%20-%20Government/USA%20-%20NASA%20Johnson/2013 09 10 - NASA Johnson - Expedition 36 Trio Says Farewell, Closes Hatches_vCyNWhimvZE - transcript (automated).pdf","Transcript Link")</f>
        <v>Transcript Link</v>
      </c>
      <c r="M2106" s="2" t="str">
        <f>HYPERLINK("https://files.afu.se/Downloads/Transcripts/0%20-%20Government/USA%20-%20NASA%20Johnson/2013 09 10 - NASA Johnson - Expedition 36 Trio Says Farewell, Closes Hatches_vCyNWhimvZE - transcript (automated).pdf","Transcript Link")</f>
        <v>Transcript Link</v>
      </c>
    </row>
    <row r="2107" ht="345" spans="1:13">
      <c r="A2107" s="1" t="s">
        <v>9235</v>
      </c>
      <c r="B2107" s="1" t="s">
        <v>13</v>
      </c>
      <c r="C2107" s="4" t="s">
        <v>9240</v>
      </c>
      <c r="D2107" s="1" t="s">
        <v>9241</v>
      </c>
      <c r="E2107" s="1" t="s">
        <v>9242</v>
      </c>
      <c r="F2107" s="4" t="s">
        <v>17</v>
      </c>
      <c r="G2107" s="1" t="s">
        <v>18</v>
      </c>
      <c r="H2107" s="1" t="s">
        <v>19</v>
      </c>
      <c r="I2107" s="1" t="s">
        <v>20</v>
      </c>
      <c r="J2107" s="1" t="s">
        <v>9243</v>
      </c>
      <c r="K2107" s="1" t="s">
        <v>22</v>
      </c>
      <c r="L2107" s="1" t="str">
        <f>HYPERLINK("https://files.afu.se/Downloads/Transcripts/0%20-%20Government/USA%20-%20NASA%20Johnson/2013 09 10 - NASA Johnson - Living at Home While Your Spouse is in Space_Kq-exVQPGB4 - transcript (automated).pdf","Transcript Link")</f>
        <v>Transcript Link</v>
      </c>
      <c r="M2107" s="2" t="str">
        <f>HYPERLINK("https://files.afu.se/Downloads/Transcripts/0%20-%20Government/USA%20-%20NASA%20Johnson/2013 09 10 - NASA Johnson - Living at Home While Your Spouse is in Space_Kq-exVQPGB4 - transcript (automated).pdf","Transcript Link")</f>
        <v>Transcript Link</v>
      </c>
    </row>
    <row r="2108" ht="180" spans="1:13">
      <c r="A2108" s="1" t="s">
        <v>9235</v>
      </c>
      <c r="B2108" s="1" t="s">
        <v>13</v>
      </c>
      <c r="C2108" s="4" t="s">
        <v>9244</v>
      </c>
      <c r="D2108" s="1" t="s">
        <v>9245</v>
      </c>
      <c r="E2108" s="1" t="s">
        <v>9246</v>
      </c>
      <c r="F2108" s="4" t="s">
        <v>17</v>
      </c>
      <c r="G2108" s="1" t="s">
        <v>18</v>
      </c>
      <c r="H2108" s="1" t="s">
        <v>19</v>
      </c>
      <c r="I2108" s="1" t="s">
        <v>20</v>
      </c>
      <c r="J2108" s="1" t="s">
        <v>9247</v>
      </c>
      <c r="K2108" s="1" t="s">
        <v>22</v>
      </c>
      <c r="L2108" s="1" t="str">
        <f>HYPERLINK("https://files.afu.se/Downloads/Transcripts/0%20-%20Government/USA%20-%20NASA%20Johnson/2013 09 10 - NASA Johnson - Space Station Live  Sept. 10, 2013_QLa6VqrKlD8 - transcript (automated).pdf","Transcript Link")</f>
        <v>Transcript Link</v>
      </c>
      <c r="M2108" s="2" t="str">
        <f>HYPERLINK("https://files.afu.se/Downloads/Transcripts/0%20-%20Government/USA%20-%20NASA%20Johnson/2013 09 10 - NASA Johnson - Space Station Live  Sept. 10, 2013_QLa6VqrKlD8 - transcript (automated).pdf","Transcript Link")</f>
        <v>Transcript Link</v>
      </c>
    </row>
    <row r="2109" ht="180" spans="1:13">
      <c r="A2109" s="1" t="s">
        <v>9248</v>
      </c>
      <c r="B2109" s="1" t="s">
        <v>13</v>
      </c>
      <c r="C2109" s="4" t="s">
        <v>9249</v>
      </c>
      <c r="D2109" s="1" t="s">
        <v>4392</v>
      </c>
      <c r="E2109" s="1" t="s">
        <v>9250</v>
      </c>
      <c r="F2109" s="4" t="s">
        <v>17</v>
      </c>
      <c r="G2109" s="1" t="s">
        <v>18</v>
      </c>
      <c r="H2109" s="1" t="s">
        <v>19</v>
      </c>
      <c r="I2109" s="1" t="s">
        <v>20</v>
      </c>
      <c r="J2109" s="1" t="s">
        <v>9251</v>
      </c>
      <c r="K2109" s="1" t="s">
        <v>22</v>
      </c>
      <c r="L2109" s="1" t="str">
        <f>HYPERLINK("https://files.afu.se/Downloads/Transcripts/0%20-%20Government/USA%20-%20NASA%20Johnson/2013 09 09 - NASA Johnson - Station Change of Command Ceremony_dBf0tNb_8k4 - transcript (automated).pdf","Transcript Link")</f>
        <v>Transcript Link</v>
      </c>
      <c r="M2109" s="2" t="str">
        <f>HYPERLINK("https://files.afu.se/Downloads/Transcripts/0%20-%20Government/USA%20-%20NASA%20Johnson/2013 09 09 - NASA Johnson - Station Change of Command Ceremony_dBf0tNb_8k4 - transcript (automated).pdf","Transcript Link")</f>
        <v>Transcript Link</v>
      </c>
    </row>
    <row r="2110" ht="180" spans="1:13">
      <c r="A2110" s="1" t="s">
        <v>9248</v>
      </c>
      <c r="B2110" s="1" t="s">
        <v>13</v>
      </c>
      <c r="C2110" s="4" t="s">
        <v>9252</v>
      </c>
      <c r="D2110" s="1" t="s">
        <v>9253</v>
      </c>
      <c r="E2110" s="1" t="s">
        <v>9254</v>
      </c>
      <c r="F2110" s="4" t="s">
        <v>17</v>
      </c>
      <c r="G2110" s="1" t="s">
        <v>18</v>
      </c>
      <c r="H2110" s="1" t="s">
        <v>19</v>
      </c>
      <c r="I2110" s="1" t="s">
        <v>20</v>
      </c>
      <c r="J2110" s="1" t="s">
        <v>9255</v>
      </c>
      <c r="K2110" s="1" t="s">
        <v>22</v>
      </c>
      <c r="L2110" s="1" t="str">
        <f>HYPERLINK("https://files.afu.se/Downloads/Transcripts/0%20-%20Government/USA%20-%20NASA%20Johnson/2013 09 09 - NASA Johnson - Space Station Live  Orbital Sciences Cygnus Update_tnLRCgOWGy8 - transcript (automated).pdf","Transcript Link")</f>
        <v>Transcript Link</v>
      </c>
      <c r="M2110" s="2" t="str">
        <f>HYPERLINK("https://files.afu.se/Downloads/Transcripts/0%20-%20Government/USA%20-%20NASA%20Johnson/2013 09 09 - NASA Johnson - Space Station Live  Orbital Sciences Cygnus Update_tnLRCgOWGy8 - transcript (automated).pdf","Transcript Link")</f>
        <v>Transcript Link</v>
      </c>
    </row>
    <row r="2111" ht="180" spans="1:13">
      <c r="A2111" s="1" t="s">
        <v>9248</v>
      </c>
      <c r="B2111" s="1" t="s">
        <v>13</v>
      </c>
      <c r="C2111" s="4" t="s">
        <v>9256</v>
      </c>
      <c r="D2111" s="1" t="s">
        <v>9257</v>
      </c>
      <c r="E2111" s="1" t="s">
        <v>9258</v>
      </c>
      <c r="F2111" s="4" t="s">
        <v>17</v>
      </c>
      <c r="G2111" s="1" t="s">
        <v>18</v>
      </c>
      <c r="H2111" s="1" t="s">
        <v>19</v>
      </c>
      <c r="I2111" s="1" t="s">
        <v>20</v>
      </c>
      <c r="J2111" s="1" t="s">
        <v>9259</v>
      </c>
      <c r="K2111" s="1" t="s">
        <v>22</v>
      </c>
      <c r="L2111" s="1" t="str">
        <f>HYPERLINK("https://files.afu.se/Downloads/Transcripts/0%20-%20Government/USA%20-%20NASA%20Johnson/2013 09 09 - NASA Johnson - Space Station Live  Sept. 9, 2013_nMqe9XEXTEg - transcript (automated).pdf","Transcript Link")</f>
        <v>Transcript Link</v>
      </c>
      <c r="M2111" s="2" t="str">
        <f>HYPERLINK("https://files.afu.se/Downloads/Transcripts/0%20-%20Government/USA%20-%20NASA%20Johnson/2013 09 09 - NASA Johnson - Space Station Live  Sept. 9, 2013_nMqe9XEXTEg - transcript (automated).pdf","Transcript Link")</f>
        <v>Transcript Link</v>
      </c>
    </row>
    <row r="2112" ht="180" spans="1:13">
      <c r="A2112" s="1" t="s">
        <v>9248</v>
      </c>
      <c r="B2112" s="1" t="s">
        <v>13</v>
      </c>
      <c r="C2112" s="4" t="s">
        <v>9260</v>
      </c>
      <c r="D2112" s="1" t="s">
        <v>9261</v>
      </c>
      <c r="E2112" s="1" t="s">
        <v>9262</v>
      </c>
      <c r="F2112" s="4" t="s">
        <v>17</v>
      </c>
      <c r="G2112" s="1" t="s">
        <v>18</v>
      </c>
      <c r="H2112" s="1" t="s">
        <v>19</v>
      </c>
      <c r="I2112" s="1" t="s">
        <v>20</v>
      </c>
      <c r="J2112" s="1" t="s">
        <v>9263</v>
      </c>
      <c r="K2112" s="1" t="s">
        <v>22</v>
      </c>
      <c r="L2112" s="1" t="str">
        <f>HYPERLINK("https://files.afu.se/Downloads/Transcripts/0%20-%20Government/USA%20-%20NASA%20Johnson/2013 09 09 - NASA Johnson - Space Station Live  Robonaut, the Humanoid Robot_vfDXzkFHnz0 - transcript (automated).pdf","Transcript Link")</f>
        <v>Transcript Link</v>
      </c>
      <c r="M2112" s="2" t="str">
        <f>HYPERLINK("https://files.afu.se/Downloads/Transcripts/0%20-%20Government/USA%20-%20NASA%20Johnson/2013 09 09 - NASA Johnson - Space Station Live  Robonaut, the Humanoid Robot_vfDXzkFHnz0 - transcript (automated).pdf","Transcript Link")</f>
        <v>Transcript Link</v>
      </c>
    </row>
    <row r="2113" ht="180" spans="1:13">
      <c r="A2113" s="1" t="s">
        <v>9264</v>
      </c>
      <c r="B2113" s="1" t="s">
        <v>13</v>
      </c>
      <c r="C2113" s="4" t="s">
        <v>9265</v>
      </c>
      <c r="D2113" s="1" t="s">
        <v>9266</v>
      </c>
      <c r="E2113" s="1" t="s">
        <v>9267</v>
      </c>
      <c r="F2113" s="4" t="s">
        <v>17</v>
      </c>
      <c r="G2113" s="1" t="s">
        <v>18</v>
      </c>
      <c r="H2113" s="1" t="s">
        <v>19</v>
      </c>
      <c r="I2113" s="1" t="s">
        <v>20</v>
      </c>
      <c r="J2113" s="1" t="s">
        <v>9268</v>
      </c>
      <c r="K2113" s="1" t="s">
        <v>22</v>
      </c>
      <c r="L2113" s="1" t="str">
        <f>HYPERLINK("https://files.afu.se/Downloads/Transcripts/0%20-%20Government/USA%20-%20NASA%20Johnson/2013 09 06 - NASA Johnson - Expedition 37 38 Visits Red Square_dtKJKfViQUU - transcript (automated).pdf","Transcript Link")</f>
        <v>Transcript Link</v>
      </c>
      <c r="M2113" s="2" t="str">
        <f>HYPERLINK("https://files.afu.se/Downloads/Transcripts/0%20-%20Government/USA%20-%20NASA%20Johnson/2013 09 06 - NASA Johnson - Expedition 37 38 Visits Red Square_dtKJKfViQUU - transcript (automated).pdf","Transcript Link")</f>
        <v>Transcript Link</v>
      </c>
    </row>
    <row r="2114" ht="180" spans="1:13">
      <c r="A2114" s="1" t="s">
        <v>9264</v>
      </c>
      <c r="B2114" s="1" t="s">
        <v>13</v>
      </c>
      <c r="C2114" s="4" t="s">
        <v>9269</v>
      </c>
      <c r="D2114" s="1" t="s">
        <v>9270</v>
      </c>
      <c r="E2114" s="1" t="s">
        <v>9271</v>
      </c>
      <c r="F2114" s="4" t="s">
        <v>17</v>
      </c>
      <c r="G2114" s="1" t="s">
        <v>18</v>
      </c>
      <c r="H2114" s="1" t="s">
        <v>19</v>
      </c>
      <c r="I2114" s="1" t="s">
        <v>20</v>
      </c>
      <c r="J2114" s="1" t="s">
        <v>9272</v>
      </c>
      <c r="K2114" s="1" t="s">
        <v>22</v>
      </c>
      <c r="L2114" s="1" t="str">
        <f>HYPERLINK("https://files.afu.se/Downloads/Transcripts/0%20-%20Government/USA%20-%20NASA%20Johnson/2013 09 06 - NASA Johnson - Space Station Live  Advanced Colloids Experiment-M-1_iyyBbv3wkkI - transcript (automated).pdf","Transcript Link")</f>
        <v>Transcript Link</v>
      </c>
      <c r="M2114" s="2" t="str">
        <f>HYPERLINK("https://files.afu.se/Downloads/Transcripts/0%20-%20Government/USA%20-%20NASA%20Johnson/2013 09 06 - NASA Johnson - Space Station Live  Advanced Colloids Experiment-M-1_iyyBbv3wkkI - transcript (automated).pdf","Transcript Link")</f>
        <v>Transcript Link</v>
      </c>
    </row>
    <row r="2115" ht="180" spans="1:13">
      <c r="A2115" s="1" t="s">
        <v>9264</v>
      </c>
      <c r="B2115" s="1" t="s">
        <v>13</v>
      </c>
      <c r="C2115" s="4" t="s">
        <v>9273</v>
      </c>
      <c r="D2115" s="1" t="s">
        <v>9274</v>
      </c>
      <c r="E2115" s="1" t="s">
        <v>9275</v>
      </c>
      <c r="F2115" s="4" t="s">
        <v>17</v>
      </c>
      <c r="G2115" s="1" t="s">
        <v>18</v>
      </c>
      <c r="H2115" s="1" t="s">
        <v>19</v>
      </c>
      <c r="I2115" s="1" t="s">
        <v>20</v>
      </c>
      <c r="J2115" s="1" t="s">
        <v>9276</v>
      </c>
      <c r="K2115" s="1" t="s">
        <v>22</v>
      </c>
      <c r="L2115" s="1" t="str">
        <f>HYPERLINK("https://files.afu.se/Downloads/Transcripts/0%20-%20Government/USA%20-%20NASA%20Johnson/2013 09 06 - NASA Johnson - Space Station Live  Sept. 6, 2013_hDnoICrziVI - transcript (automated).pdf","Transcript Link")</f>
        <v>Transcript Link</v>
      </c>
      <c r="M2115" s="2" t="str">
        <f>HYPERLINK("https://files.afu.se/Downloads/Transcripts/0%20-%20Government/USA%20-%20NASA%20Johnson/2013 09 06 - NASA Johnson - Space Station Live  Sept. 6, 2013_hDnoICrziVI - transcript (automated).pdf","Transcript Link")</f>
        <v>Transcript Link</v>
      </c>
    </row>
    <row r="2116" ht="180" spans="1:13">
      <c r="A2116" s="1" t="s">
        <v>9277</v>
      </c>
      <c r="B2116" s="1" t="s">
        <v>13</v>
      </c>
      <c r="C2116" s="4" t="s">
        <v>9278</v>
      </c>
      <c r="D2116" s="1" t="s">
        <v>9279</v>
      </c>
      <c r="E2116" s="1" t="s">
        <v>9280</v>
      </c>
      <c r="F2116" s="4" t="s">
        <v>17</v>
      </c>
      <c r="G2116" s="1" t="s">
        <v>18</v>
      </c>
      <c r="H2116" s="1" t="s">
        <v>19</v>
      </c>
      <c r="I2116" s="1" t="s">
        <v>20</v>
      </c>
      <c r="J2116" s="1" t="s">
        <v>9281</v>
      </c>
      <c r="K2116" s="1" t="s">
        <v>22</v>
      </c>
      <c r="L2116" s="1" t="str">
        <f>HYPERLINK("https://files.afu.se/Downloads/Transcripts/0%20-%20Government/USA%20-%20NASA%20Johnson/2013 09 05 - NASA Johnson - Orbital Sciences Cygnus Demonstration Flight Animation_kPYdkTLqm6Q - transcript (automated).pdf","Transcript Link")</f>
        <v>Transcript Link</v>
      </c>
      <c r="M2116" s="2" t="str">
        <f>HYPERLINK("https://files.afu.se/Downloads/Transcripts/0%20-%20Government/USA%20-%20NASA%20Johnson/2013 09 05 - NASA Johnson - Orbital Sciences Cygnus Demonstration Flight Animation_kPYdkTLqm6Q - transcript (automated).pdf","Transcript Link")</f>
        <v>Transcript Link</v>
      </c>
    </row>
    <row r="2117" ht="180" spans="1:13">
      <c r="A2117" s="1" t="s">
        <v>9277</v>
      </c>
      <c r="B2117" s="1" t="s">
        <v>13</v>
      </c>
      <c r="C2117" s="4" t="s">
        <v>9282</v>
      </c>
      <c r="D2117" s="1" t="s">
        <v>9283</v>
      </c>
      <c r="E2117" s="1" t="s">
        <v>9284</v>
      </c>
      <c r="F2117" s="4" t="s">
        <v>17</v>
      </c>
      <c r="G2117" s="1" t="s">
        <v>18</v>
      </c>
      <c r="H2117" s="1" t="s">
        <v>19</v>
      </c>
      <c r="I2117" s="1" t="s">
        <v>20</v>
      </c>
      <c r="J2117" s="1" t="s">
        <v>9285</v>
      </c>
      <c r="K2117" s="1" t="s">
        <v>22</v>
      </c>
      <c r="L2117" s="1" t="str">
        <f>HYPERLINK("https://files.afu.se/Downloads/Transcripts/0%20-%20Government/USA%20-%20NASA%20Johnson/2013 09 05 - NASA Johnson - Space Station Live  Sept. 5, 2013_2tIPi8nik3c - transcript (automated).pdf","Transcript Link")</f>
        <v>Transcript Link</v>
      </c>
      <c r="M2117" s="2" t="str">
        <f>HYPERLINK("https://files.afu.se/Downloads/Transcripts/0%20-%20Government/USA%20-%20NASA%20Johnson/2013 09 05 - NASA Johnson - Space Station Live  Sept. 5, 2013_2tIPi8nik3c - transcript (automated).pdf","Transcript Link")</f>
        <v>Transcript Link</v>
      </c>
    </row>
    <row r="2118" ht="180" spans="1:13">
      <c r="A2118" s="1" t="s">
        <v>9277</v>
      </c>
      <c r="B2118" s="1" t="s">
        <v>13</v>
      </c>
      <c r="C2118" s="4" t="s">
        <v>9286</v>
      </c>
      <c r="D2118" s="1" t="s">
        <v>9287</v>
      </c>
      <c r="E2118" s="1" t="s">
        <v>9288</v>
      </c>
      <c r="F2118" s="4" t="s">
        <v>17</v>
      </c>
      <c r="G2118" s="1" t="s">
        <v>18</v>
      </c>
      <c r="H2118" s="1" t="s">
        <v>19</v>
      </c>
      <c r="I2118" s="1" t="s">
        <v>20</v>
      </c>
      <c r="J2118" s="1" t="s">
        <v>9289</v>
      </c>
      <c r="K2118" s="1" t="s">
        <v>22</v>
      </c>
      <c r="L2118" s="1" t="str">
        <f>HYPERLINK("https://files.afu.se/Downloads/Transcripts/0%20-%20Government/USA%20-%20NASA%20Johnson/2013 09 05 - NASA Johnson - Orbital Sciences Cygnus Demonstration Mission_cfCTb7m_jrA - transcript (automated).pdf","Transcript Link")</f>
        <v>Transcript Link</v>
      </c>
      <c r="M2118" s="2" t="str">
        <f>HYPERLINK("https://files.afu.se/Downloads/Transcripts/0%20-%20Government/USA%20-%20NASA%20Johnson/2013 09 05 - NASA Johnson - Orbital Sciences Cygnus Demonstration Mission_cfCTb7m_jrA - transcript (automated).pdf","Transcript Link")</f>
        <v>Transcript Link</v>
      </c>
    </row>
    <row r="2119" ht="180" spans="1:13">
      <c r="A2119" s="1" t="s">
        <v>9277</v>
      </c>
      <c r="B2119" s="1" t="s">
        <v>13</v>
      </c>
      <c r="C2119" s="4" t="s">
        <v>9290</v>
      </c>
      <c r="D2119" s="1" t="s">
        <v>9291</v>
      </c>
      <c r="E2119" s="1" t="s">
        <v>9292</v>
      </c>
      <c r="F2119" s="4" t="s">
        <v>17</v>
      </c>
      <c r="G2119" s="1" t="s">
        <v>18</v>
      </c>
      <c r="H2119" s="1" t="s">
        <v>19</v>
      </c>
      <c r="I2119" s="1" t="s">
        <v>20</v>
      </c>
      <c r="J2119" s="1" t="s">
        <v>9293</v>
      </c>
      <c r="K2119" s="1" t="s">
        <v>22</v>
      </c>
      <c r="L2119" s="1" t="str">
        <f>HYPERLINK("https://files.afu.se/Downloads/Transcripts/0%20-%20Government/USA%20-%20NASA%20Johnson/2013 09 05 - NASA Johnson - Conversations with Astronaut Karen Nyberg on... Family_otwdUaIRg_Q - transcript (automated).pdf","Transcript Link")</f>
        <v>Transcript Link</v>
      </c>
      <c r="M2119" s="2" t="str">
        <f>HYPERLINK("https://files.afu.se/Downloads/Transcripts/0%20-%20Government/USA%20-%20NASA%20Johnson/2013 09 05 - NASA Johnson - Conversations with Astronaut Karen Nyberg on... Family_otwdUaIRg_Q - transcript (automated).pdf","Transcript Link")</f>
        <v>Transcript Link</v>
      </c>
    </row>
    <row r="2120" ht="180" spans="1:13">
      <c r="A2120" s="1" t="s">
        <v>9294</v>
      </c>
      <c r="B2120" s="1" t="s">
        <v>13</v>
      </c>
      <c r="C2120" s="4" t="s">
        <v>9295</v>
      </c>
      <c r="D2120" s="1" t="s">
        <v>9296</v>
      </c>
      <c r="E2120" s="1" t="s">
        <v>9284</v>
      </c>
      <c r="F2120" s="4" t="s">
        <v>17</v>
      </c>
      <c r="G2120" s="1" t="s">
        <v>18</v>
      </c>
      <c r="H2120" s="1" t="s">
        <v>19</v>
      </c>
      <c r="I2120" s="1" t="s">
        <v>20</v>
      </c>
      <c r="J2120" s="1" t="s">
        <v>9297</v>
      </c>
      <c r="K2120" s="1" t="s">
        <v>22</v>
      </c>
      <c r="L2120" s="1" t="str">
        <f>HYPERLINK("https://files.afu.se/Downloads/Transcripts/0%20-%20Government/USA%20-%20NASA%20Johnson/2013 09 04 - NASA Johnson - Space Station Live  Sept. 4, 2013_qYSPDnlpMeI - transcript (automated).pdf","Transcript Link")</f>
        <v>Transcript Link</v>
      </c>
      <c r="M2120" s="2" t="str">
        <f>HYPERLINK("https://files.afu.se/Downloads/Transcripts/0%20-%20Government/USA%20-%20NASA%20Johnson/2013 09 04 - NASA Johnson - Space Station Live  Sept. 4, 2013_qYSPDnlpMeI - transcript (automated).pdf","Transcript Link")</f>
        <v>Transcript Link</v>
      </c>
    </row>
    <row r="2121" ht="180" spans="1:13">
      <c r="A2121" s="1" t="s">
        <v>9294</v>
      </c>
      <c r="B2121" s="1" t="s">
        <v>13</v>
      </c>
      <c r="C2121" s="4" t="s">
        <v>9298</v>
      </c>
      <c r="D2121" s="1" t="s">
        <v>9299</v>
      </c>
      <c r="E2121" s="1" t="s">
        <v>9300</v>
      </c>
      <c r="F2121" s="4" t="s">
        <v>17</v>
      </c>
      <c r="G2121" s="1" t="s">
        <v>18</v>
      </c>
      <c r="H2121" s="1" t="s">
        <v>19</v>
      </c>
      <c r="I2121" s="1" t="s">
        <v>20</v>
      </c>
      <c r="J2121" s="1" t="s">
        <v>9301</v>
      </c>
      <c r="K2121" s="1" t="s">
        <v>22</v>
      </c>
      <c r="L2121" s="1" t="str">
        <f>HYPERLINK("https://files.afu.se/Downloads/Transcripts/0%20-%20Government/USA%20-%20NASA%20Johnson/2013 09 04 - NASA Johnson - New Station Trio Begins Qualification Exams for Soyuz Launch_LkrZJedU7yA - transcript (automated).pdf","Transcript Link")</f>
        <v>Transcript Link</v>
      </c>
      <c r="M2121" s="2" t="str">
        <f>HYPERLINK("https://files.afu.se/Downloads/Transcripts/0%20-%20Government/USA%20-%20NASA%20Johnson/2013 09 04 - NASA Johnson - New Station Trio Begins Qualification Exams for Soyuz Launch_LkrZJedU7yA - transcript (automated).pdf","Transcript Link")</f>
        <v>Transcript Link</v>
      </c>
    </row>
    <row r="2122" ht="195" spans="1:13">
      <c r="A2122" s="1" t="s">
        <v>9302</v>
      </c>
      <c r="B2122" s="1" t="s">
        <v>13</v>
      </c>
      <c r="C2122" s="4" t="s">
        <v>9303</v>
      </c>
      <c r="D2122" s="1" t="s">
        <v>9304</v>
      </c>
      <c r="E2122" s="1" t="s">
        <v>9305</v>
      </c>
      <c r="F2122" s="4" t="s">
        <v>17</v>
      </c>
      <c r="G2122" s="1" t="s">
        <v>18</v>
      </c>
      <c r="H2122" s="1" t="s">
        <v>19</v>
      </c>
      <c r="I2122" s="1" t="s">
        <v>20</v>
      </c>
      <c r="J2122" s="1" t="s">
        <v>9306</v>
      </c>
      <c r="K2122" s="1" t="s">
        <v>22</v>
      </c>
      <c r="L2122" s="1" t="str">
        <f>HYPERLINK("https://files.afu.se/Downloads/Transcripts/0%20-%20Government/USA%20-%20NASA%20Johnson/2013 09 03 - NASA Johnson - Space Station Live  Flight Director Talks Spacesuit Troubleshooting_haR1PHgnI5U - transcript (automated).pdf","Transcript Link")</f>
        <v>Transcript Link</v>
      </c>
      <c r="M2122" s="2" t="str">
        <f>HYPERLINK("https://files.afu.se/Downloads/Transcripts/0%20-%20Government/USA%20-%20NASA%20Johnson/2013 09 03 - NASA Johnson - Space Station Live  Flight Director Talks Spacesuit Troubleshooting_haR1PHgnI5U - transcript (automated).pdf","Transcript Link")</f>
        <v>Transcript Link</v>
      </c>
    </row>
    <row r="2123" ht="180" spans="1:13">
      <c r="A2123" s="1" t="s">
        <v>9302</v>
      </c>
      <c r="B2123" s="1" t="s">
        <v>13</v>
      </c>
      <c r="C2123" s="4" t="s">
        <v>9307</v>
      </c>
      <c r="D2123" s="1" t="s">
        <v>9308</v>
      </c>
      <c r="E2123" s="1" t="s">
        <v>9309</v>
      </c>
      <c r="F2123" s="4" t="s">
        <v>17</v>
      </c>
      <c r="G2123" s="1" t="s">
        <v>18</v>
      </c>
      <c r="H2123" s="1" t="s">
        <v>19</v>
      </c>
      <c r="I2123" s="1" t="s">
        <v>20</v>
      </c>
      <c r="J2123" s="1" t="s">
        <v>9310</v>
      </c>
      <c r="K2123" s="1" t="s">
        <v>22</v>
      </c>
      <c r="L2123" s="1" t="str">
        <f>HYPERLINK("https://files.afu.se/Downloads/Transcripts/0%20-%20Government/USA%20-%20NASA%20Johnson/2013 09 03 - NASA Johnson - Space Station Live  Sept. 3, 2013_NOVgH-2s2HU - transcript (automated).pdf","Transcript Link")</f>
        <v>Transcript Link</v>
      </c>
      <c r="M2123" s="2" t="str">
        <f>HYPERLINK("https://files.afu.se/Downloads/Transcripts/0%20-%20Government/USA%20-%20NASA%20Johnson/2013 09 03 - NASA Johnson - Space Station Live  Sept. 3, 2013_NOVgH-2s2HU - transcript (automated).pdf","Transcript Link")</f>
        <v>Transcript Link</v>
      </c>
    </row>
    <row r="2124" ht="180" spans="1:13">
      <c r="A2124" s="1" t="s">
        <v>9311</v>
      </c>
      <c r="B2124" s="1" t="s">
        <v>13</v>
      </c>
      <c r="C2124" s="4" t="s">
        <v>9312</v>
      </c>
      <c r="D2124" s="1" t="s">
        <v>9313</v>
      </c>
      <c r="E2124" s="1" t="s">
        <v>9314</v>
      </c>
      <c r="F2124" s="4" t="s">
        <v>17</v>
      </c>
      <c r="G2124" s="1" t="s">
        <v>18</v>
      </c>
      <c r="H2124" s="1" t="s">
        <v>19</v>
      </c>
      <c r="I2124" s="1" t="s">
        <v>20</v>
      </c>
      <c r="J2124" s="1" t="s">
        <v>9315</v>
      </c>
      <c r="K2124" s="1" t="s">
        <v>22</v>
      </c>
      <c r="L2124" s="1" t="str">
        <f>HYPERLINK("https://files.afu.se/Downloads/Transcripts/0%20-%20Government/USA%20-%20NASA%20Johnson/2013 08 30 - NASA Johnson - This is JSC  Athletics_CEHE-lQXN60 - transcript (automated).pdf","Transcript Link")</f>
        <v>Transcript Link</v>
      </c>
      <c r="M2124" s="2" t="str">
        <f>HYPERLINK("https://files.afu.se/Downloads/Transcripts/0%20-%20Government/USA%20-%20NASA%20Johnson/2013 08 30 - NASA Johnson - This is JSC  Athletics_CEHE-lQXN60 - transcript (automated).pdf","Transcript Link")</f>
        <v>Transcript Link</v>
      </c>
    </row>
    <row r="2125" ht="180" spans="1:13">
      <c r="A2125" s="1" t="s">
        <v>9311</v>
      </c>
      <c r="B2125" s="1" t="s">
        <v>13</v>
      </c>
      <c r="C2125" s="4" t="s">
        <v>9316</v>
      </c>
      <c r="D2125" s="1" t="s">
        <v>9317</v>
      </c>
      <c r="E2125" s="1" t="s">
        <v>9318</v>
      </c>
      <c r="F2125" s="4" t="s">
        <v>17</v>
      </c>
      <c r="G2125" s="1" t="s">
        <v>18</v>
      </c>
      <c r="H2125" s="1" t="s">
        <v>19</v>
      </c>
      <c r="I2125" s="1" t="s">
        <v>20</v>
      </c>
      <c r="J2125" s="1" t="s">
        <v>9319</v>
      </c>
      <c r="K2125" s="1" t="s">
        <v>22</v>
      </c>
      <c r="L2125" s="1" t="str">
        <f>HYPERLINK("https://files.afu.se/Downloads/Transcripts/0%20-%20Government/USA%20-%20NASA%20Johnson/2013 08 30 - NASA Johnson - Space Station Live  Aug. 30, 2013_AET08T06Emg - transcript (automated).pdf","Transcript Link")</f>
        <v>Transcript Link</v>
      </c>
      <c r="M2125" s="2" t="str">
        <f>HYPERLINK("https://files.afu.se/Downloads/Transcripts/0%20-%20Government/USA%20-%20NASA%20Johnson/2013 08 30 - NASA Johnson - Space Station Live  Aug. 30, 2013_AET08T06Emg - transcript (automated).pdf","Transcript Link")</f>
        <v>Transcript Link</v>
      </c>
    </row>
    <row r="2126" ht="180" spans="1:13">
      <c r="A2126" s="1" t="s">
        <v>9311</v>
      </c>
      <c r="B2126" s="1" t="s">
        <v>13</v>
      </c>
      <c r="C2126" s="4" t="s">
        <v>9320</v>
      </c>
      <c r="D2126" s="1" t="s">
        <v>9321</v>
      </c>
      <c r="E2126" s="1" t="s">
        <v>9322</v>
      </c>
      <c r="F2126" s="4" t="s">
        <v>17</v>
      </c>
      <c r="G2126" s="1" t="s">
        <v>18</v>
      </c>
      <c r="H2126" s="1" t="s">
        <v>19</v>
      </c>
      <c r="I2126" s="1" t="s">
        <v>20</v>
      </c>
      <c r="J2126" s="1" t="s">
        <v>9323</v>
      </c>
      <c r="K2126" s="1" t="s">
        <v>22</v>
      </c>
      <c r="L2126" s="1" t="str">
        <f>HYPERLINK("https://files.afu.se/Downloads/Transcripts/0%20-%20Government/USA%20-%20NASA%20Johnson/2013 08 30 - NASA Johnson - Train Like an Astronaut-Aerobic vs. Anaerobic activity_42LJE94Ucbk - transcript (automated).pdf","Transcript Link")</f>
        <v>Transcript Link</v>
      </c>
      <c r="M2126" s="2" t="str">
        <f>HYPERLINK("https://files.afu.se/Downloads/Transcripts/0%20-%20Government/USA%20-%20NASA%20Johnson/2013 08 30 - NASA Johnson - Train Like an Astronaut-Aerobic vs. Anaerobic activity_42LJE94Ucbk - transcript (automated).pdf","Transcript Link")</f>
        <v>Transcript Link</v>
      </c>
    </row>
    <row r="2127" ht="180" spans="1:13">
      <c r="A2127" s="1" t="s">
        <v>9324</v>
      </c>
      <c r="B2127" s="1" t="s">
        <v>13</v>
      </c>
      <c r="C2127" s="4" t="s">
        <v>9325</v>
      </c>
      <c r="D2127" s="1" t="s">
        <v>9326</v>
      </c>
      <c r="E2127" s="1" t="s">
        <v>9327</v>
      </c>
      <c r="F2127" s="4" t="s">
        <v>17</v>
      </c>
      <c r="G2127" s="1" t="s">
        <v>18</v>
      </c>
      <c r="H2127" s="1" t="s">
        <v>19</v>
      </c>
      <c r="I2127" s="1" t="s">
        <v>20</v>
      </c>
      <c r="J2127" s="1" t="s">
        <v>9328</v>
      </c>
      <c r="K2127" s="1" t="s">
        <v>22</v>
      </c>
      <c r="L2127" s="1" t="str">
        <f>HYPERLINK("https://files.afu.se/Downloads/Transcripts/0%20-%20Government/USA%20-%20NASA%20Johnson/2013 08 29 - NASA Johnson - Astronaut Nicole Stott Talks With Texas Students_d-OqseqoxJs - transcript (automated).pdf","Transcript Link")</f>
        <v>Transcript Link</v>
      </c>
      <c r="M2127" s="2" t="str">
        <f>HYPERLINK("https://files.afu.se/Downloads/Transcripts/0%20-%20Government/USA%20-%20NASA%20Johnson/2013 08 29 - NASA Johnson - Astronaut Nicole Stott Talks With Texas Students_d-OqseqoxJs - transcript (automated).pdf","Transcript Link")</f>
        <v>Transcript Link</v>
      </c>
    </row>
    <row r="2128" ht="180" spans="1:13">
      <c r="A2128" s="1" t="s">
        <v>9324</v>
      </c>
      <c r="B2128" s="1" t="s">
        <v>13</v>
      </c>
      <c r="C2128" s="4" t="s">
        <v>9329</v>
      </c>
      <c r="D2128" s="1" t="s">
        <v>9330</v>
      </c>
      <c r="E2128" s="1" t="s">
        <v>9331</v>
      </c>
      <c r="F2128" s="4" t="s">
        <v>17</v>
      </c>
      <c r="G2128" s="1" t="s">
        <v>18</v>
      </c>
      <c r="H2128" s="1" t="s">
        <v>19</v>
      </c>
      <c r="I2128" s="1" t="s">
        <v>20</v>
      </c>
      <c r="J2128" s="1" t="s">
        <v>9332</v>
      </c>
      <c r="K2128" s="1" t="s">
        <v>22</v>
      </c>
      <c r="L2128" s="1" t="str">
        <f>HYPERLINK("https://files.afu.se/Downloads/Transcripts/0%20-%20Government/USA%20-%20NASA%20Johnson/2013 08 29 - NASA Johnson - Take a Peek Inside the New Mission Control Houston_ilQYJT44Dm8 - transcript (automated).pdf","Transcript Link")</f>
        <v>Transcript Link</v>
      </c>
      <c r="M2128" s="2" t="str">
        <f>HYPERLINK("https://files.afu.se/Downloads/Transcripts/0%20-%20Government/USA%20-%20NASA%20Johnson/2013 08 29 - NASA Johnson - Take a Peek Inside the New Mission Control Houston_ilQYJT44Dm8 - transcript (automated).pdf","Transcript Link")</f>
        <v>Transcript Link</v>
      </c>
    </row>
    <row r="2129" ht="180" spans="1:13">
      <c r="A2129" s="1" t="s">
        <v>9324</v>
      </c>
      <c r="B2129" s="1" t="s">
        <v>13</v>
      </c>
      <c r="C2129" s="4" t="s">
        <v>9333</v>
      </c>
      <c r="D2129" s="1" t="s">
        <v>9334</v>
      </c>
      <c r="E2129" s="1" t="s">
        <v>9335</v>
      </c>
      <c r="F2129" s="4" t="s">
        <v>17</v>
      </c>
      <c r="G2129" s="1" t="s">
        <v>18</v>
      </c>
      <c r="H2129" s="1" t="s">
        <v>19</v>
      </c>
      <c r="I2129" s="1" t="s">
        <v>20</v>
      </c>
      <c r="J2129" s="1" t="s">
        <v>9336</v>
      </c>
      <c r="K2129" s="1" t="s">
        <v>22</v>
      </c>
      <c r="L2129" s="1" t="str">
        <f>HYPERLINK("https://files.afu.se/Downloads/Transcripts/0%20-%20Government/USA%20-%20NASA%20Johnson/2013 08 29 - NASA Johnson - Space Station Live  Aug. 29, 2013_rJxZCaACoFA - transcript (automated).pdf","Transcript Link")</f>
        <v>Transcript Link</v>
      </c>
      <c r="M2129" s="2" t="str">
        <f>HYPERLINK("https://files.afu.se/Downloads/Transcripts/0%20-%20Government/USA%20-%20NASA%20Johnson/2013 08 29 - NASA Johnson - Space Station Live  Aug. 29, 2013_rJxZCaACoFA - transcript (automated).pdf","Transcript Link")</f>
        <v>Transcript Link</v>
      </c>
    </row>
    <row r="2130" ht="180" spans="1:13">
      <c r="A2130" s="1" t="s">
        <v>9337</v>
      </c>
      <c r="B2130" s="1" t="s">
        <v>13</v>
      </c>
      <c r="C2130" s="4" t="s">
        <v>9338</v>
      </c>
      <c r="D2130" s="1" t="s">
        <v>9339</v>
      </c>
      <c r="E2130" s="1" t="s">
        <v>9340</v>
      </c>
      <c r="F2130" s="4" t="s">
        <v>17</v>
      </c>
      <c r="G2130" s="1" t="s">
        <v>18</v>
      </c>
      <c r="H2130" s="1" t="s">
        <v>19</v>
      </c>
      <c r="I2130" s="1" t="s">
        <v>20</v>
      </c>
      <c r="J2130" s="1" t="s">
        <v>9341</v>
      </c>
      <c r="K2130" s="1" t="s">
        <v>22</v>
      </c>
      <c r="L2130" s="1" t="str">
        <f>HYPERLINK("https://files.afu.se/Downloads/Transcripts/0%20-%20Government/USA%20-%20NASA%20Johnson/2013 08 28 - NASA Johnson - Space Station Live  Cardiovascular Health in Space_tl2C_JbPPXE - transcript (automated).pdf","Transcript Link")</f>
        <v>Transcript Link</v>
      </c>
      <c r="M2130" s="2" t="str">
        <f>HYPERLINK("https://files.afu.se/Downloads/Transcripts/0%20-%20Government/USA%20-%20NASA%20Johnson/2013 08 28 - NASA Johnson - Space Station Live  Cardiovascular Health in Space_tl2C_JbPPXE - transcript (automated).pdf","Transcript Link")</f>
        <v>Transcript Link</v>
      </c>
    </row>
    <row r="2131" ht="180" spans="1:13">
      <c r="A2131" s="1" t="s">
        <v>9337</v>
      </c>
      <c r="B2131" s="1" t="s">
        <v>13</v>
      </c>
      <c r="C2131" s="4" t="s">
        <v>9342</v>
      </c>
      <c r="D2131" s="1" t="s">
        <v>9343</v>
      </c>
      <c r="E2131" s="1" t="s">
        <v>9344</v>
      </c>
      <c r="F2131" s="4" t="s">
        <v>17</v>
      </c>
      <c r="G2131" s="1" t="s">
        <v>18</v>
      </c>
      <c r="H2131" s="1" t="s">
        <v>19</v>
      </c>
      <c r="I2131" s="1" t="s">
        <v>20</v>
      </c>
      <c r="J2131" s="1" t="s">
        <v>9345</v>
      </c>
      <c r="K2131" s="1" t="s">
        <v>22</v>
      </c>
      <c r="L2131" s="1" t="str">
        <f>HYPERLINK("https://files.afu.se/Downloads/Transcripts/0%20-%20Government/USA%20-%20NASA%20Johnson/2013 08 28 - NASA Johnson - Meet the Expedition 38 39 Crew_l8DHqM1iTFs - transcript (automated).pdf","Transcript Link")</f>
        <v>Transcript Link</v>
      </c>
      <c r="M2131" s="2" t="str">
        <f>HYPERLINK("https://files.afu.se/Downloads/Transcripts/0%20-%20Government/USA%20-%20NASA%20Johnson/2013 08 28 - NASA Johnson - Meet the Expedition 38 39 Crew_l8DHqM1iTFs - transcript (automated).pdf","Transcript Link")</f>
        <v>Transcript Link</v>
      </c>
    </row>
    <row r="2132" ht="180" spans="1:13">
      <c r="A2132" s="1" t="s">
        <v>9337</v>
      </c>
      <c r="B2132" s="1" t="s">
        <v>13</v>
      </c>
      <c r="C2132" s="4" t="s">
        <v>9346</v>
      </c>
      <c r="D2132" s="1" t="s">
        <v>9347</v>
      </c>
      <c r="E2132" s="1" t="s">
        <v>9348</v>
      </c>
      <c r="F2132" s="4" t="s">
        <v>17</v>
      </c>
      <c r="G2132" s="1" t="s">
        <v>18</v>
      </c>
      <c r="H2132" s="1" t="s">
        <v>19</v>
      </c>
      <c r="I2132" s="1" t="s">
        <v>20</v>
      </c>
      <c r="J2132" s="1" t="s">
        <v>9349</v>
      </c>
      <c r="K2132" s="1" t="s">
        <v>22</v>
      </c>
      <c r="L2132" s="1" t="str">
        <f>HYPERLINK("https://files.afu.se/Downloads/Transcripts/0%20-%20Government/USA%20-%20NASA%20Johnson/2013 08 28 - NASA Johnson - Astronaut Ron Garan Shows Off Favorite Earth Photos From Space_9waMolhMTSc - transcript (automated).pdf","Transcript Link")</f>
        <v>Transcript Link</v>
      </c>
      <c r="M2132" s="2" t="str">
        <f>HYPERLINK("https://files.afu.se/Downloads/Transcripts/0%20-%20Government/USA%20-%20NASA%20Johnson/2013 08 28 - NASA Johnson - Astronaut Ron Garan Shows Off Favorite Earth Photos From Space_9waMolhMTSc - transcript (automated).pdf","Transcript Link")</f>
        <v>Transcript Link</v>
      </c>
    </row>
    <row r="2133" ht="180" spans="1:13">
      <c r="A2133" s="1" t="s">
        <v>9337</v>
      </c>
      <c r="B2133" s="1" t="s">
        <v>13</v>
      </c>
      <c r="C2133" s="4" t="s">
        <v>9350</v>
      </c>
      <c r="D2133" s="1" t="s">
        <v>9351</v>
      </c>
      <c r="E2133" s="1" t="s">
        <v>9352</v>
      </c>
      <c r="F2133" s="4" t="s">
        <v>17</v>
      </c>
      <c r="G2133" s="1" t="s">
        <v>18</v>
      </c>
      <c r="H2133" s="1" t="s">
        <v>19</v>
      </c>
      <c r="I2133" s="1" t="s">
        <v>20</v>
      </c>
      <c r="J2133" s="1" t="s">
        <v>9353</v>
      </c>
      <c r="K2133" s="1" t="s">
        <v>22</v>
      </c>
      <c r="L2133" s="1" t="str">
        <f>HYPERLINK("https://files.afu.se/Downloads/Transcripts/0%20-%20Government/USA%20-%20NASA%20Johnson/2013 08 28 - NASA Johnson - Space Station Live  Hyperspectral Imager for the Coastal Ocean_sLXs5mL_Hw4 - transcript (automated).pdf","Transcript Link")</f>
        <v>Transcript Link</v>
      </c>
      <c r="M2133" s="2" t="str">
        <f>HYPERLINK("https://files.afu.se/Downloads/Transcripts/0%20-%20Government/USA%20-%20NASA%20Johnson/2013 08 28 - NASA Johnson - Space Station Live  Hyperspectral Imager for the Coastal Ocean_sLXs5mL_Hw4 - transcript (automated).pdf","Transcript Link")</f>
        <v>Transcript Link</v>
      </c>
    </row>
    <row r="2134" ht="180" spans="1:13">
      <c r="A2134" s="1" t="s">
        <v>9337</v>
      </c>
      <c r="B2134" s="1" t="s">
        <v>13</v>
      </c>
      <c r="C2134" s="4" t="s">
        <v>9354</v>
      </c>
      <c r="D2134" s="1" t="s">
        <v>9355</v>
      </c>
      <c r="E2134" s="1" t="s">
        <v>9356</v>
      </c>
      <c r="F2134" s="4" t="s">
        <v>17</v>
      </c>
      <c r="G2134" s="1" t="s">
        <v>18</v>
      </c>
      <c r="H2134" s="1" t="s">
        <v>19</v>
      </c>
      <c r="I2134" s="1" t="s">
        <v>20</v>
      </c>
      <c r="J2134" s="1" t="s">
        <v>9357</v>
      </c>
      <c r="K2134" s="1" t="s">
        <v>22</v>
      </c>
      <c r="L2134" s="1" t="str">
        <f>HYPERLINK("https://files.afu.se/Downloads/Transcripts/0%20-%20Government/USA%20-%20NASA%20Johnson/2013 08 28 - NASA Johnson - Space Station Live  Aug. 28, 2013_xd1kEVo7By0 - transcript (automated).pdf","Transcript Link")</f>
        <v>Transcript Link</v>
      </c>
      <c r="M2134" s="2" t="str">
        <f>HYPERLINK("https://files.afu.se/Downloads/Transcripts/0%20-%20Government/USA%20-%20NASA%20Johnson/2013 08 28 - NASA Johnson - Space Station Live  Aug. 28, 2013_xd1kEVo7By0 - transcript (automated).pdf","Transcript Link")</f>
        <v>Transcript Link</v>
      </c>
    </row>
    <row r="2135" ht="180" spans="1:13">
      <c r="A2135" s="1" t="s">
        <v>9358</v>
      </c>
      <c r="B2135" s="1" t="s">
        <v>13</v>
      </c>
      <c r="C2135" s="4" t="s">
        <v>9359</v>
      </c>
      <c r="D2135" s="1" t="s">
        <v>9360</v>
      </c>
      <c r="E2135" s="1" t="s">
        <v>9361</v>
      </c>
      <c r="F2135" s="4" t="s">
        <v>17</v>
      </c>
      <c r="G2135" s="1" t="s">
        <v>18</v>
      </c>
      <c r="H2135" s="1" t="s">
        <v>19</v>
      </c>
      <c r="I2135" s="1" t="s">
        <v>20</v>
      </c>
      <c r="J2135" s="1" t="s">
        <v>9362</v>
      </c>
      <c r="K2135" s="1" t="s">
        <v>22</v>
      </c>
      <c r="L2135" s="1" t="str">
        <f>HYPERLINK("https://files.afu.se/Downloads/Transcripts/0%20-%20Government/USA%20-%20NASA%20Johnson/2013 08 27 - NASA Johnson - Station Crew Recreates Spacesuit Leak__LU60dA7gLg - transcript (automated).pdf","Transcript Link")</f>
        <v>Transcript Link</v>
      </c>
      <c r="M2135" s="2" t="str">
        <f>HYPERLINK("https://files.afu.se/Downloads/Transcripts/0%20-%20Government/USA%20-%20NASA%20Johnson/2013 08 27 - NASA Johnson - Station Crew Recreates Spacesuit Leak__LU60dA7gLg - transcript (automated).pdf","Transcript Link")</f>
        <v>Transcript Link</v>
      </c>
    </row>
    <row r="2136" ht="180" spans="1:13">
      <c r="A2136" s="1" t="s">
        <v>9363</v>
      </c>
      <c r="B2136" s="1" t="s">
        <v>13</v>
      </c>
      <c r="C2136" s="4" t="s">
        <v>9364</v>
      </c>
      <c r="D2136" s="1" t="s">
        <v>9365</v>
      </c>
      <c r="E2136" s="1" t="s">
        <v>9366</v>
      </c>
      <c r="F2136" s="4" t="s">
        <v>17</v>
      </c>
      <c r="G2136" s="1" t="s">
        <v>18</v>
      </c>
      <c r="H2136" s="1" t="s">
        <v>19</v>
      </c>
      <c r="I2136" s="1" t="s">
        <v>20</v>
      </c>
      <c r="J2136" s="1" t="s">
        <v>9367</v>
      </c>
      <c r="K2136" s="1" t="s">
        <v>22</v>
      </c>
      <c r="L2136" s="1" t="str">
        <f>HYPERLINK("https://files.afu.se/Downloads/Transcripts/0%20-%20Government/USA%20-%20NASA%20Johnson/2013 08 26 - NASA Johnson - Preparing America for Deep Space Exploration  Episode 3_HyAViCNklSk - transcript (automated).pdf","Transcript Link")</f>
        <v>Transcript Link</v>
      </c>
      <c r="M2136" s="2" t="str">
        <f>HYPERLINK("https://files.afu.se/Downloads/Transcripts/0%20-%20Government/USA%20-%20NASA%20Johnson/2013 08 26 - NASA Johnson - Preparing America for Deep Space Exploration  Episode 3_HyAViCNklSk - transcript (automated).pdf","Transcript Link")</f>
        <v>Transcript Link</v>
      </c>
    </row>
    <row r="2137" ht="180" spans="1:13">
      <c r="A2137" s="1" t="s">
        <v>9363</v>
      </c>
      <c r="B2137" s="1" t="s">
        <v>13</v>
      </c>
      <c r="C2137" s="4" t="s">
        <v>9368</v>
      </c>
      <c r="D2137" s="1" t="s">
        <v>9369</v>
      </c>
      <c r="E2137" s="1" t="s">
        <v>9370</v>
      </c>
      <c r="F2137" s="4" t="s">
        <v>17</v>
      </c>
      <c r="G2137" s="1" t="s">
        <v>18</v>
      </c>
      <c r="H2137" s="1" t="s">
        <v>19</v>
      </c>
      <c r="I2137" s="1" t="s">
        <v>20</v>
      </c>
      <c r="J2137" s="1" t="s">
        <v>9371</v>
      </c>
      <c r="K2137" s="1" t="s">
        <v>22</v>
      </c>
      <c r="L2137" s="1" t="str">
        <f>HYPERLINK("https://files.afu.se/Downloads/Transcripts/0%20-%20Government/USA%20-%20NASA%20Johnson/2013 08 26 - NASA Johnson - Space Station Live  Aug. 26, 2013_lCEny-IP-iI - transcript (automated).pdf","Transcript Link")</f>
        <v>Transcript Link</v>
      </c>
      <c r="M2137" s="2" t="str">
        <f>HYPERLINK("https://files.afu.se/Downloads/Transcripts/0%20-%20Government/USA%20-%20NASA%20Johnson/2013 08 26 - NASA Johnson - Space Station Live  Aug. 26, 2013_lCEny-IP-iI - transcript (automated).pdf","Transcript Link")</f>
        <v>Transcript Link</v>
      </c>
    </row>
    <row r="2138" ht="195" spans="1:13">
      <c r="A2138" s="1" t="s">
        <v>9372</v>
      </c>
      <c r="B2138" s="1" t="s">
        <v>13</v>
      </c>
      <c r="C2138" s="4" t="s">
        <v>9373</v>
      </c>
      <c r="D2138" s="1" t="s">
        <v>9374</v>
      </c>
      <c r="E2138" s="1" t="s">
        <v>9375</v>
      </c>
      <c r="F2138" s="4" t="s">
        <v>17</v>
      </c>
      <c r="G2138" s="1" t="s">
        <v>18</v>
      </c>
      <c r="H2138" s="1" t="s">
        <v>19</v>
      </c>
      <c r="I2138" s="1" t="s">
        <v>20</v>
      </c>
      <c r="J2138" s="1" t="s">
        <v>9376</v>
      </c>
      <c r="K2138" s="1" t="s">
        <v>22</v>
      </c>
      <c r="L2138" s="1" t="str">
        <f>HYPERLINK("https://files.afu.se/Downloads/Transcripts/0%20-%20Government/USA%20-%20NASA%20Johnson/2013 08 23 - NASA Johnson - Search On for Climate Clues Across Southern U.S. Skies_0k9E42YWq5g - transcript (automated).pdf","Transcript Link")</f>
        <v>Transcript Link</v>
      </c>
      <c r="M2138" s="2" t="str">
        <f>HYPERLINK("https://files.afu.se/Downloads/Transcripts/0%20-%20Government/USA%20-%20NASA%20Johnson/2013 08 23 - NASA Johnson - Search On for Climate Clues Across Southern U.S. Skies_0k9E42YWq5g - transcript (automated).pdf","Transcript Link")</f>
        <v>Transcript Link</v>
      </c>
    </row>
    <row r="2139" ht="180" spans="1:13">
      <c r="A2139" s="1" t="s">
        <v>9372</v>
      </c>
      <c r="B2139" s="1" t="s">
        <v>13</v>
      </c>
      <c r="C2139" s="4" t="s">
        <v>9377</v>
      </c>
      <c r="D2139" s="1" t="s">
        <v>9378</v>
      </c>
      <c r="E2139" s="1" t="s">
        <v>9379</v>
      </c>
      <c r="F2139" s="4" t="s">
        <v>17</v>
      </c>
      <c r="G2139" s="1" t="s">
        <v>18</v>
      </c>
      <c r="H2139" s="1" t="s">
        <v>19</v>
      </c>
      <c r="I2139" s="1" t="s">
        <v>20</v>
      </c>
      <c r="J2139" s="1" t="s">
        <v>9380</v>
      </c>
      <c r="K2139" s="1" t="s">
        <v>22</v>
      </c>
      <c r="L2139" s="1" t="str">
        <f>HYPERLINK("https://files.afu.se/Downloads/Transcripts/0%20-%20Government/USA%20-%20NASA%20Johnson/2013 08 23 - NASA Johnson - Space Station Live, Aug. 23, 2013_L09oA_8mzY0 - transcript (automated).pdf","Transcript Link")</f>
        <v>Transcript Link</v>
      </c>
      <c r="M2139" s="2" t="str">
        <f>HYPERLINK("https://files.afu.se/Downloads/Transcripts/0%20-%20Government/USA%20-%20NASA%20Johnson/2013 08 23 - NASA Johnson - Space Station Live, Aug. 23, 2013_L09oA_8mzY0 - transcript (automated).pdf","Transcript Link")</f>
        <v>Transcript Link</v>
      </c>
    </row>
    <row r="2140" ht="180" spans="1:13">
      <c r="A2140" s="1" t="s">
        <v>9381</v>
      </c>
      <c r="B2140" s="1" t="s">
        <v>13</v>
      </c>
      <c r="C2140" s="4" t="s">
        <v>9382</v>
      </c>
      <c r="D2140" s="1" t="s">
        <v>9383</v>
      </c>
      <c r="E2140" s="1" t="s">
        <v>9384</v>
      </c>
      <c r="F2140" s="4" t="s">
        <v>17</v>
      </c>
      <c r="G2140" s="1" t="s">
        <v>18</v>
      </c>
      <c r="H2140" s="1" t="s">
        <v>19</v>
      </c>
      <c r="I2140" s="1" t="s">
        <v>20</v>
      </c>
      <c r="J2140" s="1" t="s">
        <v>9385</v>
      </c>
      <c r="K2140" s="1" t="s">
        <v>22</v>
      </c>
      <c r="L2140" s="1" t="str">
        <f>HYPERLINK("https://files.afu.se/Downloads/Transcripts/0%20-%20Government/USA%20-%20NASA%20Johnson/2013 08 22 - NASA Johnson - Train Like an Astronaut-Warm-Ups and Cool-Downs_9Q3UfwiN1dA - transcript (automated).pdf","Transcript Link")</f>
        <v>Transcript Link</v>
      </c>
      <c r="M2140" s="2" t="str">
        <f>HYPERLINK("https://files.afu.se/Downloads/Transcripts/0%20-%20Government/USA%20-%20NASA%20Johnson/2013 08 22 - NASA Johnson - Train Like an Astronaut-Warm-Ups and Cool-Downs_9Q3UfwiN1dA - transcript (automated).pdf","Transcript Link")</f>
        <v>Transcript Link</v>
      </c>
    </row>
    <row r="2141" ht="225" spans="1:13">
      <c r="A2141" s="1" t="s">
        <v>9381</v>
      </c>
      <c r="B2141" s="1" t="s">
        <v>13</v>
      </c>
      <c r="C2141" s="4" t="s">
        <v>9386</v>
      </c>
      <c r="D2141" s="1" t="s">
        <v>9387</v>
      </c>
      <c r="E2141" s="1" t="s">
        <v>9388</v>
      </c>
      <c r="F2141" s="4" t="s">
        <v>17</v>
      </c>
      <c r="G2141" s="1" t="s">
        <v>18</v>
      </c>
      <c r="H2141" s="1" t="s">
        <v>19</v>
      </c>
      <c r="I2141" s="1" t="s">
        <v>20</v>
      </c>
      <c r="J2141" s="1" t="s">
        <v>9389</v>
      </c>
      <c r="K2141" s="1" t="s">
        <v>22</v>
      </c>
      <c r="L2141" s="1" t="str">
        <f>HYPERLINK("https://files.afu.se/Downloads/Transcripts/0%20-%20Government/USA%20-%20NASA%20Johnson/2013 08 22 - NASA Johnson - This is JSC  Z1 Spacesuit_eYoLlAOEDUo - transcript (automated).pdf","Transcript Link")</f>
        <v>Transcript Link</v>
      </c>
      <c r="M2141" s="2" t="str">
        <f>HYPERLINK("https://files.afu.se/Downloads/Transcripts/0%20-%20Government/USA%20-%20NASA%20Johnson/2013 08 22 - NASA Johnson - This is JSC  Z1 Spacesuit_eYoLlAOEDUo - transcript (automated).pdf","Transcript Link")</f>
        <v>Transcript Link</v>
      </c>
    </row>
    <row r="2142" ht="180" spans="1:13">
      <c r="A2142" s="1" t="s">
        <v>9390</v>
      </c>
      <c r="B2142" s="1" t="s">
        <v>13</v>
      </c>
      <c r="C2142" s="4" t="s">
        <v>9391</v>
      </c>
      <c r="D2142" s="1" t="s">
        <v>9392</v>
      </c>
      <c r="E2142" s="1" t="s">
        <v>9393</v>
      </c>
      <c r="F2142" s="4" t="s">
        <v>17</v>
      </c>
      <c r="G2142" s="1" t="s">
        <v>18</v>
      </c>
      <c r="H2142" s="1" t="s">
        <v>19</v>
      </c>
      <c r="I2142" s="1" t="s">
        <v>20</v>
      </c>
      <c r="J2142" s="1" t="s">
        <v>9394</v>
      </c>
      <c r="K2142" s="1" t="s">
        <v>22</v>
      </c>
      <c r="L2142" s="1" t="str">
        <f>HYPERLINK("https://files.afu.se/Downloads/Transcripts/0%20-%20Government/USA%20-%20NASA%20Johnson/2013 08 21 - NASA Johnson - Space Station Live  Aug. 21, 2013_A8tnDRWJNv4 - transcript (automated).pdf","Transcript Link")</f>
        <v>Transcript Link</v>
      </c>
      <c r="M2142" s="2" t="str">
        <f>HYPERLINK("https://files.afu.se/Downloads/Transcripts/0%20-%20Government/USA%20-%20NASA%20Johnson/2013 08 21 - NASA Johnson - Space Station Live  Aug. 21, 2013_A8tnDRWJNv4 - transcript (automated).pdf","Transcript Link")</f>
        <v>Transcript Link</v>
      </c>
    </row>
    <row r="2143" ht="180" spans="1:13">
      <c r="A2143" s="1" t="s">
        <v>9395</v>
      </c>
      <c r="B2143" s="1" t="s">
        <v>13</v>
      </c>
      <c r="C2143" s="4" t="s">
        <v>9396</v>
      </c>
      <c r="D2143" s="1" t="s">
        <v>9397</v>
      </c>
      <c r="E2143" s="1" t="s">
        <v>9398</v>
      </c>
      <c r="F2143" s="4" t="s">
        <v>17</v>
      </c>
      <c r="G2143" s="1" t="s">
        <v>18</v>
      </c>
      <c r="H2143" s="1" t="s">
        <v>19</v>
      </c>
      <c r="I2143" s="1" t="s">
        <v>20</v>
      </c>
      <c r="J2143" s="1" t="s">
        <v>9399</v>
      </c>
      <c r="K2143" s="1" t="s">
        <v>22</v>
      </c>
      <c r="L2143" s="1" t="str">
        <f>HYPERLINK("https://files.afu.se/Downloads/Transcripts/0%20-%20Government/USA%20-%20NASA%20Johnson/2013 08 20 - NASA Johnson - Biweekly ISS Research Update - Aug. 5, 2013_9AvAZuo2yw0 - transcript (automated).pdf","Transcript Link")</f>
        <v>Transcript Link</v>
      </c>
      <c r="M2143" s="2" t="str">
        <f>HYPERLINK("https://files.afu.se/Downloads/Transcripts/0%20-%20Government/USA%20-%20NASA%20Johnson/2013 08 20 - NASA Johnson - Biweekly ISS Research Update - Aug. 5, 2013_9AvAZuo2yw0 - transcript (automated).pdf","Transcript Link")</f>
        <v>Transcript Link</v>
      </c>
    </row>
    <row r="2144" ht="180" spans="1:13">
      <c r="A2144" s="1" t="s">
        <v>9395</v>
      </c>
      <c r="B2144" s="1" t="s">
        <v>13</v>
      </c>
      <c r="C2144" s="4" t="s">
        <v>9400</v>
      </c>
      <c r="D2144" s="1" t="s">
        <v>9401</v>
      </c>
      <c r="E2144" s="1" t="s">
        <v>9402</v>
      </c>
      <c r="F2144" s="4" t="s">
        <v>17</v>
      </c>
      <c r="G2144" s="1" t="s">
        <v>18</v>
      </c>
      <c r="H2144" s="1" t="s">
        <v>19</v>
      </c>
      <c r="I2144" s="1" t="s">
        <v>20</v>
      </c>
      <c r="J2144" s="1" t="s">
        <v>9403</v>
      </c>
      <c r="K2144" s="1" t="s">
        <v>22</v>
      </c>
      <c r="L2144" s="1" t="str">
        <f>HYPERLINK("https://files.afu.se/Downloads/Transcripts/0%20-%20Government/USA%20-%20NASA%20Johnson/2013 08 20 - NASA Johnson - Biweekly ISS Research Update - July 18, 2013_nlq_jU-yUgs - transcript (automated).pdf","Transcript Link")</f>
        <v>Transcript Link</v>
      </c>
      <c r="M2144" s="2" t="str">
        <f>HYPERLINK("https://files.afu.se/Downloads/Transcripts/0%20-%20Government/USA%20-%20NASA%20Johnson/2013 08 20 - NASA Johnson - Biweekly ISS Research Update - July 18, 2013_nlq_jU-yUgs - transcript (automated).pdf","Transcript Link")</f>
        <v>Transcript Link</v>
      </c>
    </row>
    <row r="2145" ht="180" spans="1:13">
      <c r="A2145" s="1" t="s">
        <v>9395</v>
      </c>
      <c r="B2145" s="1" t="s">
        <v>13</v>
      </c>
      <c r="C2145" s="4" t="s">
        <v>9404</v>
      </c>
      <c r="D2145" s="1" t="s">
        <v>9405</v>
      </c>
      <c r="E2145" s="1" t="s">
        <v>9406</v>
      </c>
      <c r="F2145" s="4" t="s">
        <v>17</v>
      </c>
      <c r="G2145" s="1" t="s">
        <v>18</v>
      </c>
      <c r="H2145" s="1" t="s">
        <v>19</v>
      </c>
      <c r="I2145" s="1" t="s">
        <v>20</v>
      </c>
      <c r="J2145" s="1" t="s">
        <v>9407</v>
      </c>
      <c r="K2145" s="1" t="s">
        <v>22</v>
      </c>
      <c r="L2145" s="1" t="str">
        <f>HYPERLINK("https://files.afu.se/Downloads/Transcripts/0%20-%20Government/USA%20-%20NASA%20Johnson/2013 08 20 - NASA Johnson - Biweekly ISS Research Update - June 17, 2013_VnB5IkbSUjs - transcript (automated).pdf","Transcript Link")</f>
        <v>Transcript Link</v>
      </c>
      <c r="M2145" s="2" t="str">
        <f>HYPERLINK("https://files.afu.se/Downloads/Transcripts/0%20-%20Government/USA%20-%20NASA%20Johnson/2013 08 20 - NASA Johnson - Biweekly ISS Research Update - June 17, 2013_VnB5IkbSUjs - transcript (automated).pdf","Transcript Link")</f>
        <v>Transcript Link</v>
      </c>
    </row>
    <row r="2146" ht="180" spans="1:13">
      <c r="A2146" s="1" t="s">
        <v>9395</v>
      </c>
      <c r="B2146" s="1" t="s">
        <v>13</v>
      </c>
      <c r="C2146" s="4" t="s">
        <v>9408</v>
      </c>
      <c r="D2146" s="1" t="s">
        <v>9409</v>
      </c>
      <c r="E2146" s="1" t="s">
        <v>9410</v>
      </c>
      <c r="F2146" s="4" t="s">
        <v>17</v>
      </c>
      <c r="G2146" s="1" t="s">
        <v>18</v>
      </c>
      <c r="H2146" s="1" t="s">
        <v>19</v>
      </c>
      <c r="I2146" s="1" t="s">
        <v>20</v>
      </c>
      <c r="J2146" s="1" t="s">
        <v>9411</v>
      </c>
      <c r="K2146" s="1" t="s">
        <v>22</v>
      </c>
      <c r="L2146" s="1" t="str">
        <f>HYPERLINK("https://files.afu.se/Downloads/Transcripts/0%20-%20Government/USA%20-%20NASA%20Johnson/2013 08 20 - NASA Johnson - Biweekly ISS Research Update - May 14, 2013_wbkVBH6AvSI - transcript (automated).pdf","Transcript Link")</f>
        <v>Transcript Link</v>
      </c>
      <c r="M2146" s="2" t="str">
        <f>HYPERLINK("https://files.afu.se/Downloads/Transcripts/0%20-%20Government/USA%20-%20NASA%20Johnson/2013 08 20 - NASA Johnson - Biweekly ISS Research Update - May 14, 2013_wbkVBH6AvSI - transcript (automated).pdf","Transcript Link")</f>
        <v>Transcript Link</v>
      </c>
    </row>
    <row r="2147" ht="180" spans="1:13">
      <c r="A2147" s="1" t="s">
        <v>9395</v>
      </c>
      <c r="B2147" s="1" t="s">
        <v>13</v>
      </c>
      <c r="C2147" s="4" t="s">
        <v>9412</v>
      </c>
      <c r="D2147" s="1" t="s">
        <v>9413</v>
      </c>
      <c r="E2147" s="1" t="s">
        <v>9414</v>
      </c>
      <c r="F2147" s="4" t="s">
        <v>17</v>
      </c>
      <c r="G2147" s="1" t="s">
        <v>18</v>
      </c>
      <c r="H2147" s="1" t="s">
        <v>19</v>
      </c>
      <c r="I2147" s="1" t="s">
        <v>20</v>
      </c>
      <c r="J2147" s="1" t="s">
        <v>9415</v>
      </c>
      <c r="K2147" s="1" t="s">
        <v>22</v>
      </c>
      <c r="L2147" s="1" t="str">
        <f>HYPERLINK("https://files.afu.se/Downloads/Transcripts/0%20-%20Government/USA%20-%20NASA%20Johnson/2013 08 20 - NASA Johnson - Biweekly ISS Research Update - April 9, 2013_pfoVLrhkCXc - transcript (automated).pdf","Transcript Link")</f>
        <v>Transcript Link</v>
      </c>
      <c r="M2147" s="2" t="str">
        <f>HYPERLINK("https://files.afu.se/Downloads/Transcripts/0%20-%20Government/USA%20-%20NASA%20Johnson/2013 08 20 - NASA Johnson - Biweekly ISS Research Update - April 9, 2013_pfoVLrhkCXc - transcript (automated).pdf","Transcript Link")</f>
        <v>Transcript Link</v>
      </c>
    </row>
    <row r="2148" ht="180" spans="1:13">
      <c r="A2148" s="1" t="s">
        <v>9395</v>
      </c>
      <c r="B2148" s="1" t="s">
        <v>13</v>
      </c>
      <c r="C2148" s="4" t="s">
        <v>9416</v>
      </c>
      <c r="D2148" s="1" t="s">
        <v>9417</v>
      </c>
      <c r="E2148" s="1" t="s">
        <v>9418</v>
      </c>
      <c r="F2148" s="4" t="s">
        <v>17</v>
      </c>
      <c r="G2148" s="1" t="s">
        <v>18</v>
      </c>
      <c r="H2148" s="1" t="s">
        <v>19</v>
      </c>
      <c r="I2148" s="1" t="s">
        <v>20</v>
      </c>
      <c r="J2148" s="1" t="s">
        <v>9419</v>
      </c>
      <c r="K2148" s="1" t="s">
        <v>22</v>
      </c>
      <c r="L2148" s="1" t="str">
        <f>HYPERLINK("https://files.afu.se/Downloads/Transcripts/0%20-%20Government/USA%20-%20NASA%20Johnson/2013 08 20 - NASA Johnson - Biweekly ISS Research Update - March 8, 2013_9BPs5r26sUA - transcript (automated).pdf","Transcript Link")</f>
        <v>Transcript Link</v>
      </c>
      <c r="M2148" s="2" t="str">
        <f>HYPERLINK("https://files.afu.se/Downloads/Transcripts/0%20-%20Government/USA%20-%20NASA%20Johnson/2013 08 20 - NASA Johnson - Biweekly ISS Research Update - March 8, 2013_9BPs5r26sUA - transcript (automated).pdf","Transcript Link")</f>
        <v>Transcript Link</v>
      </c>
    </row>
    <row r="2149" ht="180" spans="1:13">
      <c r="A2149" s="1" t="s">
        <v>9395</v>
      </c>
      <c r="B2149" s="1" t="s">
        <v>13</v>
      </c>
      <c r="C2149" s="4" t="s">
        <v>9420</v>
      </c>
      <c r="D2149" s="1" t="s">
        <v>9421</v>
      </c>
      <c r="E2149" s="1" t="s">
        <v>9422</v>
      </c>
      <c r="F2149" s="4" t="s">
        <v>17</v>
      </c>
      <c r="G2149" s="1" t="s">
        <v>18</v>
      </c>
      <c r="H2149" s="1" t="s">
        <v>19</v>
      </c>
      <c r="I2149" s="1" t="s">
        <v>20</v>
      </c>
      <c r="J2149" s="1" t="s">
        <v>9423</v>
      </c>
      <c r="K2149" s="1" t="s">
        <v>22</v>
      </c>
      <c r="L2149" s="1" t="str">
        <f>HYPERLINK("https://files.afu.se/Downloads/Transcripts/0%20-%20Government/USA%20-%20NASA%20Johnson/2013 08 20 - NASA Johnson - Biweekly ISS Research Update - Feb. 12, 2013_3Cd6CtgbfZk - transcript (automated).pdf","Transcript Link")</f>
        <v>Transcript Link</v>
      </c>
      <c r="M2149" s="2" t="str">
        <f>HYPERLINK("https://files.afu.se/Downloads/Transcripts/0%20-%20Government/USA%20-%20NASA%20Johnson/2013 08 20 - NASA Johnson - Biweekly ISS Research Update - Feb. 12, 2013_3Cd6CtgbfZk - transcript (automated).pdf","Transcript Link")</f>
        <v>Transcript Link</v>
      </c>
    </row>
    <row r="2150" ht="180" spans="1:13">
      <c r="A2150" s="1" t="s">
        <v>9395</v>
      </c>
      <c r="B2150" s="1" t="s">
        <v>13</v>
      </c>
      <c r="C2150" s="4" t="s">
        <v>9424</v>
      </c>
      <c r="D2150" s="1" t="s">
        <v>9425</v>
      </c>
      <c r="E2150" s="1" t="s">
        <v>9426</v>
      </c>
      <c r="F2150" s="4" t="s">
        <v>17</v>
      </c>
      <c r="G2150" s="1" t="s">
        <v>18</v>
      </c>
      <c r="H2150" s="1" t="s">
        <v>19</v>
      </c>
      <c r="I2150" s="1" t="s">
        <v>20</v>
      </c>
      <c r="J2150" s="1" t="s">
        <v>9427</v>
      </c>
      <c r="K2150" s="1" t="s">
        <v>22</v>
      </c>
      <c r="L2150" s="1" t="str">
        <f>HYPERLINK("https://files.afu.se/Downloads/Transcripts/0%20-%20Government/USA%20-%20NASA%20Johnson/2013 08 20 - NASA Johnson - A New Generation of Astronauts_KEza7pgo7dA - transcript (automated).pdf","Transcript Link")</f>
        <v>Transcript Link</v>
      </c>
      <c r="M2150" s="2" t="str">
        <f>HYPERLINK("https://files.afu.se/Downloads/Transcripts/0%20-%20Government/USA%20-%20NASA%20Johnson/2013 08 20 - NASA Johnson - A New Generation of Astronauts_KEza7pgo7dA - transcript (automated).pdf","Transcript Link")</f>
        <v>Transcript Link</v>
      </c>
    </row>
    <row r="2151" ht="240" spans="1:13">
      <c r="A2151" s="1" t="s">
        <v>9428</v>
      </c>
      <c r="B2151" s="1" t="s">
        <v>13</v>
      </c>
      <c r="C2151" s="4" t="s">
        <v>9429</v>
      </c>
      <c r="D2151" s="1" t="s">
        <v>9430</v>
      </c>
      <c r="E2151" s="1" t="s">
        <v>9431</v>
      </c>
      <c r="F2151" s="4" t="s">
        <v>17</v>
      </c>
      <c r="G2151" s="1" t="s">
        <v>18</v>
      </c>
      <c r="H2151" s="1" t="s">
        <v>19</v>
      </c>
      <c r="I2151" s="1" t="s">
        <v>20</v>
      </c>
      <c r="J2151" s="1" t="s">
        <v>9432</v>
      </c>
      <c r="K2151" s="1" t="s">
        <v>22</v>
      </c>
      <c r="L2151" s="1" t="str">
        <f>HYPERLINK("https://files.afu.se/Downloads/Transcripts/0%20-%20Government/USA%20-%20NASA%20Johnson/2013 08 19 - NASA Johnson - This is JSC  Tom Marshburn_PVxaL8CAO4M - transcript (automated).pdf","Transcript Link")</f>
        <v>Transcript Link</v>
      </c>
      <c r="M2151" s="2" t="str">
        <f>HYPERLINK("https://files.afu.se/Downloads/Transcripts/0%20-%20Government/USA%20-%20NASA%20Johnson/2013 08 19 - NASA Johnson - This is JSC  Tom Marshburn_PVxaL8CAO4M - transcript (automated).pdf","Transcript Link")</f>
        <v>Transcript Link</v>
      </c>
    </row>
    <row r="2152" ht="180" spans="1:13">
      <c r="A2152" s="1" t="s">
        <v>9428</v>
      </c>
      <c r="B2152" s="1" t="s">
        <v>13</v>
      </c>
      <c r="C2152" s="4" t="s">
        <v>9433</v>
      </c>
      <c r="D2152" s="1" t="s">
        <v>9434</v>
      </c>
      <c r="E2152" s="1" t="s">
        <v>9435</v>
      </c>
      <c r="F2152" s="4" t="s">
        <v>17</v>
      </c>
      <c r="G2152" s="1" t="s">
        <v>18</v>
      </c>
      <c r="H2152" s="1" t="s">
        <v>19</v>
      </c>
      <c r="I2152" s="1" t="s">
        <v>20</v>
      </c>
      <c r="J2152" s="1" t="s">
        <v>9436</v>
      </c>
      <c r="K2152" s="1" t="s">
        <v>22</v>
      </c>
      <c r="L2152" s="1" t="str">
        <f>HYPERLINK("https://files.afu.se/Downloads/Transcripts/0%20-%20Government/USA%20-%20NASA%20Johnson/2013 08 19 - NASA Johnson - Unidentified object floating outside station  Sort of..._ObKgzmmUMsc - transcript (automated).pdf","Transcript Link")</f>
        <v>Transcript Link</v>
      </c>
      <c r="M2152" s="2" t="str">
        <f>HYPERLINK("https://files.afu.se/Downloads/Transcripts/0%20-%20Government/USA%20-%20NASA%20Johnson/2013 08 19 - NASA Johnson - Unidentified object floating outside station  Sort of..._ObKgzmmUMsc - transcript (automated).pdf","Transcript Link")</f>
        <v>Transcript Link</v>
      </c>
    </row>
    <row r="2153" ht="180" spans="1:13">
      <c r="A2153" s="1" t="s">
        <v>9428</v>
      </c>
      <c r="B2153" s="1" t="s">
        <v>13</v>
      </c>
      <c r="C2153" s="4" t="s">
        <v>9437</v>
      </c>
      <c r="D2153" s="1" t="s">
        <v>9438</v>
      </c>
      <c r="E2153" s="1" t="s">
        <v>9439</v>
      </c>
      <c r="F2153" s="4" t="s">
        <v>17</v>
      </c>
      <c r="G2153" s="1" t="s">
        <v>18</v>
      </c>
      <c r="H2153" s="1" t="s">
        <v>19</v>
      </c>
      <c r="I2153" s="1" t="s">
        <v>20</v>
      </c>
      <c r="J2153" s="1" t="s">
        <v>9440</v>
      </c>
      <c r="K2153" s="1" t="s">
        <v>22</v>
      </c>
      <c r="L2153" s="1" t="str">
        <f>HYPERLINK("https://files.afu.se/Downloads/Transcripts/0%20-%20Government/USA%20-%20NASA%20Johnson/2013 08 19 - NASA Johnson - Space Station Live  Aug. 19, 2013_ot4c3p-Yp-Q - transcript (automated).pdf","Transcript Link")</f>
        <v>Transcript Link</v>
      </c>
      <c r="M2153" s="2" t="str">
        <f>HYPERLINK("https://files.afu.se/Downloads/Transcripts/0%20-%20Government/USA%20-%20NASA%20Johnson/2013 08 19 - NASA Johnson - Space Station Live  Aug. 19, 2013_ot4c3p-Yp-Q - transcript (automated).pdf","Transcript Link")</f>
        <v>Transcript Link</v>
      </c>
    </row>
    <row r="2154" ht="180" spans="1:13">
      <c r="A2154" s="1" t="s">
        <v>9428</v>
      </c>
      <c r="B2154" s="1" t="s">
        <v>13</v>
      </c>
      <c r="C2154" s="4" t="s">
        <v>9441</v>
      </c>
      <c r="D2154" s="1" t="s">
        <v>9442</v>
      </c>
      <c r="E2154" s="1" t="s">
        <v>9443</v>
      </c>
      <c r="F2154" s="4" t="s">
        <v>17</v>
      </c>
      <c r="G2154" s="1" t="s">
        <v>18</v>
      </c>
      <c r="H2154" s="1" t="s">
        <v>19</v>
      </c>
      <c r="I2154" s="1" t="s">
        <v>20</v>
      </c>
      <c r="J2154" s="1" t="s">
        <v>9444</v>
      </c>
      <c r="K2154" s="1" t="s">
        <v>22</v>
      </c>
      <c r="L2154" s="1" t="str">
        <f>HYPERLINK("https://files.afu.se/Downloads/Transcripts/0%20-%20Government/USA%20-%20NASA%20Johnson/2013 08 19 - NASA Johnson - Cygnus Readies for Flight to the Station_2ECHJkDUy84 - transcript (automated).pdf","Transcript Link")</f>
        <v>Transcript Link</v>
      </c>
      <c r="M2154" s="2" t="str">
        <f>HYPERLINK("https://files.afu.se/Downloads/Transcripts/0%20-%20Government/USA%20-%20NASA%20Johnson/2013 08 19 - NASA Johnson - Cygnus Readies for Flight to the Station_2ECHJkDUy84 - transcript (automated).pdf","Transcript Link")</f>
        <v>Transcript Link</v>
      </c>
    </row>
    <row r="2155" ht="225" spans="1:13">
      <c r="A2155" s="1" t="s">
        <v>9445</v>
      </c>
      <c r="B2155" s="1" t="s">
        <v>13</v>
      </c>
      <c r="C2155" s="4" t="s">
        <v>9446</v>
      </c>
      <c r="D2155" s="1" t="s">
        <v>9447</v>
      </c>
      <c r="E2155" s="1" t="s">
        <v>9448</v>
      </c>
      <c r="F2155" s="4" t="s">
        <v>17</v>
      </c>
      <c r="G2155" s="1" t="s">
        <v>18</v>
      </c>
      <c r="H2155" s="1" t="s">
        <v>19</v>
      </c>
      <c r="I2155" s="1" t="s">
        <v>20</v>
      </c>
      <c r="J2155" s="1" t="s">
        <v>9449</v>
      </c>
      <c r="K2155" s="1" t="s">
        <v>22</v>
      </c>
      <c r="L2155" s="1" t="str">
        <f>HYPERLINK("https://files.afu.se/Downloads/Transcripts/0%20-%20Government/USA%20-%20NASA%20Johnson/2013 08 15 - NASA Johnson - This is JSC  MMSEV_-BpXzBzKfPw - transcript (automated).pdf","Transcript Link")</f>
        <v>Transcript Link</v>
      </c>
      <c r="M2155" s="2" t="str">
        <f>HYPERLINK("https://files.afu.se/Downloads/Transcripts/0%20-%20Government/USA%20-%20NASA%20Johnson/2013 08 15 - NASA Johnson - This is JSC  MMSEV_-BpXzBzKfPw - transcript (automated).pdf","Transcript Link")</f>
        <v>Transcript Link</v>
      </c>
    </row>
    <row r="2156" ht="180" spans="1:13">
      <c r="A2156" s="1" t="s">
        <v>9445</v>
      </c>
      <c r="B2156" s="1" t="s">
        <v>13</v>
      </c>
      <c r="C2156" s="4" t="s">
        <v>9450</v>
      </c>
      <c r="D2156" s="1" t="s">
        <v>9451</v>
      </c>
      <c r="E2156" s="1" t="s">
        <v>9452</v>
      </c>
      <c r="F2156" s="4" t="s">
        <v>17</v>
      </c>
      <c r="G2156" s="1" t="s">
        <v>18</v>
      </c>
      <c r="H2156" s="1" t="s">
        <v>19</v>
      </c>
      <c r="I2156" s="1" t="s">
        <v>20</v>
      </c>
      <c r="J2156" s="1" t="s">
        <v>9453</v>
      </c>
      <c r="K2156" s="1" t="s">
        <v>22</v>
      </c>
      <c r="L2156" s="1" t="str">
        <f>HYPERLINK("https://files.afu.se/Downloads/Transcripts/0%20-%20Government/USA%20-%20NASA%20Johnson/2013 08 15 - NASA Johnson - Space Station Live  Aug. 15, 2013_VzT-OhuZmL4 - transcript (automated).pdf","Transcript Link")</f>
        <v>Transcript Link</v>
      </c>
      <c r="M2156" s="2" t="str">
        <f>HYPERLINK("https://files.afu.se/Downloads/Transcripts/0%20-%20Government/USA%20-%20NASA%20Johnson/2013 08 15 - NASA Johnson - Space Station Live  Aug. 15, 2013_VzT-OhuZmL4 - transcript (automated).pdf","Transcript Link")</f>
        <v>Transcript Link</v>
      </c>
    </row>
    <row r="2157" ht="180" spans="1:13">
      <c r="A2157" s="1" t="s">
        <v>9454</v>
      </c>
      <c r="B2157" s="1" t="s">
        <v>13</v>
      </c>
      <c r="C2157" s="4" t="s">
        <v>9455</v>
      </c>
      <c r="D2157" s="1" t="s">
        <v>9456</v>
      </c>
      <c r="E2157" s="1" t="s">
        <v>9457</v>
      </c>
      <c r="F2157" s="4" t="s">
        <v>17</v>
      </c>
      <c r="G2157" s="1" t="s">
        <v>18</v>
      </c>
      <c r="H2157" s="1" t="s">
        <v>19</v>
      </c>
      <c r="I2157" s="1" t="s">
        <v>20</v>
      </c>
      <c r="J2157" s="1" t="s">
        <v>9458</v>
      </c>
      <c r="K2157" s="1" t="s">
        <v>22</v>
      </c>
      <c r="L2157" s="1" t="str">
        <f>HYPERLINK("https://files.afu.se/Downloads/Transcripts/0%20-%20Government/USA%20-%20NASA%20Johnson/2013 08 14 - NASA Johnson - Robonaut Taking Air Flow Readings_IzeZlntoJHM - transcript (automated).pdf","Transcript Link")</f>
        <v>Transcript Link</v>
      </c>
      <c r="M2157" s="2" t="str">
        <f>HYPERLINK("https://files.afu.se/Downloads/Transcripts/0%20-%20Government/USA%20-%20NASA%20Johnson/2013 08 14 - NASA Johnson - Robonaut Taking Air Flow Readings_IzeZlntoJHM - transcript (automated).pdf","Transcript Link")</f>
        <v>Transcript Link</v>
      </c>
    </row>
    <row r="2158" ht="180" spans="1:13">
      <c r="A2158" s="1" t="s">
        <v>9454</v>
      </c>
      <c r="B2158" s="1" t="s">
        <v>13</v>
      </c>
      <c r="C2158" s="4" t="s">
        <v>9459</v>
      </c>
      <c r="D2158" s="1" t="s">
        <v>9460</v>
      </c>
      <c r="E2158" s="1" t="s">
        <v>9461</v>
      </c>
      <c r="F2158" s="4" t="s">
        <v>17</v>
      </c>
      <c r="G2158" s="1" t="s">
        <v>18</v>
      </c>
      <c r="H2158" s="1" t="s">
        <v>19</v>
      </c>
      <c r="I2158" s="1" t="s">
        <v>20</v>
      </c>
      <c r="J2158" s="1" t="s">
        <v>9462</v>
      </c>
      <c r="K2158" s="1" t="s">
        <v>22</v>
      </c>
      <c r="L2158" s="1" t="str">
        <f>HYPERLINK("https://files.afu.se/Downloads/Transcripts/0%20-%20Government/USA%20-%20NASA%20Johnson/2013 08 14 - NASA Johnson - Robonaut Task Board Demonstration_BU1ePn18vjs - transcript (automated).pdf","Transcript Link")</f>
        <v>Transcript Link</v>
      </c>
      <c r="M2158" s="2" t="str">
        <f>HYPERLINK("https://files.afu.se/Downloads/Transcripts/0%20-%20Government/USA%20-%20NASA%20Johnson/2013 08 14 - NASA Johnson - Robonaut Task Board Demonstration_BU1ePn18vjs - transcript (automated).pdf","Transcript Link")</f>
        <v>Transcript Link</v>
      </c>
    </row>
    <row r="2159" ht="180" spans="1:13">
      <c r="A2159" s="1" t="s">
        <v>9454</v>
      </c>
      <c r="B2159" s="1" t="s">
        <v>13</v>
      </c>
      <c r="C2159" s="4" t="s">
        <v>9463</v>
      </c>
      <c r="D2159" s="1" t="s">
        <v>9464</v>
      </c>
      <c r="E2159" s="1" t="s">
        <v>9465</v>
      </c>
      <c r="F2159" s="4" t="s">
        <v>17</v>
      </c>
      <c r="G2159" s="1" t="s">
        <v>18</v>
      </c>
      <c r="H2159" s="1" t="s">
        <v>19</v>
      </c>
      <c r="I2159" s="1" t="s">
        <v>20</v>
      </c>
      <c r="J2159" s="1" t="s">
        <v>9466</v>
      </c>
      <c r="K2159" s="1" t="s">
        <v>22</v>
      </c>
      <c r="L2159" s="1" t="str">
        <f>HYPERLINK("https://files.afu.se/Downloads/Transcripts/0%20-%20Government/USA%20-%20NASA%20Johnson/2013 08 14 - NASA Johnson - Robonaut Tele-Ops With Station Crew Members_iCsPThke73I - transcript (automated).pdf","Transcript Link")</f>
        <v>Transcript Link</v>
      </c>
      <c r="M2159" s="2" t="str">
        <f>HYPERLINK("https://files.afu.se/Downloads/Transcripts/0%20-%20Government/USA%20-%20NASA%20Johnson/2013 08 14 - NASA Johnson - Robonaut Tele-Ops With Station Crew Members_iCsPThke73I - transcript (automated).pdf","Transcript Link")</f>
        <v>Transcript Link</v>
      </c>
    </row>
    <row r="2160" ht="180" spans="1:13">
      <c r="A2160" s="1" t="s">
        <v>9454</v>
      </c>
      <c r="B2160" s="1" t="s">
        <v>13</v>
      </c>
      <c r="C2160" s="4" t="s">
        <v>9467</v>
      </c>
      <c r="D2160" s="1" t="s">
        <v>9468</v>
      </c>
      <c r="E2160" s="1" t="s">
        <v>9469</v>
      </c>
      <c r="F2160" s="4" t="s">
        <v>17</v>
      </c>
      <c r="G2160" s="1" t="s">
        <v>18</v>
      </c>
      <c r="H2160" s="1" t="s">
        <v>19</v>
      </c>
      <c r="I2160" s="1" t="s">
        <v>20</v>
      </c>
      <c r="J2160" s="1" t="s">
        <v>9470</v>
      </c>
      <c r="K2160" s="1" t="s">
        <v>22</v>
      </c>
      <c r="L2160" s="1" t="str">
        <f>HYPERLINK("https://files.afu.se/Downloads/Transcripts/0%20-%20Government/USA%20-%20NASA%20Johnson/2013 08 14 - NASA Johnson - Robonaut Demonstrating Hand Rail Cleanings_l_-NyvV96zY - transcript (automated).pdf","Transcript Link")</f>
        <v>Transcript Link</v>
      </c>
      <c r="M2160" s="2" t="str">
        <f>HYPERLINK("https://files.afu.se/Downloads/Transcripts/0%20-%20Government/USA%20-%20NASA%20Johnson/2013 08 14 - NASA Johnson - Robonaut Demonstrating Hand Rail Cleanings_l_-NyvV96zY - transcript (automated).pdf","Transcript Link")</f>
        <v>Transcript Link</v>
      </c>
    </row>
    <row r="2161" ht="180" spans="1:13">
      <c r="A2161" s="1" t="s">
        <v>9454</v>
      </c>
      <c r="B2161" s="1" t="s">
        <v>13</v>
      </c>
      <c r="C2161" s="4" t="s">
        <v>9471</v>
      </c>
      <c r="D2161" s="1" t="s">
        <v>9472</v>
      </c>
      <c r="E2161" s="1" t="s">
        <v>9473</v>
      </c>
      <c r="F2161" s="4" t="s">
        <v>17</v>
      </c>
      <c r="G2161" s="1" t="s">
        <v>18</v>
      </c>
      <c r="H2161" s="1" t="s">
        <v>19</v>
      </c>
      <c r="I2161" s="1" t="s">
        <v>20</v>
      </c>
      <c r="J2161" s="1" t="s">
        <v>9474</v>
      </c>
      <c r="K2161" s="1" t="s">
        <v>22</v>
      </c>
      <c r="L2161" s="1" t="str">
        <f>HYPERLINK("https://files.afu.se/Downloads/Transcripts/0%20-%20Government/USA%20-%20NASA%20Johnson/2013 08 14 - NASA Johnson - Space Station Live  HUNCH Provides Engineering Opportunities for Students_U0uh-4Hp1FA - transcript (automated).pdf","Transcript Link")</f>
        <v>Transcript Link</v>
      </c>
      <c r="M2161" s="2" t="str">
        <f>HYPERLINK("https://files.afu.se/Downloads/Transcripts/0%20-%20Government/USA%20-%20NASA%20Johnson/2013 08 14 - NASA Johnson - Space Station Live  HUNCH Provides Engineering Opportunities for Students_U0uh-4Hp1FA - transcript (automated).pdf","Transcript Link")</f>
        <v>Transcript Link</v>
      </c>
    </row>
    <row r="2162" ht="180" spans="1:13">
      <c r="A2162" s="1" t="s">
        <v>9454</v>
      </c>
      <c r="B2162" s="1" t="s">
        <v>13</v>
      </c>
      <c r="C2162" s="4" t="s">
        <v>9475</v>
      </c>
      <c r="D2162" s="1" t="s">
        <v>9476</v>
      </c>
      <c r="E2162" s="1" t="s">
        <v>9477</v>
      </c>
      <c r="F2162" s="4" t="s">
        <v>17</v>
      </c>
      <c r="G2162" s="1" t="s">
        <v>18</v>
      </c>
      <c r="H2162" s="1" t="s">
        <v>19</v>
      </c>
      <c r="I2162" s="1" t="s">
        <v>20</v>
      </c>
      <c r="J2162" s="1" t="s">
        <v>9478</v>
      </c>
      <c r="K2162" s="1" t="s">
        <v>22</v>
      </c>
      <c r="L2162" s="1" t="str">
        <f>HYPERLINK("https://files.afu.se/Downloads/Transcripts/0%20-%20Government/USA%20-%20NASA%20Johnson/2013 08 14 - NASA Johnson - Space Station Live  Aug. 14, 2013_pqHVSKduVyM - transcript (automated).pdf","Transcript Link")</f>
        <v>Transcript Link</v>
      </c>
      <c r="M2162" s="2" t="str">
        <f>HYPERLINK("https://files.afu.se/Downloads/Transcripts/0%20-%20Government/USA%20-%20NASA%20Johnson/2013 08 14 - NASA Johnson - Space Station Live  Aug. 14, 2013_pqHVSKduVyM - transcript (automated).pdf","Transcript Link")</f>
        <v>Transcript Link</v>
      </c>
    </row>
    <row r="2163" ht="180" spans="1:13">
      <c r="A2163" s="1" t="s">
        <v>9479</v>
      </c>
      <c r="B2163" s="1" t="s">
        <v>13</v>
      </c>
      <c r="C2163" s="4" t="s">
        <v>9480</v>
      </c>
      <c r="D2163" s="1" t="s">
        <v>9481</v>
      </c>
      <c r="E2163" s="1" t="s">
        <v>9482</v>
      </c>
      <c r="F2163" s="4" t="s">
        <v>17</v>
      </c>
      <c r="G2163" s="1" t="s">
        <v>18</v>
      </c>
      <c r="H2163" s="1" t="s">
        <v>19</v>
      </c>
      <c r="I2163" s="1" t="s">
        <v>20</v>
      </c>
      <c r="J2163" s="1" t="s">
        <v>9483</v>
      </c>
      <c r="K2163" s="1" t="s">
        <v>22</v>
      </c>
      <c r="L2163" s="1" t="str">
        <f>HYPERLINK("https://files.afu.se/Downloads/Transcripts/0%20-%20Government/USA%20-%20NASA%20Johnson/2013 08 13 - NASA Johnson - Space Station Live  August 13, 2013_8SKJenRE4KY - transcript (automated).pdf","Transcript Link")</f>
        <v>Transcript Link</v>
      </c>
      <c r="M2163" s="2" t="str">
        <f>HYPERLINK("https://files.afu.se/Downloads/Transcripts/0%20-%20Government/USA%20-%20NASA%20Johnson/2013 08 13 - NASA Johnson - Space Station Live  August 13, 2013_8SKJenRE4KY - transcript (automated).pdf","Transcript Link")</f>
        <v>Transcript Link</v>
      </c>
    </row>
    <row r="2164" ht="240" spans="1:13">
      <c r="A2164" s="1" t="s">
        <v>9479</v>
      </c>
      <c r="B2164" s="1" t="s">
        <v>13</v>
      </c>
      <c r="C2164" s="4" t="s">
        <v>9484</v>
      </c>
      <c r="D2164" s="1" t="s">
        <v>9485</v>
      </c>
      <c r="E2164" s="1" t="s">
        <v>9486</v>
      </c>
      <c r="F2164" s="4" t="s">
        <v>17</v>
      </c>
      <c r="G2164" s="1" t="s">
        <v>18</v>
      </c>
      <c r="H2164" s="1" t="s">
        <v>19</v>
      </c>
      <c r="I2164" s="1" t="s">
        <v>20</v>
      </c>
      <c r="J2164" s="1" t="s">
        <v>9487</v>
      </c>
      <c r="K2164" s="1" t="s">
        <v>22</v>
      </c>
      <c r="L2164" s="1" t="str">
        <f>HYPERLINK("https://files.afu.se/Downloads/Transcripts/0%20-%20Government/USA%20-%20NASA%20Johnson/2013 08 13 - NASA Johnson - Russian EVA 34_1SwFkg6wf0w - transcript (automated).pdf","Transcript Link")</f>
        <v>Transcript Link</v>
      </c>
      <c r="M2164" s="2" t="str">
        <f>HYPERLINK("https://files.afu.se/Downloads/Transcripts/0%20-%20Government/USA%20-%20NASA%20Johnson/2013 08 13 - NASA Johnson - Russian EVA 34_1SwFkg6wf0w - transcript (automated).pdf","Transcript Link")</f>
        <v>Transcript Link</v>
      </c>
    </row>
    <row r="2165" ht="180" spans="1:13">
      <c r="A2165" s="1" t="s">
        <v>9488</v>
      </c>
      <c r="B2165" s="1" t="s">
        <v>13</v>
      </c>
      <c r="C2165" s="4" t="s">
        <v>9489</v>
      </c>
      <c r="D2165" s="1" t="s">
        <v>9490</v>
      </c>
      <c r="E2165" s="1" t="s">
        <v>9491</v>
      </c>
      <c r="F2165" s="4" t="s">
        <v>17</v>
      </c>
      <c r="G2165" s="1" t="s">
        <v>18</v>
      </c>
      <c r="H2165" s="1" t="s">
        <v>19</v>
      </c>
      <c r="I2165" s="1" t="s">
        <v>20</v>
      </c>
      <c r="J2165" s="1" t="s">
        <v>9492</v>
      </c>
      <c r="K2165" s="1" t="s">
        <v>22</v>
      </c>
      <c r="L2165" s="1" t="str">
        <f>HYPERLINK("https://files.afu.se/Downloads/Transcripts/0%20-%20Government/USA%20-%20NASA%20Johnson/2013 08 12 - NASA Johnson - Space Station Live  Robotics Operations and Training_6YF12BCZR3E - transcript (automated).pdf","Transcript Link")</f>
        <v>Transcript Link</v>
      </c>
      <c r="M2165" s="2" t="str">
        <f>HYPERLINK("https://files.afu.se/Downloads/Transcripts/0%20-%20Government/USA%20-%20NASA%20Johnson/2013 08 12 - NASA Johnson - Space Station Live  Robotics Operations and Training_6YF12BCZR3E - transcript (automated).pdf","Transcript Link")</f>
        <v>Transcript Link</v>
      </c>
    </row>
    <row r="2166" ht="180" spans="1:13">
      <c r="A2166" s="1" t="s">
        <v>9488</v>
      </c>
      <c r="B2166" s="1" t="s">
        <v>13</v>
      </c>
      <c r="C2166" s="4" t="s">
        <v>9493</v>
      </c>
      <c r="D2166" s="1" t="s">
        <v>9494</v>
      </c>
      <c r="E2166" s="1" t="s">
        <v>9495</v>
      </c>
      <c r="F2166" s="4" t="s">
        <v>17</v>
      </c>
      <c r="G2166" s="1" t="s">
        <v>18</v>
      </c>
      <c r="H2166" s="1" t="s">
        <v>19</v>
      </c>
      <c r="I2166" s="1" t="s">
        <v>20</v>
      </c>
      <c r="J2166" s="1" t="s">
        <v>9496</v>
      </c>
      <c r="K2166" s="1" t="s">
        <v>22</v>
      </c>
      <c r="L2166" s="1" t="str">
        <f>HYPERLINK("https://files.afu.se/Downloads/Transcripts/0%20-%20Government/USA%20-%20NASA%20Johnson/2013 08 12 - NASA Johnson - Space Station Live  HTV-4 Robotics Operations_Uh-G1z8Tqs8 - transcript (automated).pdf","Transcript Link")</f>
        <v>Transcript Link</v>
      </c>
      <c r="M2166" s="2" t="str">
        <f>HYPERLINK("https://files.afu.se/Downloads/Transcripts/0%20-%20Government/USA%20-%20NASA%20Johnson/2013 08 12 - NASA Johnson - Space Station Live  HTV-4 Robotics Operations_Uh-G1z8Tqs8 - transcript (automated).pdf","Transcript Link")</f>
        <v>Transcript Link</v>
      </c>
    </row>
    <row r="2167" ht="180" spans="1:13">
      <c r="A2167" s="1" t="s">
        <v>9488</v>
      </c>
      <c r="B2167" s="1" t="s">
        <v>13</v>
      </c>
      <c r="C2167" s="4" t="s">
        <v>9497</v>
      </c>
      <c r="D2167" s="1" t="s">
        <v>9498</v>
      </c>
      <c r="E2167" s="1" t="s">
        <v>9499</v>
      </c>
      <c r="F2167" s="4" t="s">
        <v>17</v>
      </c>
      <c r="G2167" s="1" t="s">
        <v>18</v>
      </c>
      <c r="H2167" s="1" t="s">
        <v>19</v>
      </c>
      <c r="I2167" s="1" t="s">
        <v>20</v>
      </c>
      <c r="J2167" s="1" t="s">
        <v>9500</v>
      </c>
      <c r="K2167" s="1" t="s">
        <v>22</v>
      </c>
      <c r="L2167" s="1" t="str">
        <f>HYPERLINK("https://files.afu.se/Downloads/Transcripts/0%20-%20Government/USA%20-%20NASA%20Johnson/2013 08 12 - NASA Johnson - Space Station Live  August 12, 2013_OGWpFybh0kk - transcript (automated).pdf","Transcript Link")</f>
        <v>Transcript Link</v>
      </c>
      <c r="M2167" s="2" t="str">
        <f>HYPERLINK("https://files.afu.se/Downloads/Transcripts/0%20-%20Government/USA%20-%20NASA%20Johnson/2013 08 12 - NASA Johnson - Space Station Live  August 12, 2013_OGWpFybh0kk - transcript (automated).pdf","Transcript Link")</f>
        <v>Transcript Link</v>
      </c>
    </row>
    <row r="2168" ht="180" spans="1:13">
      <c r="A2168" s="1" t="s">
        <v>9501</v>
      </c>
      <c r="B2168" s="1" t="s">
        <v>13</v>
      </c>
      <c r="C2168" s="4" t="s">
        <v>9502</v>
      </c>
      <c r="D2168" s="1" t="s">
        <v>9503</v>
      </c>
      <c r="E2168" s="1" t="s">
        <v>9504</v>
      </c>
      <c r="F2168" s="4" t="s">
        <v>17</v>
      </c>
      <c r="G2168" s="1" t="s">
        <v>18</v>
      </c>
      <c r="H2168" s="1" t="s">
        <v>19</v>
      </c>
      <c r="I2168" s="1" t="s">
        <v>20</v>
      </c>
      <c r="J2168" s="1" t="s">
        <v>9505</v>
      </c>
      <c r="K2168" s="1" t="s">
        <v>22</v>
      </c>
      <c r="L2168" s="1" t="str">
        <f>HYPERLINK("https://files.afu.se/Downloads/Transcripts/0%20-%20Government/USA%20-%20NASA%20Johnson/2013 08 08 - NASA Johnson - Spacesuit Engineer Talks Spaceflight With Students_6DuqojOjXfM - transcript (automated).pdf","Transcript Link")</f>
        <v>Transcript Link</v>
      </c>
      <c r="M2168" s="2" t="str">
        <f>HYPERLINK("https://files.afu.se/Downloads/Transcripts/0%20-%20Government/USA%20-%20NASA%20Johnson/2013 08 08 - NASA Johnson - Spacesuit Engineer Talks Spaceflight With Students_6DuqojOjXfM - transcript (automated).pdf","Transcript Link")</f>
        <v>Transcript Link</v>
      </c>
    </row>
    <row r="2169" ht="195" spans="1:13">
      <c r="A2169" s="1" t="s">
        <v>9501</v>
      </c>
      <c r="B2169" s="1" t="s">
        <v>13</v>
      </c>
      <c r="C2169" s="4" t="s">
        <v>9506</v>
      </c>
      <c r="D2169" s="1" t="s">
        <v>9507</v>
      </c>
      <c r="E2169" s="1" t="s">
        <v>9508</v>
      </c>
      <c r="F2169" s="4" t="s">
        <v>17</v>
      </c>
      <c r="G2169" s="1" t="s">
        <v>18</v>
      </c>
      <c r="H2169" s="1" t="s">
        <v>19</v>
      </c>
      <c r="I2169" s="1" t="s">
        <v>20</v>
      </c>
      <c r="J2169" s="1" t="s">
        <v>9509</v>
      </c>
      <c r="K2169" s="1" t="s">
        <v>22</v>
      </c>
      <c r="L2169" s="1" t="str">
        <f>HYPERLINK("https://files.afu.se/Downloads/Transcripts/0%20-%20Government/USA%20-%20NASA%20Johnson/2013 08 08 - NASA Johnson - Train Like an Astronaut -- CEVIS_f_dcbh2r5vI - transcript (automated).pdf","Transcript Link")</f>
        <v>Transcript Link</v>
      </c>
      <c r="M2169" s="2" t="str">
        <f>HYPERLINK("https://files.afu.se/Downloads/Transcripts/0%20-%20Government/USA%20-%20NASA%20Johnson/2013 08 08 - NASA Johnson - Train Like an Astronaut -- CEVIS_f_dcbh2r5vI - transcript (automated).pdf","Transcript Link")</f>
        <v>Transcript Link</v>
      </c>
    </row>
    <row r="2170" ht="180" spans="1:13">
      <c r="A2170" s="1" t="s">
        <v>9501</v>
      </c>
      <c r="B2170" s="1" t="s">
        <v>13</v>
      </c>
      <c r="C2170" s="4" t="s">
        <v>9510</v>
      </c>
      <c r="D2170" s="1" t="s">
        <v>9511</v>
      </c>
      <c r="E2170" s="1" t="s">
        <v>9512</v>
      </c>
      <c r="F2170" s="4" t="s">
        <v>17</v>
      </c>
      <c r="G2170" s="1" t="s">
        <v>18</v>
      </c>
      <c r="H2170" s="1" t="s">
        <v>19</v>
      </c>
      <c r="I2170" s="1" t="s">
        <v>20</v>
      </c>
      <c r="J2170" s="1" t="s">
        <v>9513</v>
      </c>
      <c r="K2170" s="1" t="s">
        <v>22</v>
      </c>
      <c r="L2170" s="1" t="str">
        <f>HYPERLINK("https://files.afu.se/Downloads/Transcripts/0%20-%20Government/USA%20-%20NASA%20Johnson/2013 08 08 - NASA Johnson - Space Station Live  August 8, 2013_gWaOpDLZmOo - transcript (automated).pdf","Transcript Link")</f>
        <v>Transcript Link</v>
      </c>
      <c r="M2170" s="2" t="str">
        <f>HYPERLINK("https://files.afu.se/Downloads/Transcripts/0%20-%20Government/USA%20-%20NASA%20Johnson/2013 08 08 - NASA Johnson - Space Station Live  August 8, 2013_gWaOpDLZmOo - transcript (automated).pdf","Transcript Link")</f>
        <v>Transcript Link</v>
      </c>
    </row>
    <row r="2171" ht="180" spans="1:13">
      <c r="A2171" s="1" t="s">
        <v>9514</v>
      </c>
      <c r="B2171" s="1" t="s">
        <v>13</v>
      </c>
      <c r="C2171" s="4" t="s">
        <v>9515</v>
      </c>
      <c r="D2171" s="1" t="s">
        <v>9516</v>
      </c>
      <c r="E2171" s="1" t="s">
        <v>9517</v>
      </c>
      <c r="F2171" s="4" t="s">
        <v>17</v>
      </c>
      <c r="G2171" s="1" t="s">
        <v>18</v>
      </c>
      <c r="H2171" s="1" t="s">
        <v>19</v>
      </c>
      <c r="I2171" s="1" t="s">
        <v>20</v>
      </c>
      <c r="J2171" s="1" t="s">
        <v>9518</v>
      </c>
      <c r="K2171" s="1" t="s">
        <v>22</v>
      </c>
      <c r="L2171" s="1" t="str">
        <f>HYPERLINK("https://files.afu.se/Downloads/Transcripts/0%20-%20Government/USA%20-%20NASA%20Johnson/2013 08 07 - NASA Johnson - Space Station Live  Crew and Flight Controllers Get Ready for Japan's HTV-4_uJNpJanM5Iw - transcript (automated).pdf","Transcript Link")</f>
        <v>Transcript Link</v>
      </c>
      <c r="M2171" s="2" t="str">
        <f>HYPERLINK("https://files.afu.se/Downloads/Transcripts/0%20-%20Government/USA%20-%20NASA%20Johnson/2013 08 07 - NASA Johnson - Space Station Live  Crew and Flight Controllers Get Ready for Japan's HTV-4_uJNpJanM5Iw - transcript (automated).pdf","Transcript Link")</f>
        <v>Transcript Link</v>
      </c>
    </row>
    <row r="2172" ht="180" spans="1:13">
      <c r="A2172" s="1" t="s">
        <v>9514</v>
      </c>
      <c r="B2172" s="1" t="s">
        <v>13</v>
      </c>
      <c r="C2172" s="4" t="s">
        <v>9519</v>
      </c>
      <c r="D2172" s="1" t="s">
        <v>9520</v>
      </c>
      <c r="E2172" s="1" t="s">
        <v>9521</v>
      </c>
      <c r="F2172" s="4" t="s">
        <v>17</v>
      </c>
      <c r="G2172" s="1" t="s">
        <v>18</v>
      </c>
      <c r="H2172" s="1" t="s">
        <v>19</v>
      </c>
      <c r="I2172" s="1" t="s">
        <v>20</v>
      </c>
      <c r="J2172" s="1" t="s">
        <v>9522</v>
      </c>
      <c r="K2172" s="1" t="s">
        <v>22</v>
      </c>
      <c r="L2172" s="1" t="str">
        <f>HYPERLINK("https://files.afu.se/Downloads/Transcripts/0%20-%20Government/USA%20-%20NASA%20Johnson/2013 08 07 - NASA Johnson - Space Station Live  August 7, 2013_zc0dyTWa3fU - transcript (automated).pdf","Transcript Link")</f>
        <v>Transcript Link</v>
      </c>
      <c r="M2172" s="2" t="str">
        <f>HYPERLINK("https://files.afu.se/Downloads/Transcripts/0%20-%20Government/USA%20-%20NASA%20Johnson/2013 08 07 - NASA Johnson - Space Station Live  August 7, 2013_zc0dyTWa3fU - transcript (automated).pdf","Transcript Link")</f>
        <v>Transcript Link</v>
      </c>
    </row>
    <row r="2173" ht="255" spans="1:13">
      <c r="A2173" s="1" t="s">
        <v>9523</v>
      </c>
      <c r="B2173" s="1" t="s">
        <v>13</v>
      </c>
      <c r="C2173" s="4" t="s">
        <v>9524</v>
      </c>
      <c r="D2173" s="1" t="s">
        <v>9525</v>
      </c>
      <c r="E2173" s="1" t="s">
        <v>9526</v>
      </c>
      <c r="F2173" s="4" t="s">
        <v>17</v>
      </c>
      <c r="G2173" s="1" t="s">
        <v>18</v>
      </c>
      <c r="H2173" s="1" t="s">
        <v>19</v>
      </c>
      <c r="I2173" s="1" t="s">
        <v>20</v>
      </c>
      <c r="J2173" s="1" t="s">
        <v>9527</v>
      </c>
      <c r="K2173" s="1" t="s">
        <v>22</v>
      </c>
      <c r="L2173" s="1" t="str">
        <f>HYPERLINK("https://files.afu.se/Downloads/Transcripts/0%20-%20Government/USA%20-%20NASA%20Johnson/2013 08 06 - NASA Johnson - Space Station Live  Capturing a Japanese Spacecraft with a Robotic Arm_n-Ftq90zXW8 - transcript (automated).pdf","Transcript Link")</f>
        <v>Transcript Link</v>
      </c>
      <c r="M2173" s="2" t="str">
        <f>HYPERLINK("https://files.afu.se/Downloads/Transcripts/0%20-%20Government/USA%20-%20NASA%20Johnson/2013 08 06 - NASA Johnson - Space Station Live  Capturing a Japanese Spacecraft with a Robotic Arm_n-Ftq90zXW8 - transcript (automated).pdf","Transcript Link")</f>
        <v>Transcript Link</v>
      </c>
    </row>
    <row r="2174" ht="180" spans="1:13">
      <c r="A2174" s="1" t="s">
        <v>9523</v>
      </c>
      <c r="B2174" s="1" t="s">
        <v>13</v>
      </c>
      <c r="C2174" s="4" t="s">
        <v>9528</v>
      </c>
      <c r="D2174" s="1" t="s">
        <v>9529</v>
      </c>
      <c r="E2174" s="1" t="s">
        <v>9530</v>
      </c>
      <c r="F2174" s="4" t="s">
        <v>17</v>
      </c>
      <c r="G2174" s="1" t="s">
        <v>18</v>
      </c>
      <c r="H2174" s="1" t="s">
        <v>19</v>
      </c>
      <c r="I2174" s="1" t="s">
        <v>20</v>
      </c>
      <c r="J2174" s="1" t="s">
        <v>9531</v>
      </c>
      <c r="K2174" s="1" t="s">
        <v>22</v>
      </c>
      <c r="L2174" s="1" t="str">
        <f>HYPERLINK("https://files.afu.se/Downloads/Transcripts/0%20-%20Government/USA%20-%20NASA%20Johnson/2013 08 06 - NASA Johnson - Space Station Live  August 6, 2013_ib9z-70mPUg - transcript (automated).pdf","Transcript Link")</f>
        <v>Transcript Link</v>
      </c>
      <c r="M2174" s="2" t="str">
        <f>HYPERLINK("https://files.afu.se/Downloads/Transcripts/0%20-%20Government/USA%20-%20NASA%20Johnson/2013 08 06 - NASA Johnson - Space Station Live  August 6, 2013_ib9z-70mPUg - transcript (automated).pdf","Transcript Link")</f>
        <v>Transcript Link</v>
      </c>
    </row>
    <row r="2175" ht="180" spans="1:13">
      <c r="A2175" s="1" t="s">
        <v>9532</v>
      </c>
      <c r="B2175" s="1" t="s">
        <v>13</v>
      </c>
      <c r="C2175" s="4" t="s">
        <v>9533</v>
      </c>
      <c r="D2175" s="1" t="s">
        <v>9534</v>
      </c>
      <c r="E2175" s="1" t="s">
        <v>9535</v>
      </c>
      <c r="F2175" s="4" t="s">
        <v>17</v>
      </c>
      <c r="G2175" s="1" t="s">
        <v>18</v>
      </c>
      <c r="H2175" s="1" t="s">
        <v>19</v>
      </c>
      <c r="I2175" s="1" t="s">
        <v>20</v>
      </c>
      <c r="J2175" s="1" t="s">
        <v>9536</v>
      </c>
      <c r="K2175" s="1" t="s">
        <v>22</v>
      </c>
      <c r="L2175" s="1" t="str">
        <f>HYPERLINK("https://files.afu.se/Downloads/Transcripts/0%20-%20Government/USA%20-%20NASA%20Johnson/2013 08 05 - NASA Johnson - Space Station Live  August 5, 2013_uzXaI0VEINU - transcript (automated).pdf","Transcript Link")</f>
        <v>Transcript Link</v>
      </c>
      <c r="M2175" s="2" t="str">
        <f>HYPERLINK("https://files.afu.se/Downloads/Transcripts/0%20-%20Government/USA%20-%20NASA%20Johnson/2013 08 05 - NASA Johnson - Space Station Live  August 5, 2013_uzXaI0VEINU - transcript (automated).pdf","Transcript Link")</f>
        <v>Transcript Link</v>
      </c>
    </row>
    <row r="2176" ht="180" spans="1:13">
      <c r="A2176" s="1" t="s">
        <v>9537</v>
      </c>
      <c r="B2176" s="1" t="s">
        <v>13</v>
      </c>
      <c r="C2176" s="4" t="s">
        <v>9538</v>
      </c>
      <c r="D2176" s="1" t="s">
        <v>9539</v>
      </c>
      <c r="E2176" s="1" t="s">
        <v>9540</v>
      </c>
      <c r="F2176" s="4" t="s">
        <v>17</v>
      </c>
      <c r="G2176" s="1" t="s">
        <v>18</v>
      </c>
      <c r="H2176" s="1" t="s">
        <v>19</v>
      </c>
      <c r="I2176" s="1" t="s">
        <v>20</v>
      </c>
      <c r="J2176" s="1" t="s">
        <v>9541</v>
      </c>
      <c r="K2176" s="1" t="s">
        <v>22</v>
      </c>
      <c r="L2176" s="1" t="str">
        <f>HYPERLINK("https://files.afu.se/Downloads/Transcripts/0%20-%20Government/USA%20-%20NASA%20Johnson/2013 08 02 - NASA Johnson - Space Station Live  Aug. 2, 2013_P6w6hFwH7Rw - transcript (automated).pdf","Transcript Link")</f>
        <v>Transcript Link</v>
      </c>
      <c r="M2176" s="2" t="str">
        <f>HYPERLINK("https://files.afu.se/Downloads/Transcripts/0%20-%20Government/USA%20-%20NASA%20Johnson/2013 08 02 - NASA Johnson - Space Station Live  Aug. 2, 2013_P6w6hFwH7Rw - transcript (automated).pdf","Transcript Link")</f>
        <v>Transcript Link</v>
      </c>
    </row>
    <row r="2177" ht="180" spans="1:13">
      <c r="A2177" s="1" t="s">
        <v>9542</v>
      </c>
      <c r="B2177" s="1" t="s">
        <v>13</v>
      </c>
      <c r="C2177" s="4" t="s">
        <v>9543</v>
      </c>
      <c r="D2177" s="1" t="s">
        <v>9544</v>
      </c>
      <c r="E2177" s="1" t="s">
        <v>9545</v>
      </c>
      <c r="F2177" s="4" t="s">
        <v>17</v>
      </c>
      <c r="G2177" s="1" t="s">
        <v>18</v>
      </c>
      <c r="H2177" s="1" t="s">
        <v>19</v>
      </c>
      <c r="I2177" s="1" t="s">
        <v>20</v>
      </c>
      <c r="J2177" s="1" t="s">
        <v>9546</v>
      </c>
      <c r="K2177" s="1" t="s">
        <v>22</v>
      </c>
      <c r="L2177" s="1" t="str">
        <f>HYPERLINK("https://files.afu.se/Downloads/Transcripts/0%20-%20Government/USA%20-%20NASA%20Johnson/2013 08 01 - NASA Johnson - Train Like an Astronaut -- Treadmill_ZfcAt7hpOls - transcript (automated).pdf","Transcript Link")</f>
        <v>Transcript Link</v>
      </c>
      <c r="M2177" s="2" t="str">
        <f>HYPERLINK("https://files.afu.se/Downloads/Transcripts/0%20-%20Government/USA%20-%20NASA%20Johnson/2013 08 01 - NASA Johnson - Train Like an Astronaut -- Treadmill_ZfcAt7hpOls - transcript (automated).pdf","Transcript Link")</f>
        <v>Transcript Link</v>
      </c>
    </row>
    <row r="2178" ht="225" spans="1:13">
      <c r="A2178" s="1" t="s">
        <v>9542</v>
      </c>
      <c r="B2178" s="1" t="s">
        <v>13</v>
      </c>
      <c r="C2178" s="4" t="s">
        <v>9547</v>
      </c>
      <c r="D2178" s="1" t="s">
        <v>9548</v>
      </c>
      <c r="E2178" s="1" t="s">
        <v>9549</v>
      </c>
      <c r="F2178" s="4" t="s">
        <v>17</v>
      </c>
      <c r="G2178" s="1" t="s">
        <v>18</v>
      </c>
      <c r="H2178" s="1" t="s">
        <v>19</v>
      </c>
      <c r="I2178" s="1" t="s">
        <v>20</v>
      </c>
      <c r="J2178" s="1" t="s">
        <v>9550</v>
      </c>
      <c r="K2178" s="1" t="s">
        <v>22</v>
      </c>
      <c r="L2178" s="1" t="str">
        <f>HYPERLINK("https://files.afu.se/Downloads/Transcripts/0%20-%20Government/USA%20-%20NASA%20Johnson/2013 08 01 - NASA Johnson - This is JSC  Robonaut_tyt9RwLsJrM - transcript (automated).pdf","Transcript Link")</f>
        <v>Transcript Link</v>
      </c>
      <c r="M2178" s="2" t="str">
        <f>HYPERLINK("https://files.afu.se/Downloads/Transcripts/0%20-%20Government/USA%20-%20NASA%20Johnson/2013 08 01 - NASA Johnson - This is JSC  Robonaut_tyt9RwLsJrM - transcript (automated).pdf","Transcript Link")</f>
        <v>Transcript Link</v>
      </c>
    </row>
    <row r="2179" ht="180" spans="1:13">
      <c r="A2179" s="1" t="s">
        <v>9542</v>
      </c>
      <c r="B2179" s="1" t="s">
        <v>13</v>
      </c>
      <c r="C2179" s="4" t="s">
        <v>9551</v>
      </c>
      <c r="D2179" s="1" t="s">
        <v>9552</v>
      </c>
      <c r="E2179" s="1" t="s">
        <v>9553</v>
      </c>
      <c r="F2179" s="4" t="s">
        <v>17</v>
      </c>
      <c r="G2179" s="1" t="s">
        <v>18</v>
      </c>
      <c r="H2179" s="1" t="s">
        <v>19</v>
      </c>
      <c r="I2179" s="1" t="s">
        <v>20</v>
      </c>
      <c r="J2179" s="1" t="s">
        <v>9554</v>
      </c>
      <c r="K2179" s="1" t="s">
        <v>22</v>
      </c>
      <c r="L2179" s="1" t="str">
        <f>HYPERLINK("https://files.afu.se/Downloads/Transcripts/0%20-%20Government/USA%20-%20NASA%20Johnson/2013 08 01 - NASA Johnson - Moving Kidney Stones With Ultrasound_UBrxHE9Snp8 - transcript (automated).pdf","Transcript Link")</f>
        <v>Transcript Link</v>
      </c>
      <c r="M2179" s="2" t="str">
        <f>HYPERLINK("https://files.afu.se/Downloads/Transcripts/0%20-%20Government/USA%20-%20NASA%20Johnson/2013 08 01 - NASA Johnson - Moving Kidney Stones With Ultrasound_UBrxHE9Snp8 - transcript (automated).pdf","Transcript Link")</f>
        <v>Transcript Link</v>
      </c>
    </row>
    <row r="2180" ht="180" spans="1:13">
      <c r="A2180" s="1" t="s">
        <v>9542</v>
      </c>
      <c r="B2180" s="1" t="s">
        <v>13</v>
      </c>
      <c r="C2180" s="4" t="s">
        <v>9555</v>
      </c>
      <c r="D2180" s="1" t="s">
        <v>9556</v>
      </c>
      <c r="E2180" s="1" t="s">
        <v>9557</v>
      </c>
      <c r="F2180" s="4" t="s">
        <v>17</v>
      </c>
      <c r="G2180" s="1" t="s">
        <v>18</v>
      </c>
      <c r="H2180" s="1" t="s">
        <v>19</v>
      </c>
      <c r="I2180" s="1" t="s">
        <v>20</v>
      </c>
      <c r="J2180" s="1" t="s">
        <v>9558</v>
      </c>
      <c r="K2180" s="1" t="s">
        <v>22</v>
      </c>
      <c r="L2180" s="1" t="str">
        <f>HYPERLINK("https://files.afu.se/Downloads/Transcripts/0%20-%20Government/USA%20-%20NASA%20Johnson/2013 08 01 - NASA Johnson - Creating an MRI That Could Fit in Your Palm_guPixkNsE6M - transcript (automated).pdf","Transcript Link")</f>
        <v>Transcript Link</v>
      </c>
      <c r="M2180" s="2" t="str">
        <f>HYPERLINK("https://files.afu.se/Downloads/Transcripts/0%20-%20Government/USA%20-%20NASA%20Johnson/2013 08 01 - NASA Johnson - Creating an MRI That Could Fit in Your Palm_guPixkNsE6M - transcript (automated).pdf","Transcript Link")</f>
        <v>Transcript Link</v>
      </c>
    </row>
    <row r="2181" ht="180" spans="1:13">
      <c r="A2181" s="1" t="s">
        <v>9542</v>
      </c>
      <c r="B2181" s="1" t="s">
        <v>13</v>
      </c>
      <c r="C2181" s="4" t="s">
        <v>9559</v>
      </c>
      <c r="D2181" s="1" t="s">
        <v>9560</v>
      </c>
      <c r="E2181" s="1" t="s">
        <v>9561</v>
      </c>
      <c r="F2181" s="4" t="s">
        <v>17</v>
      </c>
      <c r="G2181" s="1" t="s">
        <v>18</v>
      </c>
      <c r="H2181" s="1" t="s">
        <v>19</v>
      </c>
      <c r="I2181" s="1" t="s">
        <v>20</v>
      </c>
      <c r="J2181" s="1" t="s">
        <v>9562</v>
      </c>
      <c r="K2181" s="1" t="s">
        <v>22</v>
      </c>
      <c r="L2181" s="1" t="str">
        <f>HYPERLINK("https://files.afu.se/Downloads/Transcripts/0%20-%20Government/USA%20-%20NASA%20Johnson/2013 08 01 - NASA Johnson - Space Station Live  August 1, 2013_pJQMf2bsuZ0 - transcript (automated).pdf","Transcript Link")</f>
        <v>Transcript Link</v>
      </c>
      <c r="M2181" s="2" t="str">
        <f>HYPERLINK("https://files.afu.se/Downloads/Transcripts/0%20-%20Government/USA%20-%20NASA%20Johnson/2013 08 01 - NASA Johnson - Space Station Live  August 1, 2013_pJQMf2bsuZ0 - transcript (automated).pdf","Transcript Link")</f>
        <v>Transcript Link</v>
      </c>
    </row>
    <row r="2182" ht="180" spans="1:13">
      <c r="A2182" s="1" t="s">
        <v>9563</v>
      </c>
      <c r="B2182" s="1" t="s">
        <v>13</v>
      </c>
      <c r="C2182" s="4" t="s">
        <v>9564</v>
      </c>
      <c r="D2182" s="1" t="s">
        <v>9565</v>
      </c>
      <c r="E2182" s="1" t="s">
        <v>9566</v>
      </c>
      <c r="F2182" s="4" t="s">
        <v>17</v>
      </c>
      <c r="G2182" s="1" t="s">
        <v>18</v>
      </c>
      <c r="H2182" s="1" t="s">
        <v>19</v>
      </c>
      <c r="I2182" s="1" t="s">
        <v>20</v>
      </c>
      <c r="J2182" s="1" t="s">
        <v>9567</v>
      </c>
      <c r="K2182" s="1" t="s">
        <v>22</v>
      </c>
      <c r="L2182" s="1" t="str">
        <f>HYPERLINK("https://files.afu.se/Downloads/Transcripts/0%20-%20Government/USA%20-%20NASA%20Johnson/2013 07 31 - NASA Johnson - Space Station Live  July 31, 2013_0DzusB4Dc5w - transcript (automated).pdf","Transcript Link")</f>
        <v>Transcript Link</v>
      </c>
      <c r="M2182" s="2" t="str">
        <f>HYPERLINK("https://files.afu.se/Downloads/Transcripts/0%20-%20Government/USA%20-%20NASA%20Johnson/2013 07 31 - NASA Johnson - Space Station Live  July 31, 2013_0DzusB4Dc5w - transcript (automated).pdf","Transcript Link")</f>
        <v>Transcript Link</v>
      </c>
    </row>
    <row r="2183" ht="180" spans="1:13">
      <c r="A2183" s="1" t="s">
        <v>9563</v>
      </c>
      <c r="B2183" s="1" t="s">
        <v>13</v>
      </c>
      <c r="C2183" s="4" t="s">
        <v>9568</v>
      </c>
      <c r="D2183" s="1" t="s">
        <v>9569</v>
      </c>
      <c r="E2183" s="1" t="s">
        <v>9570</v>
      </c>
      <c r="F2183" s="4" t="s">
        <v>17</v>
      </c>
      <c r="G2183" s="1" t="s">
        <v>18</v>
      </c>
      <c r="H2183" s="1" t="s">
        <v>19</v>
      </c>
      <c r="I2183" s="1" t="s">
        <v>20</v>
      </c>
      <c r="J2183" s="1" t="s">
        <v>9571</v>
      </c>
      <c r="K2183" s="1" t="s">
        <v>22</v>
      </c>
      <c r="L2183" s="1" t="str">
        <f>HYPERLINK("https://files.afu.se/Downloads/Transcripts/0%20-%20Government/USA%20-%20NASA%20Johnson/2013 07 31 - NASA Johnson - Astronaut Chris Cassidy Shows Off Faulty Spacesuit (Part 2)_zpJ3HLEPzGo - transcript (automated).pdf","Transcript Link")</f>
        <v>Transcript Link</v>
      </c>
      <c r="M2183" s="2" t="str">
        <f>HYPERLINK("https://files.afu.se/Downloads/Transcripts/0%20-%20Government/USA%20-%20NASA%20Johnson/2013 07 31 - NASA Johnson - Astronaut Chris Cassidy Shows Off Faulty Spacesuit (Part 2)_zpJ3HLEPzGo - transcript (automated).pdf","Transcript Link")</f>
        <v>Transcript Link</v>
      </c>
    </row>
    <row r="2184" ht="180" spans="1:13">
      <c r="A2184" s="1" t="s">
        <v>9572</v>
      </c>
      <c r="B2184" s="1" t="s">
        <v>13</v>
      </c>
      <c r="C2184" s="4" t="s">
        <v>9573</v>
      </c>
      <c r="D2184" s="1" t="s">
        <v>9574</v>
      </c>
      <c r="E2184" s="1" t="s">
        <v>9575</v>
      </c>
      <c r="F2184" s="4" t="s">
        <v>17</v>
      </c>
      <c r="G2184" s="1" t="s">
        <v>18</v>
      </c>
      <c r="H2184" s="1" t="s">
        <v>19</v>
      </c>
      <c r="I2184" s="1" t="s">
        <v>20</v>
      </c>
      <c r="J2184" s="1" t="s">
        <v>9576</v>
      </c>
      <c r="K2184" s="1" t="s">
        <v>22</v>
      </c>
      <c r="L2184" s="1" t="str">
        <f>HYPERLINK("https://files.afu.se/Downloads/Transcripts/0%20-%20Government/USA%20-%20NASA%20Johnson/2013 07 30 - NASA Johnson - From Skylab to Station  Out of This World Science_nmWbm9ab4n4 - transcript (automated).pdf","Transcript Link")</f>
        <v>Transcript Link</v>
      </c>
      <c r="M2184" s="2" t="str">
        <f>HYPERLINK("https://files.afu.se/Downloads/Transcripts/0%20-%20Government/USA%20-%20NASA%20Johnson/2013 07 30 - NASA Johnson - From Skylab to Station  Out of This World Science_nmWbm9ab4n4 - transcript (automated).pdf","Transcript Link")</f>
        <v>Transcript Link</v>
      </c>
    </row>
    <row r="2185" ht="180" spans="1:13">
      <c r="A2185" s="1" t="s">
        <v>9572</v>
      </c>
      <c r="B2185" s="1" t="s">
        <v>13</v>
      </c>
      <c r="C2185" s="4" t="s">
        <v>9577</v>
      </c>
      <c r="D2185" s="1" t="s">
        <v>9578</v>
      </c>
      <c r="E2185" s="1" t="s">
        <v>9579</v>
      </c>
      <c r="F2185" s="4" t="s">
        <v>17</v>
      </c>
      <c r="G2185" s="1" t="s">
        <v>18</v>
      </c>
      <c r="H2185" s="1" t="s">
        <v>19</v>
      </c>
      <c r="I2185" s="1" t="s">
        <v>20</v>
      </c>
      <c r="J2185" s="1" t="s">
        <v>9580</v>
      </c>
      <c r="K2185" s="1" t="s">
        <v>22</v>
      </c>
      <c r="L2185" s="1" t="str">
        <f>HYPERLINK("https://files.afu.se/Downloads/Transcripts/0%20-%20Government/USA%20-%20NASA%20Johnson/2013 07 30 - NASA Johnson - Space Station Live  July 30, 2013_QZl0Cpkb514 - transcript (automated).pdf","Transcript Link")</f>
        <v>Transcript Link</v>
      </c>
      <c r="M2185" s="2" t="str">
        <f>HYPERLINK("https://files.afu.se/Downloads/Transcripts/0%20-%20Government/USA%20-%20NASA%20Johnson/2013 07 30 - NASA Johnson - Space Station Live  July 30, 2013_QZl0Cpkb514 - transcript (automated).pdf","Transcript Link")</f>
        <v>Transcript Link</v>
      </c>
    </row>
    <row r="2186" ht="180" spans="1:13">
      <c r="A2186" s="1" t="s">
        <v>9572</v>
      </c>
      <c r="B2186" s="1" t="s">
        <v>13</v>
      </c>
      <c r="C2186" s="4" t="s">
        <v>9581</v>
      </c>
      <c r="D2186" s="1" t="s">
        <v>9582</v>
      </c>
      <c r="E2186" s="1" t="s">
        <v>9570</v>
      </c>
      <c r="F2186" s="4" t="s">
        <v>17</v>
      </c>
      <c r="G2186" s="1" t="s">
        <v>18</v>
      </c>
      <c r="H2186" s="1" t="s">
        <v>19</v>
      </c>
      <c r="I2186" s="1" t="s">
        <v>20</v>
      </c>
      <c r="J2186" s="1" t="s">
        <v>9583</v>
      </c>
      <c r="K2186" s="1" t="s">
        <v>22</v>
      </c>
      <c r="L2186" s="1" t="str">
        <f>HYPERLINK("https://files.afu.se/Downloads/Transcripts/0%20-%20Government/USA%20-%20NASA%20Johnson/2013 07 30 - NASA Johnson - Astronaut Chris Cassidy Shows Off Faulty Spacesuit (Part 1)_vfw_5NDWWto - transcript (automated).pdf","Transcript Link")</f>
        <v>Transcript Link</v>
      </c>
      <c r="M2186" s="2" t="str">
        <f>HYPERLINK("https://files.afu.se/Downloads/Transcripts/0%20-%20Government/USA%20-%20NASA%20Johnson/2013 07 30 - NASA Johnson - Astronaut Chris Cassidy Shows Off Faulty Spacesuit (Part 1)_vfw_5NDWWto - transcript (automated).pdf","Transcript Link")</f>
        <v>Transcript Link</v>
      </c>
    </row>
    <row r="2187" ht="180" spans="1:13">
      <c r="A2187" s="1" t="s">
        <v>9584</v>
      </c>
      <c r="B2187" s="1" t="s">
        <v>13</v>
      </c>
      <c r="C2187" s="4" t="s">
        <v>9585</v>
      </c>
      <c r="D2187" s="1" t="s">
        <v>9586</v>
      </c>
      <c r="E2187" s="1" t="s">
        <v>9587</v>
      </c>
      <c r="F2187" s="4" t="s">
        <v>17</v>
      </c>
      <c r="G2187" s="1" t="s">
        <v>18</v>
      </c>
      <c r="H2187" s="1" t="s">
        <v>19</v>
      </c>
      <c r="I2187" s="1" t="s">
        <v>20</v>
      </c>
      <c r="J2187" s="1" t="s">
        <v>9588</v>
      </c>
      <c r="K2187" s="1" t="s">
        <v>22</v>
      </c>
      <c r="L2187" s="1" t="str">
        <f>HYPERLINK("https://files.afu.se/Downloads/Transcripts/0%20-%20Government/USA%20-%20NASA%20Johnson/2013 07 29 - NASA Johnson - Space Station Live  July 29, 2013_FVjQlOF1inE - transcript (automated).pdf","Transcript Link")</f>
        <v>Transcript Link</v>
      </c>
      <c r="M2187" s="2" t="str">
        <f>HYPERLINK("https://files.afu.se/Downloads/Transcripts/0%20-%20Government/USA%20-%20NASA%20Johnson/2013 07 29 - NASA Johnson - Space Station Live  July 29, 2013_FVjQlOF1inE - transcript (automated).pdf","Transcript Link")</f>
        <v>Transcript Link</v>
      </c>
    </row>
    <row r="2188" ht="180" spans="1:13">
      <c r="A2188" s="1" t="s">
        <v>9589</v>
      </c>
      <c r="B2188" s="1" t="s">
        <v>13</v>
      </c>
      <c r="C2188" s="4" t="s">
        <v>9590</v>
      </c>
      <c r="D2188" s="1" t="s">
        <v>9591</v>
      </c>
      <c r="E2188" s="1" t="s">
        <v>9592</v>
      </c>
      <c r="F2188" s="4" t="s">
        <v>17</v>
      </c>
      <c r="G2188" s="1" t="s">
        <v>18</v>
      </c>
      <c r="H2188" s="1" t="s">
        <v>19</v>
      </c>
      <c r="I2188" s="1" t="s">
        <v>20</v>
      </c>
      <c r="J2188" s="1" t="s">
        <v>9593</v>
      </c>
      <c r="K2188" s="1" t="s">
        <v>22</v>
      </c>
      <c r="L2188" s="1" t="str">
        <f>HYPERLINK("https://files.afu.se/Downloads/Transcripts/0%20-%20Government/USA%20-%20NASA%20Johnson/2013 07 27 - NASA Johnson - ISS Progress 52 Cargo Craft Launches To Station_tpjnujB2DG4 - transcript (automated).pdf","Transcript Link")</f>
        <v>Transcript Link</v>
      </c>
      <c r="M2188" s="2" t="str">
        <f>HYPERLINK("https://files.afu.se/Downloads/Transcripts/0%20-%20Government/USA%20-%20NASA%20Johnson/2013 07 27 - NASA Johnson - ISS Progress 52 Cargo Craft Launches To Station_tpjnujB2DG4 - transcript (automated).pdf","Transcript Link")</f>
        <v>Transcript Link</v>
      </c>
    </row>
    <row r="2189" ht="180" spans="1:13">
      <c r="A2189" s="1" t="s">
        <v>9594</v>
      </c>
      <c r="B2189" s="1" t="s">
        <v>13</v>
      </c>
      <c r="C2189" s="4" t="s">
        <v>9595</v>
      </c>
      <c r="D2189" s="1" t="s">
        <v>9596</v>
      </c>
      <c r="E2189" s="1" t="s">
        <v>9597</v>
      </c>
      <c r="F2189" s="4" t="s">
        <v>17</v>
      </c>
      <c r="G2189" s="1" t="s">
        <v>18</v>
      </c>
      <c r="H2189" s="1" t="s">
        <v>19</v>
      </c>
      <c r="I2189" s="1" t="s">
        <v>20</v>
      </c>
      <c r="J2189" s="1" t="s">
        <v>9598</v>
      </c>
      <c r="K2189" s="1" t="s">
        <v>22</v>
      </c>
      <c r="L2189" s="1" t="str">
        <f>HYPERLINK("https://files.afu.se/Downloads/Transcripts/0%20-%20Government/USA%20-%20NASA%20Johnson/2013 07 26 - NASA Johnson - Space Station Live  July 26, 2013_EK6fPDciow8 - transcript (automated).pdf","Transcript Link")</f>
        <v>Transcript Link</v>
      </c>
      <c r="M2189" s="2" t="str">
        <f>HYPERLINK("https://files.afu.se/Downloads/Transcripts/0%20-%20Government/USA%20-%20NASA%20Johnson/2013 07 26 - NASA Johnson - Space Station Live  July 26, 2013_EK6fPDciow8 - transcript (automated).pdf","Transcript Link")</f>
        <v>Transcript Link</v>
      </c>
    </row>
    <row r="2190" ht="180" spans="1:13">
      <c r="A2190" s="1" t="s">
        <v>9594</v>
      </c>
      <c r="B2190" s="1" t="s">
        <v>13</v>
      </c>
      <c r="C2190" s="4" t="s">
        <v>9599</v>
      </c>
      <c r="D2190" s="1" t="s">
        <v>9600</v>
      </c>
      <c r="E2190" s="1" t="s">
        <v>9601</v>
      </c>
      <c r="F2190" s="4" t="s">
        <v>17</v>
      </c>
      <c r="G2190" s="1" t="s">
        <v>18</v>
      </c>
      <c r="H2190" s="1" t="s">
        <v>19</v>
      </c>
      <c r="I2190" s="1" t="s">
        <v>20</v>
      </c>
      <c r="J2190" s="1" t="s">
        <v>9602</v>
      </c>
      <c r="K2190" s="1" t="s">
        <v>22</v>
      </c>
      <c r="L2190" s="1" t="str">
        <f>HYPERLINK("https://files.afu.se/Downloads/Transcripts/0%20-%20Government/USA%20-%20NASA%20Johnson/2013 07 26 - NASA Johnson - Space Station Live  Surface Telerobotics_He7jAP_bco8 - transcript (automated).pdf","Transcript Link")</f>
        <v>Transcript Link</v>
      </c>
      <c r="M2190" s="2" t="str">
        <f>HYPERLINK("https://files.afu.se/Downloads/Transcripts/0%20-%20Government/USA%20-%20NASA%20Johnson/2013 07 26 - NASA Johnson - Space Station Live  Surface Telerobotics_He7jAP_bco8 - transcript (automated).pdf","Transcript Link")</f>
        <v>Transcript Link</v>
      </c>
    </row>
    <row r="2191" ht="180" spans="1:13">
      <c r="A2191" s="1" t="s">
        <v>9603</v>
      </c>
      <c r="B2191" s="1" t="s">
        <v>13</v>
      </c>
      <c r="C2191" s="4" t="s">
        <v>9604</v>
      </c>
      <c r="D2191" s="1" t="s">
        <v>9605</v>
      </c>
      <c r="E2191" s="1" t="s">
        <v>9606</v>
      </c>
      <c r="F2191" s="4" t="s">
        <v>17</v>
      </c>
      <c r="G2191" s="1" t="s">
        <v>18</v>
      </c>
      <c r="H2191" s="1" t="s">
        <v>19</v>
      </c>
      <c r="I2191" s="1" t="s">
        <v>20</v>
      </c>
      <c r="J2191" s="1" t="s">
        <v>9607</v>
      </c>
      <c r="K2191" s="1" t="s">
        <v>22</v>
      </c>
      <c r="L2191" s="1" t="str">
        <f>HYPERLINK("https://files.afu.se/Downloads/Transcripts/0%20-%20Government/USA%20-%20NASA%20Johnson/2013 07 25 - NASA Johnson - Space Station Live  July 25, 2013_9GeKpr5SQ5E - transcript (automated).pdf","Transcript Link")</f>
        <v>Transcript Link</v>
      </c>
      <c r="M2191" s="2" t="str">
        <f>HYPERLINK("https://files.afu.se/Downloads/Transcripts/0%20-%20Government/USA%20-%20NASA%20Johnson/2013 07 25 - NASA Johnson - Space Station Live  July 25, 2013_9GeKpr5SQ5E - transcript (automated).pdf","Transcript Link")</f>
        <v>Transcript Link</v>
      </c>
    </row>
    <row r="2192" ht="180" spans="1:13">
      <c r="A2192" s="1" t="s">
        <v>9608</v>
      </c>
      <c r="B2192" s="1" t="s">
        <v>13</v>
      </c>
      <c r="C2192" s="4" t="s">
        <v>9609</v>
      </c>
      <c r="D2192" s="1" t="s">
        <v>9610</v>
      </c>
      <c r="E2192" s="1" t="s">
        <v>9611</v>
      </c>
      <c r="F2192" s="4" t="s">
        <v>17</v>
      </c>
      <c r="G2192" s="1" t="s">
        <v>18</v>
      </c>
      <c r="H2192" s="1" t="s">
        <v>19</v>
      </c>
      <c r="I2192" s="1" t="s">
        <v>20</v>
      </c>
      <c r="J2192" s="1" t="s">
        <v>9612</v>
      </c>
      <c r="K2192" s="1" t="s">
        <v>22</v>
      </c>
      <c r="L2192" s="1" t="str">
        <f>HYPERLINK("https://files.afu.se/Downloads/Transcripts/0%20-%20Government/USA%20-%20NASA%20Johnson/2013 07 24 - NASA Johnson - Orion Parachutes Pass the Test_-PMm1ksT9fU - transcript (automated).pdf","Transcript Link")</f>
        <v>Transcript Link</v>
      </c>
      <c r="M2192" s="2" t="str">
        <f>HYPERLINK("https://files.afu.se/Downloads/Transcripts/0%20-%20Government/USA%20-%20NASA%20Johnson/2013 07 24 - NASA Johnson - Orion Parachutes Pass the Test_-PMm1ksT9fU - transcript (automated).pdf","Transcript Link")</f>
        <v>Transcript Link</v>
      </c>
    </row>
    <row r="2193" ht="180" spans="1:13">
      <c r="A2193" s="1" t="s">
        <v>9608</v>
      </c>
      <c r="B2193" s="1" t="s">
        <v>13</v>
      </c>
      <c r="C2193" s="4" t="s">
        <v>9613</v>
      </c>
      <c r="D2193" s="1" t="s">
        <v>9614</v>
      </c>
      <c r="E2193" s="1" t="s">
        <v>9615</v>
      </c>
      <c r="F2193" s="4" t="s">
        <v>17</v>
      </c>
      <c r="G2193" s="1" t="s">
        <v>18</v>
      </c>
      <c r="H2193" s="1" t="s">
        <v>19</v>
      </c>
      <c r="I2193" s="1" t="s">
        <v>20</v>
      </c>
      <c r="J2193" s="1" t="s">
        <v>9616</v>
      </c>
      <c r="K2193" s="1" t="s">
        <v>22</v>
      </c>
      <c r="L2193" s="1" t="str">
        <f>HYPERLINK("https://files.afu.se/Downloads/Transcripts/0%20-%20Government/USA%20-%20NASA%20Johnson/2013 07 24 - NASA Johnson - Train Like an Astronaut -- ARED_7oBvNxbTF28 - transcript (automated).pdf","Transcript Link")</f>
        <v>Transcript Link</v>
      </c>
      <c r="M2193" s="2" t="str">
        <f>HYPERLINK("https://files.afu.se/Downloads/Transcripts/0%20-%20Government/USA%20-%20NASA%20Johnson/2013 07 24 - NASA Johnson - Train Like an Astronaut -- ARED_7oBvNxbTF28 - transcript (automated).pdf","Transcript Link")</f>
        <v>Transcript Link</v>
      </c>
    </row>
    <row r="2194" ht="180" spans="1:13">
      <c r="A2194" s="1" t="s">
        <v>9608</v>
      </c>
      <c r="B2194" s="1" t="s">
        <v>13</v>
      </c>
      <c r="C2194" s="4" t="s">
        <v>9617</v>
      </c>
      <c r="D2194" s="1" t="s">
        <v>9618</v>
      </c>
      <c r="E2194" s="1" t="s">
        <v>9619</v>
      </c>
      <c r="F2194" s="4" t="s">
        <v>17</v>
      </c>
      <c r="G2194" s="1" t="s">
        <v>18</v>
      </c>
      <c r="H2194" s="1" t="s">
        <v>19</v>
      </c>
      <c r="I2194" s="1" t="s">
        <v>20</v>
      </c>
      <c r="J2194" s="1" t="s">
        <v>9620</v>
      </c>
      <c r="K2194" s="1" t="s">
        <v>22</v>
      </c>
      <c r="L2194" s="1" t="str">
        <f>HYPERLINK("https://files.afu.se/Downloads/Transcripts/0%20-%20Government/USA%20-%20NASA%20Johnson/2013 07 24 - NASA Johnson - Space Station Live  Investigating Cosmic Rays_lO-mvyXAZMw - transcript (automated).pdf","Transcript Link")</f>
        <v>Transcript Link</v>
      </c>
      <c r="M2194" s="2" t="str">
        <f>HYPERLINK("https://files.afu.se/Downloads/Transcripts/0%20-%20Government/USA%20-%20NASA%20Johnson/2013 07 24 - NASA Johnson - Space Station Live  Investigating Cosmic Rays_lO-mvyXAZMw - transcript (automated).pdf","Transcript Link")</f>
        <v>Transcript Link</v>
      </c>
    </row>
    <row r="2195" ht="180" spans="1:13">
      <c r="A2195" s="1" t="s">
        <v>9608</v>
      </c>
      <c r="B2195" s="1" t="s">
        <v>13</v>
      </c>
      <c r="C2195" s="4" t="s">
        <v>9621</v>
      </c>
      <c r="D2195" s="1" t="s">
        <v>9622</v>
      </c>
      <c r="E2195" s="1" t="s">
        <v>9623</v>
      </c>
      <c r="F2195" s="4" t="s">
        <v>17</v>
      </c>
      <c r="G2195" s="1" t="s">
        <v>18</v>
      </c>
      <c r="H2195" s="1" t="s">
        <v>19</v>
      </c>
      <c r="I2195" s="1" t="s">
        <v>20</v>
      </c>
      <c r="J2195" s="1" t="s">
        <v>9624</v>
      </c>
      <c r="K2195" s="1" t="s">
        <v>22</v>
      </c>
      <c r="L2195" s="1" t="str">
        <f>HYPERLINK("https://files.afu.se/Downloads/Transcripts/0%20-%20Government/USA%20-%20NASA%20Johnson/2013 07 24 - NASA Johnson - Space Station Live  July 24, 2013_k4EX9QI96MI - transcript (automated).pdf","Transcript Link")</f>
        <v>Transcript Link</v>
      </c>
      <c r="M2195" s="2" t="str">
        <f>HYPERLINK("https://files.afu.se/Downloads/Transcripts/0%20-%20Government/USA%20-%20NASA%20Johnson/2013 07 24 - NASA Johnson - Space Station Live  July 24, 2013_k4EX9QI96MI - transcript (automated).pdf","Transcript Link")</f>
        <v>Transcript Link</v>
      </c>
    </row>
    <row r="2196" ht="180" spans="1:13">
      <c r="A2196" s="1" t="s">
        <v>9625</v>
      </c>
      <c r="B2196" s="1" t="s">
        <v>13</v>
      </c>
      <c r="C2196" s="4" t="s">
        <v>9626</v>
      </c>
      <c r="D2196" s="1" t="s">
        <v>9627</v>
      </c>
      <c r="E2196" s="1" t="s">
        <v>9628</v>
      </c>
      <c r="F2196" s="4" t="s">
        <v>17</v>
      </c>
      <c r="G2196" s="1" t="s">
        <v>18</v>
      </c>
      <c r="H2196" s="1" t="s">
        <v>19</v>
      </c>
      <c r="I2196" s="1" t="s">
        <v>20</v>
      </c>
      <c r="J2196" s="1" t="s">
        <v>9629</v>
      </c>
      <c r="K2196" s="1" t="s">
        <v>22</v>
      </c>
      <c r="L2196" s="1" t="str">
        <f>HYPERLINK("https://files.afu.se/Downloads/Transcripts/0%20-%20Government/USA%20-%20NASA%20Johnson/2013 07 23 - NASA Johnson - Space Station Live  July 23, 2013_EIFlWph2eF0 - transcript (automated).pdf","Transcript Link")</f>
        <v>Transcript Link</v>
      </c>
      <c r="M2196" s="2" t="str">
        <f>HYPERLINK("https://files.afu.se/Downloads/Transcripts/0%20-%20Government/USA%20-%20NASA%20Johnson/2013 07 23 - NASA Johnson - Space Station Live  July 23, 2013_EIFlWph2eF0 - transcript (automated).pdf","Transcript Link")</f>
        <v>Transcript Link</v>
      </c>
    </row>
    <row r="2197" ht="180" spans="1:13">
      <c r="A2197" s="1" t="s">
        <v>9630</v>
      </c>
      <c r="B2197" s="1" t="s">
        <v>13</v>
      </c>
      <c r="C2197" s="4" t="s">
        <v>9631</v>
      </c>
      <c r="D2197" s="1" t="s">
        <v>9632</v>
      </c>
      <c r="E2197" s="1" t="s">
        <v>9633</v>
      </c>
      <c r="F2197" s="4" t="s">
        <v>17</v>
      </c>
      <c r="G2197" s="1" t="s">
        <v>18</v>
      </c>
      <c r="H2197" s="1" t="s">
        <v>19</v>
      </c>
      <c r="I2197" s="1" t="s">
        <v>20</v>
      </c>
      <c r="J2197" s="1" t="s">
        <v>9634</v>
      </c>
      <c r="K2197" s="1" t="s">
        <v>22</v>
      </c>
      <c r="L2197" s="1" t="str">
        <f>HYPERLINK("https://files.afu.se/Downloads/Transcripts/0%20-%20Government/USA%20-%20NASA%20Johnson/2013 07 22 - NASA Johnson - Space Station Live  July 22, 2013__D1utxIPNps - transcript (automated).pdf","Transcript Link")</f>
        <v>Transcript Link</v>
      </c>
      <c r="M2197" s="2" t="str">
        <f>HYPERLINK("https://files.afu.se/Downloads/Transcripts/0%20-%20Government/USA%20-%20NASA%20Johnson/2013 07 22 - NASA Johnson - Space Station Live  July 22, 2013__D1utxIPNps - transcript (automated).pdf","Transcript Link")</f>
        <v>Transcript Link</v>
      </c>
    </row>
    <row r="2198" ht="180" spans="1:13">
      <c r="A2198" s="1" t="s">
        <v>9635</v>
      </c>
      <c r="B2198" s="1" t="s">
        <v>13</v>
      </c>
      <c r="C2198" s="4" t="s">
        <v>9636</v>
      </c>
      <c r="D2198" s="1" t="s">
        <v>9637</v>
      </c>
      <c r="E2198" s="1" t="s">
        <v>9638</v>
      </c>
      <c r="F2198" s="4" t="s">
        <v>17</v>
      </c>
      <c r="G2198" s="1" t="s">
        <v>18</v>
      </c>
      <c r="H2198" s="1" t="s">
        <v>19</v>
      </c>
      <c r="I2198" s="1" t="s">
        <v>20</v>
      </c>
      <c r="J2198" s="1" t="s">
        <v>9639</v>
      </c>
      <c r="K2198" s="1" t="s">
        <v>22</v>
      </c>
      <c r="L2198" s="1" t="str">
        <f>HYPERLINK("https://files.afu.se/Downloads/Transcripts/0%20-%20Government/USA%20-%20NASA%20Johnson/2013 07 19 - NASA Johnson - Space Station Live  July 19, 2013_qVFBNVCU2XU - transcript (automated).pdf","Transcript Link")</f>
        <v>Transcript Link</v>
      </c>
      <c r="M2198" s="2" t="str">
        <f>HYPERLINK("https://files.afu.se/Downloads/Transcripts/0%20-%20Government/USA%20-%20NASA%20Johnson/2013 07 19 - NASA Johnson - Space Station Live  July 19, 2013_qVFBNVCU2XU - transcript (automated).pdf","Transcript Link")</f>
        <v>Transcript Link</v>
      </c>
    </row>
    <row r="2199" ht="409.5" spans="1:13">
      <c r="A2199" s="1" t="s">
        <v>9640</v>
      </c>
      <c r="B2199" s="1" t="s">
        <v>13</v>
      </c>
      <c r="C2199" s="4" t="s">
        <v>9641</v>
      </c>
      <c r="D2199" s="1" t="s">
        <v>9642</v>
      </c>
      <c r="E2199" s="1" t="s">
        <v>9643</v>
      </c>
      <c r="F2199" s="4" t="s">
        <v>17</v>
      </c>
      <c r="G2199" s="1" t="s">
        <v>18</v>
      </c>
      <c r="H2199" s="1" t="s">
        <v>19</v>
      </c>
      <c r="I2199" s="1" t="s">
        <v>20</v>
      </c>
      <c r="J2199" s="1" t="s">
        <v>9644</v>
      </c>
      <c r="K2199" s="1" t="s">
        <v>22</v>
      </c>
      <c r="L2199" s="1" t="str">
        <f>HYPERLINK("https://files.afu.se/Downloads/Transcripts/0%20-%20Government/USA%20-%20NASA%20Johnson/2013 07 18 - NASA Johnson - NASA Pathways Student Experience_xGUg5h7NrDc - transcript (automated).pdf","Transcript Link")</f>
        <v>Transcript Link</v>
      </c>
      <c r="M2199" s="2" t="str">
        <f>HYPERLINK("https://files.afu.se/Downloads/Transcripts/0%20-%20Government/USA%20-%20NASA%20Johnson/2013 07 18 - NASA Johnson - NASA Pathways Student Experience_xGUg5h7NrDc - transcript (automated).pdf","Transcript Link")</f>
        <v>Transcript Link</v>
      </c>
    </row>
    <row r="2200" ht="180" spans="1:13">
      <c r="A2200" s="1" t="s">
        <v>9640</v>
      </c>
      <c r="B2200" s="1" t="s">
        <v>13</v>
      </c>
      <c r="C2200" s="4" t="s">
        <v>9645</v>
      </c>
      <c r="D2200" s="1" t="s">
        <v>9646</v>
      </c>
      <c r="E2200" s="1" t="s">
        <v>9647</v>
      </c>
      <c r="F2200" s="4" t="s">
        <v>17</v>
      </c>
      <c r="G2200" s="1" t="s">
        <v>18</v>
      </c>
      <c r="H2200" s="1" t="s">
        <v>19</v>
      </c>
      <c r="I2200" s="1" t="s">
        <v>20</v>
      </c>
      <c r="J2200" s="1" t="s">
        <v>9648</v>
      </c>
      <c r="K2200" s="1" t="s">
        <v>22</v>
      </c>
      <c r="L2200" s="1" t="str">
        <f>HYPERLINK("https://files.afu.se/Downloads/Transcripts/0%20-%20Government/USA%20-%20NASA%20Johnson/2013 07 18 - NASA Johnson - Space Station Live  July 18, 2013_G8ljIUCFQHw - transcript (automated).pdf","Transcript Link")</f>
        <v>Transcript Link</v>
      </c>
      <c r="M2200" s="2" t="str">
        <f>HYPERLINK("https://files.afu.se/Downloads/Transcripts/0%20-%20Government/USA%20-%20NASA%20Johnson/2013 07 18 - NASA Johnson - Space Station Live  July 18, 2013_G8ljIUCFQHw - transcript (automated).pdf","Transcript Link")</f>
        <v>Transcript Link</v>
      </c>
    </row>
    <row r="2201" ht="180" spans="1:13">
      <c r="A2201" s="1" t="s">
        <v>9649</v>
      </c>
      <c r="B2201" s="1" t="s">
        <v>13</v>
      </c>
      <c r="C2201" s="4" t="s">
        <v>9650</v>
      </c>
      <c r="D2201" s="1" t="s">
        <v>9651</v>
      </c>
      <c r="E2201" s="1" t="s">
        <v>9652</v>
      </c>
      <c r="F2201" s="4" t="s">
        <v>17</v>
      </c>
      <c r="G2201" s="1" t="s">
        <v>18</v>
      </c>
      <c r="H2201" s="1" t="s">
        <v>19</v>
      </c>
      <c r="I2201" s="1" t="s">
        <v>20</v>
      </c>
      <c r="J2201" s="1" t="s">
        <v>9653</v>
      </c>
      <c r="K2201" s="1" t="s">
        <v>22</v>
      </c>
      <c r="L2201" s="1" t="str">
        <f>HYPERLINK("https://files.afu.se/Downloads/Transcripts/0%20-%20Government/USA%20-%20NASA%20Johnson/2013 07 17 - NASA Johnson - Meet the Expedition 37 38 Crew_rc1yrLSYNhM - transcript (automated).pdf","Transcript Link")</f>
        <v>Transcript Link</v>
      </c>
      <c r="M2201" s="2" t="str">
        <f>HYPERLINK("https://files.afu.se/Downloads/Transcripts/0%20-%20Government/USA%20-%20NASA%20Johnson/2013 07 17 - NASA Johnson - Meet the Expedition 37 38 Crew_rc1yrLSYNhM - transcript (automated).pdf","Transcript Link")</f>
        <v>Transcript Link</v>
      </c>
    </row>
    <row r="2202" ht="180" spans="1:13">
      <c r="A2202" s="1" t="s">
        <v>9649</v>
      </c>
      <c r="B2202" s="1" t="s">
        <v>13</v>
      </c>
      <c r="C2202" s="4" t="s">
        <v>9654</v>
      </c>
      <c r="D2202" s="1" t="s">
        <v>9655</v>
      </c>
      <c r="E2202" s="1" t="s">
        <v>9656</v>
      </c>
      <c r="F2202" s="4" t="s">
        <v>17</v>
      </c>
      <c r="G2202" s="1" t="s">
        <v>18</v>
      </c>
      <c r="H2202" s="1" t="s">
        <v>19</v>
      </c>
      <c r="I2202" s="1" t="s">
        <v>20</v>
      </c>
      <c r="J2202" s="1" t="s">
        <v>9657</v>
      </c>
      <c r="K2202" s="1" t="s">
        <v>22</v>
      </c>
      <c r="L2202" s="1" t="str">
        <f>HYPERLINK("https://files.afu.se/Downloads/Transcripts/0%20-%20Government/USA%20-%20NASA%20Johnson/2013 07 17 - NASA Johnson - Mark Guilliams Speaks with Students at the Museum of Flight_vtRMX3-NQE0 - transcript (automated).pdf","Transcript Link")</f>
        <v>Transcript Link</v>
      </c>
      <c r="M2202" s="2" t="str">
        <f>HYPERLINK("https://files.afu.se/Downloads/Transcripts/0%20-%20Government/USA%20-%20NASA%20Johnson/2013 07 17 - NASA Johnson - Mark Guilliams Speaks with Students at the Museum of Flight_vtRMX3-NQE0 - transcript (automated).pdf","Transcript Link")</f>
        <v>Transcript Link</v>
      </c>
    </row>
    <row r="2203" ht="180" spans="1:13">
      <c r="A2203" s="1" t="s">
        <v>9649</v>
      </c>
      <c r="B2203" s="1" t="s">
        <v>13</v>
      </c>
      <c r="C2203" s="4" t="s">
        <v>9658</v>
      </c>
      <c r="D2203" s="1" t="s">
        <v>9659</v>
      </c>
      <c r="E2203" s="1" t="s">
        <v>9660</v>
      </c>
      <c r="F2203" s="4" t="s">
        <v>17</v>
      </c>
      <c r="G2203" s="1" t="s">
        <v>18</v>
      </c>
      <c r="H2203" s="1" t="s">
        <v>19</v>
      </c>
      <c r="I2203" s="1" t="s">
        <v>20</v>
      </c>
      <c r="J2203" s="1" t="s">
        <v>9661</v>
      </c>
      <c r="K2203" s="1" t="s">
        <v>22</v>
      </c>
      <c r="L2203" s="1" t="str">
        <f>HYPERLINK("https://files.afu.se/Downloads/Transcripts/0%20-%20Government/USA%20-%20NASA%20Johnson/2013 07 17 - NASA Johnson - Space Station Live  Astronaut Fitness and Excersise on the Station_F7pqBREyx5w - transcript (automated).pdf","Transcript Link")</f>
        <v>Transcript Link</v>
      </c>
      <c r="M2203" s="2" t="str">
        <f>HYPERLINK("https://files.afu.se/Downloads/Transcripts/0%20-%20Government/USA%20-%20NASA%20Johnson/2013 07 17 - NASA Johnson - Space Station Live  Astronaut Fitness and Excersise on the Station_F7pqBREyx5w - transcript (automated).pdf","Transcript Link")</f>
        <v>Transcript Link</v>
      </c>
    </row>
    <row r="2204" ht="180" spans="1:13">
      <c r="A2204" s="1" t="s">
        <v>9649</v>
      </c>
      <c r="B2204" s="1" t="s">
        <v>13</v>
      </c>
      <c r="C2204" s="4" t="s">
        <v>9662</v>
      </c>
      <c r="D2204" s="1" t="s">
        <v>9663</v>
      </c>
      <c r="E2204" s="1" t="s">
        <v>9664</v>
      </c>
      <c r="F2204" s="4" t="s">
        <v>17</v>
      </c>
      <c r="G2204" s="1" t="s">
        <v>18</v>
      </c>
      <c r="H2204" s="1" t="s">
        <v>19</v>
      </c>
      <c r="I2204" s="1" t="s">
        <v>20</v>
      </c>
      <c r="J2204" s="1" t="s">
        <v>9665</v>
      </c>
      <c r="K2204" s="1" t="s">
        <v>22</v>
      </c>
      <c r="L2204" s="1" t="str">
        <f>HYPERLINK("https://files.afu.se/Downloads/Transcripts/0%20-%20Government/USA%20-%20NASA%20Johnson/2013 07 17 - NASA Johnson - Space Station Live  Capilary Channel Flow Experiment_bihEqYeZoVs - transcript (automated).pdf","Transcript Link")</f>
        <v>Transcript Link</v>
      </c>
      <c r="M2204" s="2" t="str">
        <f>HYPERLINK("https://files.afu.se/Downloads/Transcripts/0%20-%20Government/USA%20-%20NASA%20Johnson/2013 07 17 - NASA Johnson - Space Station Live  Capilary Channel Flow Experiment_bihEqYeZoVs - transcript (automated).pdf","Transcript Link")</f>
        <v>Transcript Link</v>
      </c>
    </row>
    <row r="2205" ht="180" spans="1:13">
      <c r="A2205" s="1" t="s">
        <v>9649</v>
      </c>
      <c r="B2205" s="1" t="s">
        <v>13</v>
      </c>
      <c r="C2205" s="4" t="s">
        <v>9666</v>
      </c>
      <c r="D2205" s="1" t="s">
        <v>9667</v>
      </c>
      <c r="E2205" s="1" t="s">
        <v>9647</v>
      </c>
      <c r="F2205" s="4" t="s">
        <v>17</v>
      </c>
      <c r="G2205" s="1" t="s">
        <v>18</v>
      </c>
      <c r="H2205" s="1" t="s">
        <v>19</v>
      </c>
      <c r="I2205" s="1" t="s">
        <v>20</v>
      </c>
      <c r="J2205" s="1" t="s">
        <v>9668</v>
      </c>
      <c r="K2205" s="1" t="s">
        <v>22</v>
      </c>
      <c r="L2205" s="1" t="str">
        <f>HYPERLINK("https://files.afu.se/Downloads/Transcripts/0%20-%20Government/USA%20-%20NASA%20Johnson/2013 07 17 - NASA Johnson - Space Station Live  July 17, 2013_mFJhg6bioNY - transcript (automated).pdf","Transcript Link")</f>
        <v>Transcript Link</v>
      </c>
      <c r="M2205" s="2" t="str">
        <f>HYPERLINK("https://files.afu.se/Downloads/Transcripts/0%20-%20Government/USA%20-%20NASA%20Johnson/2013 07 17 - NASA Johnson - Space Station Live  July 17, 2013_mFJhg6bioNY - transcript (automated).pdf","Transcript Link")</f>
        <v>Transcript Link</v>
      </c>
    </row>
    <row r="2206" ht="255" spans="1:13">
      <c r="A2206" s="1" t="s">
        <v>9649</v>
      </c>
      <c r="B2206" s="1" t="s">
        <v>13</v>
      </c>
      <c r="C2206" s="4" t="s">
        <v>9669</v>
      </c>
      <c r="D2206" s="1" t="s">
        <v>9670</v>
      </c>
      <c r="E2206" s="1" t="s">
        <v>9671</v>
      </c>
      <c r="F2206" s="4" t="s">
        <v>17</v>
      </c>
      <c r="G2206" s="1" t="s">
        <v>18</v>
      </c>
      <c r="H2206" s="1" t="s">
        <v>19</v>
      </c>
      <c r="I2206" s="1" t="s">
        <v>20</v>
      </c>
      <c r="J2206" s="1" t="s">
        <v>9672</v>
      </c>
      <c r="K2206" s="1" t="s">
        <v>22</v>
      </c>
      <c r="L2206" s="1" t="str">
        <f>HYPERLINK("https://files.afu.se/Downloads/Transcripts/0%20-%20Government/USA%20-%20NASA%20Johnson/2013 07 17 - NASA Johnson - Train Like An Astronaut, Train Like Mike Kick-Off_D-uwbNFcEX4 - transcript (automated).pdf","Transcript Link")</f>
        <v>Transcript Link</v>
      </c>
      <c r="M2206" s="2" t="str">
        <f>HYPERLINK("https://files.afu.se/Downloads/Transcripts/0%20-%20Government/USA%20-%20NASA%20Johnson/2013 07 17 - NASA Johnson - Train Like An Astronaut, Train Like Mike Kick-Off_D-uwbNFcEX4 - transcript (automated).pdf","Transcript Link")</f>
        <v>Transcript Link</v>
      </c>
    </row>
    <row r="2207" ht="180" spans="1:13">
      <c r="A2207" s="1" t="s">
        <v>9649</v>
      </c>
      <c r="B2207" s="1" t="s">
        <v>13</v>
      </c>
      <c r="C2207" s="4" t="s">
        <v>9673</v>
      </c>
      <c r="D2207" s="1" t="s">
        <v>9674</v>
      </c>
      <c r="E2207" s="1" t="s">
        <v>9675</v>
      </c>
      <c r="F2207" s="4" t="s">
        <v>17</v>
      </c>
      <c r="G2207" s="1" t="s">
        <v>18</v>
      </c>
      <c r="H2207" s="1" t="s">
        <v>19</v>
      </c>
      <c r="I2207" s="1" t="s">
        <v>20</v>
      </c>
      <c r="J2207" s="1" t="s">
        <v>9676</v>
      </c>
      <c r="K2207" s="1" t="s">
        <v>22</v>
      </c>
      <c r="L2207" s="1" t="str">
        <f>HYPERLINK("https://files.afu.se/Downloads/Transcripts/0%20-%20Government/USA%20-%20NASA%20Johnson/2013 07 17 - NASA Johnson - Orion's Heat Shield Takes Shape_4ep8WEQ_tRo - transcript (automated).pdf","Transcript Link")</f>
        <v>Transcript Link</v>
      </c>
      <c r="M2207" s="2" t="str">
        <f>HYPERLINK("https://files.afu.se/Downloads/Transcripts/0%20-%20Government/USA%20-%20NASA%20Johnson/2013 07 17 - NASA Johnson - Orion's Heat Shield Takes Shape_4ep8WEQ_tRo - transcript (automated).pdf","Transcript Link")</f>
        <v>Transcript Link</v>
      </c>
    </row>
    <row r="2208" ht="180" spans="1:13">
      <c r="A2208" s="1" t="s">
        <v>9677</v>
      </c>
      <c r="B2208" s="1" t="s">
        <v>13</v>
      </c>
      <c r="C2208" s="4" t="s">
        <v>9678</v>
      </c>
      <c r="D2208" s="1" t="s">
        <v>9679</v>
      </c>
      <c r="E2208" s="1" t="s">
        <v>9647</v>
      </c>
      <c r="F2208" s="4" t="s">
        <v>17</v>
      </c>
      <c r="G2208" s="1" t="s">
        <v>18</v>
      </c>
      <c r="H2208" s="1" t="s">
        <v>19</v>
      </c>
      <c r="I2208" s="1" t="s">
        <v>20</v>
      </c>
      <c r="J2208" s="1" t="s">
        <v>9680</v>
      </c>
      <c r="K2208" s="1" t="s">
        <v>22</v>
      </c>
      <c r="L2208" s="1" t="str">
        <f>HYPERLINK("https://files.afu.se/Downloads/Transcripts/0%20-%20Government/USA%20-%20NASA%20Johnson/2013 07 15 - NASA Johnson - Space Station Live  July 15, 2013_LfeGXq945CM - transcript (automated).pdf","Transcript Link")</f>
        <v>Transcript Link</v>
      </c>
      <c r="M2208" s="2" t="str">
        <f>HYPERLINK("https://files.afu.se/Downloads/Transcripts/0%20-%20Government/USA%20-%20NASA%20Johnson/2013 07 15 - NASA Johnson - Space Station Live  July 15, 2013_LfeGXq945CM - transcript (automated).pdf","Transcript Link")</f>
        <v>Transcript Link</v>
      </c>
    </row>
    <row r="2209" ht="180" spans="1:13">
      <c r="A2209" s="1" t="s">
        <v>9681</v>
      </c>
      <c r="B2209" s="1" t="s">
        <v>13</v>
      </c>
      <c r="C2209" s="4" t="s">
        <v>9682</v>
      </c>
      <c r="D2209" s="1" t="s">
        <v>9683</v>
      </c>
      <c r="E2209" s="1" t="s">
        <v>9684</v>
      </c>
      <c r="F2209" s="4" t="s">
        <v>17</v>
      </c>
      <c r="G2209" s="1" t="s">
        <v>18</v>
      </c>
      <c r="H2209" s="1" t="s">
        <v>19</v>
      </c>
      <c r="I2209" s="1" t="s">
        <v>20</v>
      </c>
      <c r="J2209" s="1" t="s">
        <v>9685</v>
      </c>
      <c r="K2209" s="1" t="s">
        <v>22</v>
      </c>
      <c r="L2209" s="1" t="str">
        <f>HYPERLINK("https://files.afu.se/Downloads/Transcripts/0%20-%20Government/USA%20-%20NASA%20Johnson/2013 07 12 - NASA Johnson - Space Station Live  July 12, 2013_pRpHY-Ufea0 - transcript (automated).pdf","Transcript Link")</f>
        <v>Transcript Link</v>
      </c>
      <c r="M2209" s="2" t="str">
        <f>HYPERLINK("https://files.afu.se/Downloads/Transcripts/0%20-%20Government/USA%20-%20NASA%20Johnson/2013 07 12 - NASA Johnson - Space Station Live  July 12, 2013_pRpHY-Ufea0 - transcript (automated).pdf","Transcript Link")</f>
        <v>Transcript Link</v>
      </c>
    </row>
    <row r="2210" ht="330" spans="1:13">
      <c r="A2210" s="1" t="s">
        <v>9681</v>
      </c>
      <c r="B2210" s="1" t="s">
        <v>13</v>
      </c>
      <c r="C2210" s="4" t="s">
        <v>9686</v>
      </c>
      <c r="D2210" s="1" t="s">
        <v>9687</v>
      </c>
      <c r="E2210" s="1" t="s">
        <v>9688</v>
      </c>
      <c r="F2210" s="4" t="s">
        <v>17</v>
      </c>
      <c r="G2210" s="1" t="s">
        <v>18</v>
      </c>
      <c r="H2210" s="1" t="s">
        <v>19</v>
      </c>
      <c r="I2210" s="1" t="s">
        <v>20</v>
      </c>
      <c r="J2210" s="1" t="s">
        <v>9689</v>
      </c>
      <c r="K2210" s="1" t="s">
        <v>22</v>
      </c>
      <c r="L2210" s="1" t="str">
        <f>HYPERLINK("https://files.afu.se/Downloads/Transcripts/0%20-%20Government/USA%20-%20NASA%20Johnson/2013 07 12 - NASA Johnson - Karen Nyberg Shows How You Wash Hair in Space_uIjNfZbUYu8 - transcript (automated).pdf","Transcript Link")</f>
        <v>Transcript Link</v>
      </c>
      <c r="M2210" s="2" t="str">
        <f>HYPERLINK("https://files.afu.se/Downloads/Transcripts/0%20-%20Government/USA%20-%20NASA%20Johnson/2013 07 12 - NASA Johnson - Karen Nyberg Shows How You Wash Hair in Space_uIjNfZbUYu8 - transcript (automated).pdf","Transcript Link")</f>
        <v>Transcript Link</v>
      </c>
    </row>
    <row r="2211" ht="180" spans="1:13">
      <c r="A2211" s="1" t="s">
        <v>9690</v>
      </c>
      <c r="B2211" s="1" t="s">
        <v>13</v>
      </c>
      <c r="C2211" s="4" t="s">
        <v>9691</v>
      </c>
      <c r="D2211" s="1" t="s">
        <v>9692</v>
      </c>
      <c r="E2211" s="1" t="s">
        <v>9693</v>
      </c>
      <c r="F2211" s="4" t="s">
        <v>17</v>
      </c>
      <c r="G2211" s="1" t="s">
        <v>18</v>
      </c>
      <c r="H2211" s="1" t="s">
        <v>19</v>
      </c>
      <c r="I2211" s="1" t="s">
        <v>20</v>
      </c>
      <c r="J2211" s="1" t="s">
        <v>9694</v>
      </c>
      <c r="K2211" s="1" t="s">
        <v>22</v>
      </c>
      <c r="L2211" s="1" t="str">
        <f>HYPERLINK("https://files.afu.se/Downloads/Transcripts/0%20-%20Government/USA%20-%20NASA%20Johnson/2013 07 11 - NASA Johnson - Astronaut Dottie Metcalf-Lindenburger Talks With WISH Aerospace Scholars_hiFFAElkpz0 - transcript (automated).pdf","Transcript Link")</f>
        <v>Transcript Link</v>
      </c>
      <c r="M2211" s="2" t="str">
        <f>HYPERLINK("https://files.afu.se/Downloads/Transcripts/0%20-%20Government/USA%20-%20NASA%20Johnson/2013 07 11 - NASA Johnson - Astronaut Dottie Metcalf-Lindenburger Talks With WISH Aerospace Scholars_hiFFAElkpz0 - transcript (automated).pdf","Transcript Link")</f>
        <v>Transcript Link</v>
      </c>
    </row>
    <row r="2212" ht="180" spans="1:13">
      <c r="A2212" s="1" t="s">
        <v>9690</v>
      </c>
      <c r="B2212" s="1" t="s">
        <v>13</v>
      </c>
      <c r="C2212" s="4" t="s">
        <v>9695</v>
      </c>
      <c r="D2212" s="1" t="s">
        <v>9696</v>
      </c>
      <c r="E2212" s="1" t="s">
        <v>9697</v>
      </c>
      <c r="F2212" s="4" t="s">
        <v>17</v>
      </c>
      <c r="G2212" s="1" t="s">
        <v>18</v>
      </c>
      <c r="H2212" s="1" t="s">
        <v>19</v>
      </c>
      <c r="I2212" s="1" t="s">
        <v>20</v>
      </c>
      <c r="J2212" s="1" t="s">
        <v>9698</v>
      </c>
      <c r="K2212" s="1" t="s">
        <v>22</v>
      </c>
      <c r="L2212" s="1" t="str">
        <f>HYPERLINK("https://files.afu.se/Downloads/Transcripts/0%20-%20Government/USA%20-%20NASA%20Johnson/2013 07 11 - NASA Johnson - Space Station Live  July 11, 2013_5ab3hnvPzQU - transcript (automated).pdf","Transcript Link")</f>
        <v>Transcript Link</v>
      </c>
      <c r="M2212" s="2" t="str">
        <f>HYPERLINK("https://files.afu.se/Downloads/Transcripts/0%20-%20Government/USA%20-%20NASA%20Johnson/2013 07 11 - NASA Johnson - Space Station Live  July 11, 2013_5ab3hnvPzQU - transcript (automated).pdf","Transcript Link")</f>
        <v>Transcript Link</v>
      </c>
    </row>
    <row r="2213" ht="180" spans="1:13">
      <c r="A2213" s="1" t="s">
        <v>9699</v>
      </c>
      <c r="B2213" s="1" t="s">
        <v>13</v>
      </c>
      <c r="C2213" s="4" t="s">
        <v>9700</v>
      </c>
      <c r="D2213" s="1" t="s">
        <v>9701</v>
      </c>
      <c r="E2213" s="1" t="s">
        <v>9697</v>
      </c>
      <c r="F2213" s="4" t="s">
        <v>17</v>
      </c>
      <c r="G2213" s="1" t="s">
        <v>18</v>
      </c>
      <c r="H2213" s="1" t="s">
        <v>19</v>
      </c>
      <c r="I2213" s="1" t="s">
        <v>20</v>
      </c>
      <c r="J2213" s="1" t="s">
        <v>9702</v>
      </c>
      <c r="K2213" s="1" t="s">
        <v>22</v>
      </c>
      <c r="L2213" s="1" t="str">
        <f>HYPERLINK("https://files.afu.se/Downloads/Transcripts/0%20-%20Government/USA%20-%20NASA%20Johnson/2013 07 10 - NASA Johnson - Space Station Live  July 10, 2013_BfRHSVGQMO8 - transcript (automated).pdf","Transcript Link")</f>
        <v>Transcript Link</v>
      </c>
      <c r="M2213" s="2" t="str">
        <f>HYPERLINK("https://files.afu.se/Downloads/Transcripts/0%20-%20Government/USA%20-%20NASA%20Johnson/2013 07 10 - NASA Johnson - Space Station Live  July 10, 2013_BfRHSVGQMO8 - transcript (automated).pdf","Transcript Link")</f>
        <v>Transcript Link</v>
      </c>
    </row>
    <row r="2214" ht="180" spans="1:13">
      <c r="A2214" s="1" t="s">
        <v>9699</v>
      </c>
      <c r="B2214" s="1" t="s">
        <v>13</v>
      </c>
      <c r="C2214" s="4" t="s">
        <v>9703</v>
      </c>
      <c r="D2214" s="1" t="s">
        <v>9704</v>
      </c>
      <c r="E2214" s="1" t="s">
        <v>9705</v>
      </c>
      <c r="F2214" s="4" t="s">
        <v>17</v>
      </c>
      <c r="G2214" s="1" t="s">
        <v>18</v>
      </c>
      <c r="H2214" s="1" t="s">
        <v>19</v>
      </c>
      <c r="I2214" s="1" t="s">
        <v>20</v>
      </c>
      <c r="J2214" s="1" t="s">
        <v>9706</v>
      </c>
      <c r="K2214" s="1" t="s">
        <v>22</v>
      </c>
      <c r="L2214" s="1" t="str">
        <f>HYPERLINK("https://files.afu.se/Downloads/Transcripts/0%20-%20Government/USA%20-%20NASA%20Johnson/2013 07 10 - NASA Johnson - Space Station Live  Monitoring Earth Disasters From Station_ln-oW5cbuG8 - transcript (automated).pdf","Transcript Link")</f>
        <v>Transcript Link</v>
      </c>
      <c r="M2214" s="2" t="str">
        <f>HYPERLINK("https://files.afu.se/Downloads/Transcripts/0%20-%20Government/USA%20-%20NASA%20Johnson/2013 07 10 - NASA Johnson - Space Station Live  Monitoring Earth Disasters From Station_ln-oW5cbuG8 - transcript (automated).pdf","Transcript Link")</f>
        <v>Transcript Link</v>
      </c>
    </row>
    <row r="2215" ht="180" spans="1:13">
      <c r="A2215" s="1" t="s">
        <v>9707</v>
      </c>
      <c r="B2215" s="1" t="s">
        <v>13</v>
      </c>
      <c r="C2215" s="4" t="s">
        <v>9708</v>
      </c>
      <c r="D2215" s="1" t="s">
        <v>9709</v>
      </c>
      <c r="E2215" s="1" t="s">
        <v>9710</v>
      </c>
      <c r="F2215" s="4" t="s">
        <v>17</v>
      </c>
      <c r="G2215" s="1" t="s">
        <v>18</v>
      </c>
      <c r="H2215" s="1" t="s">
        <v>19</v>
      </c>
      <c r="I2215" s="1" t="s">
        <v>20</v>
      </c>
      <c r="J2215" s="1" t="s">
        <v>9711</v>
      </c>
      <c r="K2215" s="1" t="s">
        <v>22</v>
      </c>
      <c r="L2215" s="1" t="str">
        <f>HYPERLINK("https://files.afu.se/Downloads/Transcripts/0%20-%20Government/USA%20-%20NASA%20Johnson/2013 07 08 - NASA Johnson - Space Station Live  Spacewalk Robotics_8jGzrshlX5A - transcript (automated).pdf","Transcript Link")</f>
        <v>Transcript Link</v>
      </c>
      <c r="M2215" s="2" t="str">
        <f>HYPERLINK("https://files.afu.se/Downloads/Transcripts/0%20-%20Government/USA%20-%20NASA%20Johnson/2013 07 08 - NASA Johnson - Space Station Live  Spacewalk Robotics_8jGzrshlX5A - transcript (automated).pdf","Transcript Link")</f>
        <v>Transcript Link</v>
      </c>
    </row>
    <row r="2216" ht="180" spans="1:13">
      <c r="A2216" s="1" t="s">
        <v>9707</v>
      </c>
      <c r="B2216" s="1" t="s">
        <v>13</v>
      </c>
      <c r="C2216" s="4" t="s">
        <v>9712</v>
      </c>
      <c r="D2216" s="1" t="s">
        <v>9713</v>
      </c>
      <c r="E2216" s="1" t="s">
        <v>9714</v>
      </c>
      <c r="F2216" s="4" t="s">
        <v>17</v>
      </c>
      <c r="G2216" s="1" t="s">
        <v>18</v>
      </c>
      <c r="H2216" s="1" t="s">
        <v>19</v>
      </c>
      <c r="I2216" s="1" t="s">
        <v>20</v>
      </c>
      <c r="J2216" s="1" t="s">
        <v>9715</v>
      </c>
      <c r="K2216" s="1" t="s">
        <v>22</v>
      </c>
      <c r="L2216" s="1" t="str">
        <f>HYPERLINK("https://files.afu.se/Downloads/Transcripts/0%20-%20Government/USA%20-%20NASA%20Johnson/2013 07 08 - NASA Johnson - Space Station Live  July 8, 2013_kx1dHPrBpt0 - transcript (automated).pdf","Transcript Link")</f>
        <v>Transcript Link</v>
      </c>
      <c r="M2216" s="2" t="str">
        <f>HYPERLINK("https://files.afu.se/Downloads/Transcripts/0%20-%20Government/USA%20-%20NASA%20Johnson/2013 07 08 - NASA Johnson - Space Station Live  July 8, 2013_kx1dHPrBpt0 - transcript (automated).pdf","Transcript Link")</f>
        <v>Transcript Link</v>
      </c>
    </row>
    <row r="2217" ht="180" spans="1:13">
      <c r="A2217" s="1" t="s">
        <v>9716</v>
      </c>
      <c r="B2217" s="1" t="s">
        <v>13</v>
      </c>
      <c r="C2217" s="4" t="s">
        <v>9717</v>
      </c>
      <c r="D2217" s="1" t="s">
        <v>9718</v>
      </c>
      <c r="E2217" s="1" t="s">
        <v>9719</v>
      </c>
      <c r="F2217" s="4" t="s">
        <v>17</v>
      </c>
      <c r="G2217" s="1" t="s">
        <v>18</v>
      </c>
      <c r="H2217" s="1" t="s">
        <v>19</v>
      </c>
      <c r="I2217" s="1" t="s">
        <v>20</v>
      </c>
      <c r="J2217" s="1" t="s">
        <v>9720</v>
      </c>
      <c r="K2217" s="1" t="s">
        <v>22</v>
      </c>
      <c r="L2217" s="1" t="str">
        <f>HYPERLINK("https://files.afu.se/Downloads/Transcripts/0%20-%20Government/USA%20-%20NASA%20Johnson/2013 07 03 - NASA Johnson - Space Station Live  July 3, 2013_UE0J6oyinf8 - transcript (automated).pdf","Transcript Link")</f>
        <v>Transcript Link</v>
      </c>
      <c r="M2217" s="2" t="str">
        <f>HYPERLINK("https://files.afu.se/Downloads/Transcripts/0%20-%20Government/USA%20-%20NASA%20Johnson/2013 07 03 - NASA Johnson - Space Station Live  July 3, 2013_UE0J6oyinf8 - transcript (automated).pdf","Transcript Link")</f>
        <v>Transcript Link</v>
      </c>
    </row>
    <row r="2218" ht="180" spans="1:13">
      <c r="A2218" s="1" t="s">
        <v>9721</v>
      </c>
      <c r="B2218" s="1" t="s">
        <v>13</v>
      </c>
      <c r="C2218" s="4" t="s">
        <v>9722</v>
      </c>
      <c r="D2218" s="1" t="s">
        <v>9723</v>
      </c>
      <c r="E2218" s="1" t="s">
        <v>9724</v>
      </c>
      <c r="F2218" s="4" t="s">
        <v>17</v>
      </c>
      <c r="G2218" s="1" t="s">
        <v>18</v>
      </c>
      <c r="H2218" s="1" t="s">
        <v>19</v>
      </c>
      <c r="I2218" s="1" t="s">
        <v>20</v>
      </c>
      <c r="J2218" s="1" t="s">
        <v>9725</v>
      </c>
      <c r="K2218" s="1" t="s">
        <v>22</v>
      </c>
      <c r="L2218" s="1" t="str">
        <f>HYPERLINK("https://files.afu.se/Downloads/Transcripts/0%20-%20Government/USA%20-%20NASA%20Johnson/2013 07 02 - NASA Johnson - Space Station Live  July 2, 2013_3lHnD4dBTiQ - transcript (automated).pdf","Transcript Link")</f>
        <v>Transcript Link</v>
      </c>
      <c r="M2218" s="2" t="str">
        <f>HYPERLINK("https://files.afu.se/Downloads/Transcripts/0%20-%20Government/USA%20-%20NASA%20Johnson/2013 07 02 - NASA Johnson - Space Station Live  July 2, 2013_3lHnD4dBTiQ - transcript (automated).pdf","Transcript Link")</f>
        <v>Transcript Link</v>
      </c>
    </row>
    <row r="2219" ht="409.5" spans="1:13">
      <c r="A2219" s="1" t="s">
        <v>9726</v>
      </c>
      <c r="B2219" s="1" t="s">
        <v>13</v>
      </c>
      <c r="C2219" s="4" t="s">
        <v>9727</v>
      </c>
      <c r="D2219" s="1" t="s">
        <v>9728</v>
      </c>
      <c r="E2219" s="1" t="s">
        <v>9729</v>
      </c>
      <c r="F2219" s="4" t="s">
        <v>17</v>
      </c>
      <c r="G2219" s="1" t="s">
        <v>18</v>
      </c>
      <c r="H2219" s="1" t="s">
        <v>19</v>
      </c>
      <c r="I2219" s="1" t="s">
        <v>20</v>
      </c>
      <c r="J2219" s="1" t="s">
        <v>9730</v>
      </c>
      <c r="K2219" s="1" t="s">
        <v>22</v>
      </c>
      <c r="L2219" s="1" t="str">
        <f>HYPERLINK("https://files.afu.se/Downloads/Transcripts/0%20-%20Government/USA%20-%20NASA%20Johnson/2013 07 01 - NASA Johnson - Space Station Live  Controlling a Robot on Earth From Space_K82fCFqnLBk - transcript (automated).pdf","Transcript Link")</f>
        <v>Transcript Link</v>
      </c>
      <c r="M2219" s="2" t="str">
        <f>HYPERLINK("https://files.afu.se/Downloads/Transcripts/0%20-%20Government/USA%20-%20NASA%20Johnson/2013 07 01 - NASA Johnson - Space Station Live  Controlling a Robot on Earth From Space_K82fCFqnLBk - transcript (automated).pdf","Transcript Link")</f>
        <v>Transcript Link</v>
      </c>
    </row>
    <row r="2220" ht="180" spans="1:13">
      <c r="A2220" s="1" t="s">
        <v>9726</v>
      </c>
      <c r="B2220" s="1" t="s">
        <v>13</v>
      </c>
      <c r="C2220" s="4" t="s">
        <v>9731</v>
      </c>
      <c r="D2220" s="1" t="s">
        <v>9732</v>
      </c>
      <c r="E2220" s="1" t="s">
        <v>9733</v>
      </c>
      <c r="F2220" s="4" t="s">
        <v>17</v>
      </c>
      <c r="G2220" s="1" t="s">
        <v>18</v>
      </c>
      <c r="H2220" s="1" t="s">
        <v>19</v>
      </c>
      <c r="I2220" s="1" t="s">
        <v>20</v>
      </c>
      <c r="J2220" s="1" t="s">
        <v>9734</v>
      </c>
      <c r="K2220" s="1" t="s">
        <v>22</v>
      </c>
      <c r="L2220" s="1" t="str">
        <f>HYPERLINK("https://files.afu.se/Downloads/Transcripts/0%20-%20Government/USA%20-%20NASA%20Johnson/2013 07 01 - NASA Johnson - Space Station Live  July 1, 2013_Yu-agCGK4AM - transcript (automated).pdf","Transcript Link")</f>
        <v>Transcript Link</v>
      </c>
      <c r="M2220" s="2" t="str">
        <f>HYPERLINK("https://files.afu.se/Downloads/Transcripts/0%20-%20Government/USA%20-%20NASA%20Johnson/2013 07 01 - NASA Johnson - Space Station Live  July 1, 2013_Yu-agCGK4AM - transcript (automated).pdf","Transcript Link")</f>
        <v>Transcript Link</v>
      </c>
    </row>
    <row r="2221" ht="180" spans="1:13">
      <c r="A2221" s="1" t="s">
        <v>9735</v>
      </c>
      <c r="B2221" s="1" t="s">
        <v>13</v>
      </c>
      <c r="C2221" s="4" t="s">
        <v>9736</v>
      </c>
      <c r="D2221" s="1" t="s">
        <v>9737</v>
      </c>
      <c r="E2221" s="1" t="s">
        <v>9738</v>
      </c>
      <c r="F2221" s="4" t="s">
        <v>17</v>
      </c>
      <c r="G2221" s="1" t="s">
        <v>18</v>
      </c>
      <c r="H2221" s="1" t="s">
        <v>19</v>
      </c>
      <c r="I2221" s="1" t="s">
        <v>20</v>
      </c>
      <c r="J2221" s="1" t="s">
        <v>9739</v>
      </c>
      <c r="K2221" s="1" t="s">
        <v>22</v>
      </c>
      <c r="L2221" s="1" t="str">
        <f>HYPERLINK("https://files.afu.se/Downloads/Transcripts/0%20-%20Government/USA%20-%20NASA%20Johnson/2013 06 28 - NASA Johnson - WISH Aerospace Scholars Learn About Station Science, Careers_gE67dysO3Mc - transcript (automated).pdf","Transcript Link")</f>
        <v>Transcript Link</v>
      </c>
      <c r="M2221" s="2" t="str">
        <f>HYPERLINK("https://files.afu.se/Downloads/Transcripts/0%20-%20Government/USA%20-%20NASA%20Johnson/2013 06 28 - NASA Johnson - WISH Aerospace Scholars Learn About Station Science, Careers_gE67dysO3Mc - transcript (automated).pdf","Transcript Link")</f>
        <v>Transcript Link</v>
      </c>
    </row>
    <row r="2222" ht="180" spans="1:13">
      <c r="A2222" s="1" t="s">
        <v>9735</v>
      </c>
      <c r="B2222" s="1" t="s">
        <v>13</v>
      </c>
      <c r="C2222" s="4" t="s">
        <v>9740</v>
      </c>
      <c r="D2222" s="1" t="s">
        <v>9741</v>
      </c>
      <c r="E2222" s="1" t="s">
        <v>9742</v>
      </c>
      <c r="F2222" s="4" t="s">
        <v>17</v>
      </c>
      <c r="G2222" s="1" t="s">
        <v>18</v>
      </c>
      <c r="H2222" s="1" t="s">
        <v>19</v>
      </c>
      <c r="I2222" s="1" t="s">
        <v>20</v>
      </c>
      <c r="J2222" s="1" t="s">
        <v>9743</v>
      </c>
      <c r="K2222" s="1" t="s">
        <v>22</v>
      </c>
      <c r="L2222" s="1" t="str">
        <f>HYPERLINK("https://files.afu.se/Downloads/Transcripts/0%20-%20Government/USA%20-%20NASA%20Johnson/2013 06 28 - NASA Johnson - Space Station Live  June 28, 2013_TDEXHJSqeao - transcript (automated).pdf","Transcript Link")</f>
        <v>Transcript Link</v>
      </c>
      <c r="M2222" s="2" t="str">
        <f>HYPERLINK("https://files.afu.se/Downloads/Transcripts/0%20-%20Government/USA%20-%20NASA%20Johnson/2013 06 28 - NASA Johnson - Space Station Live  June 28, 2013_TDEXHJSqeao - transcript (automated).pdf","Transcript Link")</f>
        <v>Transcript Link</v>
      </c>
    </row>
    <row r="2223" ht="180" spans="1:13">
      <c r="A2223" s="1" t="s">
        <v>9744</v>
      </c>
      <c r="B2223" s="1" t="s">
        <v>13</v>
      </c>
      <c r="C2223" s="4" t="s">
        <v>9745</v>
      </c>
      <c r="D2223" s="1" t="s">
        <v>9746</v>
      </c>
      <c r="E2223" s="1" t="s">
        <v>9747</v>
      </c>
      <c r="F2223" s="4" t="s">
        <v>17</v>
      </c>
      <c r="G2223" s="1" t="s">
        <v>18</v>
      </c>
      <c r="H2223" s="1" t="s">
        <v>19</v>
      </c>
      <c r="I2223" s="1" t="s">
        <v>20</v>
      </c>
      <c r="J2223" s="1" t="s">
        <v>9748</v>
      </c>
      <c r="K2223" s="1" t="s">
        <v>22</v>
      </c>
      <c r="L2223" s="1" t="str">
        <f>HYPERLINK("https://files.afu.se/Downloads/Transcripts/0%20-%20Government/USA%20-%20NASA%20Johnson/2013 06 27 - NASA Johnson - Space Station Live  A Talk with Peggy Whitson_QPrtioA8ENs - transcript (automated).pdf","Transcript Link")</f>
        <v>Transcript Link</v>
      </c>
      <c r="M2223" s="2" t="str">
        <f>HYPERLINK("https://files.afu.se/Downloads/Transcripts/0%20-%20Government/USA%20-%20NASA%20Johnson/2013 06 27 - NASA Johnson - Space Station Live  A Talk with Peggy Whitson_QPrtioA8ENs - transcript (automated).pdf","Transcript Link")</f>
        <v>Transcript Link</v>
      </c>
    </row>
    <row r="2224" ht="180" spans="1:13">
      <c r="A2224" s="1" t="s">
        <v>9744</v>
      </c>
      <c r="B2224" s="1" t="s">
        <v>13</v>
      </c>
      <c r="C2224" s="4" t="s">
        <v>9749</v>
      </c>
      <c r="D2224" s="1" t="s">
        <v>9750</v>
      </c>
      <c r="E2224" s="1" t="s">
        <v>9751</v>
      </c>
      <c r="F2224" s="4" t="s">
        <v>17</v>
      </c>
      <c r="G2224" s="1" t="s">
        <v>18</v>
      </c>
      <c r="H2224" s="1" t="s">
        <v>19</v>
      </c>
      <c r="I2224" s="1" t="s">
        <v>20</v>
      </c>
      <c r="J2224" s="1" t="s">
        <v>9752</v>
      </c>
      <c r="K2224" s="1" t="s">
        <v>22</v>
      </c>
      <c r="L2224" s="1" t="str">
        <f>HYPERLINK("https://files.afu.se/Downloads/Transcripts/0%20-%20Government/USA%20-%20NASA%20Johnson/2013 06 27 - NASA Johnson - Space Station Live  Huntsville Unveils New Science Control Room_KOxiZ3FV3v4 - transcript (automated).pdf","Transcript Link")</f>
        <v>Transcript Link</v>
      </c>
      <c r="M2224" s="2" t="str">
        <f>HYPERLINK("https://files.afu.se/Downloads/Transcripts/0%20-%20Government/USA%20-%20NASA%20Johnson/2013 06 27 - NASA Johnson - Space Station Live  Huntsville Unveils New Science Control Room_KOxiZ3FV3v4 - transcript (automated).pdf","Transcript Link")</f>
        <v>Transcript Link</v>
      </c>
    </row>
    <row r="2225" ht="180" spans="1:13">
      <c r="A2225" s="1" t="s">
        <v>9744</v>
      </c>
      <c r="B2225" s="1" t="s">
        <v>13</v>
      </c>
      <c r="C2225" s="4" t="s">
        <v>9753</v>
      </c>
      <c r="D2225" s="1" t="s">
        <v>9754</v>
      </c>
      <c r="E2225" s="1" t="s">
        <v>9755</v>
      </c>
      <c r="F2225" s="4" t="s">
        <v>17</v>
      </c>
      <c r="G2225" s="1" t="s">
        <v>18</v>
      </c>
      <c r="H2225" s="1" t="s">
        <v>19</v>
      </c>
      <c r="I2225" s="1" t="s">
        <v>20</v>
      </c>
      <c r="J2225" s="1" t="s">
        <v>9756</v>
      </c>
      <c r="K2225" s="1" t="s">
        <v>22</v>
      </c>
      <c r="L2225" s="1" t="str">
        <f>HYPERLINK("https://files.afu.se/Downloads/Transcripts/0%20-%20Government/USA%20-%20NASA%20Johnson/2013 06 27 - NASA Johnson - Space Station Live  June 27, 2013_CbS_P_r6FEs - transcript (automated).pdf","Transcript Link")</f>
        <v>Transcript Link</v>
      </c>
      <c r="M2225" s="2" t="str">
        <f>HYPERLINK("https://files.afu.se/Downloads/Transcripts/0%20-%20Government/USA%20-%20NASA%20Johnson/2013 06 27 - NASA Johnson - Space Station Live  June 27, 2013_CbS_P_r6FEs - transcript (automated).pdf","Transcript Link")</f>
        <v>Transcript Link</v>
      </c>
    </row>
    <row r="2226" ht="180" spans="1:13">
      <c r="A2226" s="1" t="s">
        <v>9744</v>
      </c>
      <c r="B2226" s="1" t="s">
        <v>13</v>
      </c>
      <c r="C2226" s="4" t="s">
        <v>9757</v>
      </c>
      <c r="D2226" s="1" t="s">
        <v>9758</v>
      </c>
      <c r="E2226" s="1" t="s">
        <v>9759</v>
      </c>
      <c r="F2226" s="4" t="s">
        <v>17</v>
      </c>
      <c r="G2226" s="1" t="s">
        <v>18</v>
      </c>
      <c r="H2226" s="1" t="s">
        <v>19</v>
      </c>
      <c r="I2226" s="1" t="s">
        <v>20</v>
      </c>
      <c r="J2226" s="1" t="s">
        <v>9760</v>
      </c>
      <c r="K2226" s="1" t="s">
        <v>22</v>
      </c>
      <c r="L2226" s="1" t="str">
        <f>HYPERLINK("https://files.afu.se/Downloads/Transcripts/0%20-%20Government/USA%20-%20NASA%20Johnson/2013 06 27 - NASA Johnson - Space Station Live  Liz Warren Talks Women in Science_XHyMDv98e5s - transcript (automated).pdf","Transcript Link")</f>
        <v>Transcript Link</v>
      </c>
      <c r="M2226" s="2" t="str">
        <f>HYPERLINK("https://files.afu.se/Downloads/Transcripts/0%20-%20Government/USA%20-%20NASA%20Johnson/2013 06 27 - NASA Johnson - Space Station Live  Liz Warren Talks Women in Science_XHyMDv98e5s - transcript (automated).pdf","Transcript Link")</f>
        <v>Transcript Link</v>
      </c>
    </row>
    <row r="2227" ht="180" spans="1:13">
      <c r="A2227" s="1" t="s">
        <v>9744</v>
      </c>
      <c r="B2227" s="1" t="s">
        <v>13</v>
      </c>
      <c r="C2227" s="4" t="s">
        <v>9761</v>
      </c>
      <c r="D2227" s="1" t="s">
        <v>9762</v>
      </c>
      <c r="E2227" s="1" t="s">
        <v>9763</v>
      </c>
      <c r="F2227" s="4" t="s">
        <v>17</v>
      </c>
      <c r="G2227" s="1" t="s">
        <v>18</v>
      </c>
      <c r="H2227" s="1" t="s">
        <v>19</v>
      </c>
      <c r="I2227" s="1" t="s">
        <v>20</v>
      </c>
      <c r="J2227" s="1" t="s">
        <v>9764</v>
      </c>
      <c r="K2227" s="1" t="s">
        <v>22</v>
      </c>
      <c r="L2227" s="1" t="str">
        <f>HYPERLINK("https://files.afu.se/Downloads/Transcripts/0%20-%20Government/USA%20-%20NASA%20Johnson/2013 06 27 - NASA Johnson - Space Station Live  A Talk With Pam Melroy_Uw5jCvDOT6s - transcript (automated).pdf","Transcript Link")</f>
        <v>Transcript Link</v>
      </c>
      <c r="M2227" s="2" t="str">
        <f>HYPERLINK("https://files.afu.se/Downloads/Transcripts/0%20-%20Government/USA%20-%20NASA%20Johnson/2013 06 27 - NASA Johnson - Space Station Live  A Talk With Pam Melroy_Uw5jCvDOT6s - transcript (automated).pdf","Transcript Link")</f>
        <v>Transcript Link</v>
      </c>
    </row>
    <row r="2228" ht="180" spans="1:13">
      <c r="A2228" s="1" t="s">
        <v>9765</v>
      </c>
      <c r="B2228" s="1" t="s">
        <v>13</v>
      </c>
      <c r="C2228" s="4" t="s">
        <v>9766</v>
      </c>
      <c r="D2228" s="1" t="s">
        <v>9767</v>
      </c>
      <c r="E2228" s="1" t="s">
        <v>9768</v>
      </c>
      <c r="F2228" s="4" t="s">
        <v>17</v>
      </c>
      <c r="G2228" s="1" t="s">
        <v>18</v>
      </c>
      <c r="H2228" s="1" t="s">
        <v>19</v>
      </c>
      <c r="I2228" s="1" t="s">
        <v>20</v>
      </c>
      <c r="J2228" s="1" t="s">
        <v>9769</v>
      </c>
      <c r="K2228" s="1" t="s">
        <v>22</v>
      </c>
      <c r="L2228" s="1" t="str">
        <f>HYPERLINK("https://files.afu.se/Downloads/Transcripts/0%20-%20Government/USA%20-%20NASA%20Johnson/2013 06 26 - NASA Johnson - Space Station Live  June 26, 2013_8hknLY6dHwU - transcript (automated).pdf","Transcript Link")</f>
        <v>Transcript Link</v>
      </c>
      <c r="M2228" s="2" t="str">
        <f>HYPERLINK("https://files.afu.se/Downloads/Transcripts/0%20-%20Government/USA%20-%20NASA%20Johnson/2013 06 26 - NASA Johnson - Space Station Live  June 26, 2013_8hknLY6dHwU - transcript (automated).pdf","Transcript Link")</f>
        <v>Transcript Link</v>
      </c>
    </row>
    <row r="2229" ht="180" spans="1:13">
      <c r="A2229" s="1" t="s">
        <v>9765</v>
      </c>
      <c r="B2229" s="1" t="s">
        <v>13</v>
      </c>
      <c r="C2229" s="4" t="s">
        <v>9770</v>
      </c>
      <c r="D2229" s="1" t="s">
        <v>9771</v>
      </c>
      <c r="E2229" s="1" t="s">
        <v>9772</v>
      </c>
      <c r="F2229" s="4" t="s">
        <v>17</v>
      </c>
      <c r="G2229" s="1" t="s">
        <v>18</v>
      </c>
      <c r="H2229" s="1" t="s">
        <v>19</v>
      </c>
      <c r="I2229" s="1" t="s">
        <v>20</v>
      </c>
      <c r="J2229" s="1" t="s">
        <v>9773</v>
      </c>
      <c r="K2229" s="1" t="s">
        <v>22</v>
      </c>
      <c r="L2229" s="1" t="str">
        <f>HYPERLINK("https://files.afu.se/Downloads/Transcripts/0%20-%20Government/USA%20-%20NASA%20Johnson/2013 06 26 - NASA Johnson - Space Station Live  Camille Alleyne Talks Women in Science_PojPkuThNmI - transcript (automated).pdf","Transcript Link")</f>
        <v>Transcript Link</v>
      </c>
      <c r="M2229" s="2" t="str">
        <f>HYPERLINK("https://files.afu.se/Downloads/Transcripts/0%20-%20Government/USA%20-%20NASA%20Johnson/2013 06 26 - NASA Johnson - Space Station Live  Camille Alleyne Talks Women in Science_PojPkuThNmI - transcript (automated).pdf","Transcript Link")</f>
        <v>Transcript Link</v>
      </c>
    </row>
    <row r="2230" ht="180" spans="1:13">
      <c r="A2230" s="1" t="s">
        <v>9774</v>
      </c>
      <c r="B2230" s="1" t="s">
        <v>13</v>
      </c>
      <c r="C2230" s="4" t="s">
        <v>9775</v>
      </c>
      <c r="D2230" s="1" t="s">
        <v>9776</v>
      </c>
      <c r="E2230" s="1" t="s">
        <v>9777</v>
      </c>
      <c r="F2230" s="4" t="s">
        <v>17</v>
      </c>
      <c r="G2230" s="1" t="s">
        <v>18</v>
      </c>
      <c r="H2230" s="1" t="s">
        <v>19</v>
      </c>
      <c r="I2230" s="1" t="s">
        <v>20</v>
      </c>
      <c r="J2230" s="1" t="s">
        <v>9778</v>
      </c>
      <c r="K2230" s="1" t="s">
        <v>22</v>
      </c>
      <c r="L2230" s="1" t="str">
        <f>HYPERLINK("https://files.afu.se/Downloads/Transcripts/0%20-%20Government/USA%20-%20NASA%20Johnson/2013 06 25 - NASA Johnson - Space Station Live  June 25, 2013_BOqkhbD9kaY - transcript (automated).pdf","Transcript Link")</f>
        <v>Transcript Link</v>
      </c>
      <c r="M2230" s="2" t="str">
        <f>HYPERLINK("https://files.afu.se/Downloads/Transcripts/0%20-%20Government/USA%20-%20NASA%20Johnson/2013 06 25 - NASA Johnson - Space Station Live  June 25, 2013_BOqkhbD9kaY - transcript (automated).pdf","Transcript Link")</f>
        <v>Transcript Link</v>
      </c>
    </row>
    <row r="2231" ht="180" spans="1:13">
      <c r="A2231" s="1" t="s">
        <v>9779</v>
      </c>
      <c r="B2231" s="1" t="s">
        <v>13</v>
      </c>
      <c r="C2231" s="4" t="s">
        <v>9780</v>
      </c>
      <c r="D2231" s="1" t="s">
        <v>9781</v>
      </c>
      <c r="E2231" s="1" t="s">
        <v>9782</v>
      </c>
      <c r="F2231" s="4" t="s">
        <v>17</v>
      </c>
      <c r="G2231" s="1" t="s">
        <v>18</v>
      </c>
      <c r="H2231" s="1" t="s">
        <v>19</v>
      </c>
      <c r="I2231" s="1" t="s">
        <v>20</v>
      </c>
      <c r="J2231" s="1" t="s">
        <v>9783</v>
      </c>
      <c r="K2231" s="1" t="s">
        <v>22</v>
      </c>
      <c r="L2231" s="1" t="str">
        <f>HYPERLINK("https://files.afu.se/Downloads/Transcripts/0%20-%20Government/USA%20-%20NASA%20Johnson/2013 06 24 - NASA Johnson - Preview of June 24 Spacewalk_iNyh2HQ9-RM - transcript (automated).pdf","Transcript Link")</f>
        <v>Transcript Link</v>
      </c>
      <c r="M2231" s="2" t="str">
        <f>HYPERLINK("https://files.afu.se/Downloads/Transcripts/0%20-%20Government/USA%20-%20NASA%20Johnson/2013 06 24 - NASA Johnson - Preview of June 24 Spacewalk_iNyh2HQ9-RM - transcript (automated).pdf","Transcript Link")</f>
        <v>Transcript Link</v>
      </c>
    </row>
    <row r="2232" ht="180" spans="1:13">
      <c r="A2232" s="1" t="s">
        <v>9784</v>
      </c>
      <c r="B2232" s="1" t="s">
        <v>13</v>
      </c>
      <c r="C2232" s="4" t="s">
        <v>9785</v>
      </c>
      <c r="D2232" s="1" t="s">
        <v>9786</v>
      </c>
      <c r="E2232" s="1" t="s">
        <v>9787</v>
      </c>
      <c r="F2232" s="4" t="s">
        <v>17</v>
      </c>
      <c r="G2232" s="1" t="s">
        <v>18</v>
      </c>
      <c r="H2232" s="1" t="s">
        <v>19</v>
      </c>
      <c r="I2232" s="1" t="s">
        <v>20</v>
      </c>
      <c r="J2232" s="1" t="s">
        <v>9788</v>
      </c>
      <c r="K2232" s="1" t="s">
        <v>22</v>
      </c>
      <c r="L2232" s="1" t="str">
        <f>HYPERLINK("https://files.afu.se/Downloads/Transcripts/0%20-%20Government/USA%20-%20NASA%20Johnson/2013 06 21 - NASA Johnson - Space Station Live  Russian Spacewalk_G7gZ_GEvFcw - transcript (automated).pdf","Transcript Link")</f>
        <v>Transcript Link</v>
      </c>
      <c r="M2232" s="2" t="str">
        <f>HYPERLINK("https://files.afu.se/Downloads/Transcripts/0%20-%20Government/USA%20-%20NASA%20Johnson/2013 06 21 - NASA Johnson - Space Station Live  Russian Spacewalk_G7gZ_GEvFcw - transcript (automated).pdf","Transcript Link")</f>
        <v>Transcript Link</v>
      </c>
    </row>
    <row r="2233" ht="180" spans="1:13">
      <c r="A2233" s="1" t="s">
        <v>9784</v>
      </c>
      <c r="B2233" s="1" t="s">
        <v>13</v>
      </c>
      <c r="C2233" s="4" t="s">
        <v>9789</v>
      </c>
      <c r="D2233" s="1" t="s">
        <v>9790</v>
      </c>
      <c r="E2233" s="1" t="s">
        <v>9791</v>
      </c>
      <c r="F2233" s="4" t="s">
        <v>17</v>
      </c>
      <c r="G2233" s="1" t="s">
        <v>18</v>
      </c>
      <c r="H2233" s="1" t="s">
        <v>19</v>
      </c>
      <c r="I2233" s="1" t="s">
        <v>20</v>
      </c>
      <c r="J2233" s="1" t="s">
        <v>9792</v>
      </c>
      <c r="K2233" s="1" t="s">
        <v>22</v>
      </c>
      <c r="L2233" s="1" t="str">
        <f>HYPERLINK("https://files.afu.se/Downloads/Transcripts/0%20-%20Government/USA%20-%20NASA%20Johnson/2013 06 21 - NASA Johnson - Space Station Live  June 21, 2013_SfA11ik646w - transcript (automated).pdf","Transcript Link")</f>
        <v>Transcript Link</v>
      </c>
      <c r="M2233" s="2" t="str">
        <f>HYPERLINK("https://files.afu.se/Downloads/Transcripts/0%20-%20Government/USA%20-%20NASA%20Johnson/2013 06 21 - NASA Johnson - Space Station Live  June 21, 2013_SfA11ik646w - transcript (automated).pdf","Transcript Link")</f>
        <v>Transcript Link</v>
      </c>
    </row>
    <row r="2234" ht="180" spans="1:13">
      <c r="A2234" s="1" t="s">
        <v>9793</v>
      </c>
      <c r="B2234" s="1" t="s">
        <v>13</v>
      </c>
      <c r="C2234" s="4" t="s">
        <v>9794</v>
      </c>
      <c r="D2234" s="1" t="s">
        <v>9795</v>
      </c>
      <c r="E2234" s="1" t="s">
        <v>9796</v>
      </c>
      <c r="F2234" s="4" t="s">
        <v>17</v>
      </c>
      <c r="G2234" s="1" t="s">
        <v>18</v>
      </c>
      <c r="H2234" s="1" t="s">
        <v>19</v>
      </c>
      <c r="I2234" s="1" t="s">
        <v>20</v>
      </c>
      <c r="J2234" s="1" t="s">
        <v>9797</v>
      </c>
      <c r="K2234" s="1" t="s">
        <v>22</v>
      </c>
      <c r="L2234" s="1" t="str">
        <f>HYPERLINK("https://files.afu.se/Downloads/Transcripts/0%20-%20Government/USA%20-%20NASA%20Johnson/2013 06 20 - NASA Johnson - Space Station Live  Orion Spacesuits with Dustin Gohmert_Uvn3BM7aOeY - transcript (automated).pdf","Transcript Link")</f>
        <v>Transcript Link</v>
      </c>
      <c r="M2234" s="2" t="str">
        <f>HYPERLINK("https://files.afu.se/Downloads/Transcripts/0%20-%20Government/USA%20-%20NASA%20Johnson/2013 06 20 - NASA Johnson - Space Station Live  Orion Spacesuits with Dustin Gohmert_Uvn3BM7aOeY - transcript (automated).pdf","Transcript Link")</f>
        <v>Transcript Link</v>
      </c>
    </row>
    <row r="2235" ht="180" spans="1:13">
      <c r="A2235" s="1" t="s">
        <v>9793</v>
      </c>
      <c r="B2235" s="1" t="s">
        <v>13</v>
      </c>
      <c r="C2235" s="4" t="s">
        <v>9798</v>
      </c>
      <c r="D2235" s="1" t="s">
        <v>9799</v>
      </c>
      <c r="E2235" s="1" t="s">
        <v>9800</v>
      </c>
      <c r="F2235" s="4" t="s">
        <v>17</v>
      </c>
      <c r="G2235" s="1" t="s">
        <v>18</v>
      </c>
      <c r="H2235" s="1" t="s">
        <v>19</v>
      </c>
      <c r="I2235" s="1" t="s">
        <v>20</v>
      </c>
      <c r="J2235" s="1" t="s">
        <v>9801</v>
      </c>
      <c r="K2235" s="1" t="s">
        <v>22</v>
      </c>
      <c r="L2235" s="1" t="str">
        <f>HYPERLINK("https://files.afu.se/Downloads/Transcripts/0%20-%20Government/USA%20-%20NASA%20Johnson/2013 06 20 - NASA Johnson - JSC honors the legacy of Neil Armstrong_apP0kVLlpGA - transcript (automated).pdf","Transcript Link")</f>
        <v>Transcript Link</v>
      </c>
      <c r="M2235" s="2" t="str">
        <f>HYPERLINK("https://files.afu.se/Downloads/Transcripts/0%20-%20Government/USA%20-%20NASA%20Johnson/2013 06 20 - NASA Johnson - JSC honors the legacy of Neil Armstrong_apP0kVLlpGA - transcript (automated).pdf","Transcript Link")</f>
        <v>Transcript Link</v>
      </c>
    </row>
    <row r="2236" ht="180" spans="1:13">
      <c r="A2236" s="1" t="s">
        <v>9802</v>
      </c>
      <c r="B2236" s="1" t="s">
        <v>13</v>
      </c>
      <c r="C2236" s="4" t="s">
        <v>9803</v>
      </c>
      <c r="D2236" s="1" t="s">
        <v>9804</v>
      </c>
      <c r="E2236" s="1" t="s">
        <v>9805</v>
      </c>
      <c r="F2236" s="4" t="s">
        <v>17</v>
      </c>
      <c r="G2236" s="1" t="s">
        <v>18</v>
      </c>
      <c r="H2236" s="1" t="s">
        <v>19</v>
      </c>
      <c r="I2236" s="1" t="s">
        <v>20</v>
      </c>
      <c r="J2236" s="1" t="s">
        <v>9806</v>
      </c>
      <c r="K2236" s="1" t="s">
        <v>22</v>
      </c>
      <c r="L2236" s="1" t="str">
        <f>HYPERLINK("https://files.afu.se/Downloads/Transcripts/0%20-%20Government/USA%20-%20NASA%20Johnson/2013 06 19 - NASA Johnson - Students Speak with CRONUS Flight Controller_7mkIOnuFZmI - transcript (automated).pdf","Transcript Link")</f>
        <v>Transcript Link</v>
      </c>
      <c r="M2236" s="2" t="str">
        <f>HYPERLINK("https://files.afu.se/Downloads/Transcripts/0%20-%20Government/USA%20-%20NASA%20Johnson/2013 06 19 - NASA Johnson - Students Speak with CRONUS Flight Controller_7mkIOnuFZmI - transcript (automated).pdf","Transcript Link")</f>
        <v>Transcript Link</v>
      </c>
    </row>
    <row r="2237" ht="180" spans="1:13">
      <c r="A2237" s="1" t="s">
        <v>9802</v>
      </c>
      <c r="B2237" s="1" t="s">
        <v>13</v>
      </c>
      <c r="C2237" s="4" t="s">
        <v>9807</v>
      </c>
      <c r="D2237" s="1" t="s">
        <v>9808</v>
      </c>
      <c r="E2237" s="1" t="s">
        <v>9809</v>
      </c>
      <c r="F2237" s="4" t="s">
        <v>17</v>
      </c>
      <c r="G2237" s="1" t="s">
        <v>18</v>
      </c>
      <c r="H2237" s="1" t="s">
        <v>19</v>
      </c>
      <c r="I2237" s="1" t="s">
        <v>20</v>
      </c>
      <c r="J2237" s="1" t="s">
        <v>9810</v>
      </c>
      <c r="K2237" s="1" t="s">
        <v>22</v>
      </c>
      <c r="L2237" s="1" t="str">
        <f>HYPERLINK("https://files.afu.se/Downloads/Transcripts/0%20-%20Government/USA%20-%20NASA%20Johnson/2013 06 19 - NASA Johnson - In Their Own Words  Andrew Morgan_FtrITG6r1us - transcript (automated).pdf","Transcript Link")</f>
        <v>Transcript Link</v>
      </c>
      <c r="M2237" s="2" t="str">
        <f>HYPERLINK("https://files.afu.se/Downloads/Transcripts/0%20-%20Government/USA%20-%20NASA%20Johnson/2013 06 19 - NASA Johnson - In Their Own Words  Andrew Morgan_FtrITG6r1us - transcript (automated).pdf","Transcript Link")</f>
        <v>Transcript Link</v>
      </c>
    </row>
    <row r="2238" ht="180" spans="1:13">
      <c r="A2238" s="1" t="s">
        <v>9802</v>
      </c>
      <c r="B2238" s="1" t="s">
        <v>13</v>
      </c>
      <c r="C2238" s="4" t="s">
        <v>9811</v>
      </c>
      <c r="D2238" s="1" t="s">
        <v>9812</v>
      </c>
      <c r="E2238" s="1" t="s">
        <v>9813</v>
      </c>
      <c r="F2238" s="4" t="s">
        <v>17</v>
      </c>
      <c r="G2238" s="1" t="s">
        <v>18</v>
      </c>
      <c r="H2238" s="1" t="s">
        <v>19</v>
      </c>
      <c r="I2238" s="1" t="s">
        <v>20</v>
      </c>
      <c r="J2238" s="1" t="s">
        <v>9814</v>
      </c>
      <c r="K2238" s="1" t="s">
        <v>22</v>
      </c>
      <c r="L2238" s="1" t="str">
        <f>HYPERLINK("https://files.afu.se/Downloads/Transcripts/0%20-%20Government/USA%20-%20NASA%20Johnson/2013 06 19 - NASA Johnson - In Their Own Words  Ann McClain_-YdGs3Ar0A4 - transcript (automated).pdf","Transcript Link")</f>
        <v>Transcript Link</v>
      </c>
      <c r="M2238" s="2" t="str">
        <f>HYPERLINK("https://files.afu.se/Downloads/Transcripts/0%20-%20Government/USA%20-%20NASA%20Johnson/2013 06 19 - NASA Johnson - In Their Own Words  Ann McClain_-YdGs3Ar0A4 - transcript (automated).pdf","Transcript Link")</f>
        <v>Transcript Link</v>
      </c>
    </row>
    <row r="2239" ht="180" spans="1:13">
      <c r="A2239" s="1" t="s">
        <v>9802</v>
      </c>
      <c r="B2239" s="1" t="s">
        <v>13</v>
      </c>
      <c r="C2239" s="4" t="s">
        <v>9815</v>
      </c>
      <c r="D2239" s="1" t="s">
        <v>9816</v>
      </c>
      <c r="E2239" s="1" t="s">
        <v>9817</v>
      </c>
      <c r="F2239" s="4" t="s">
        <v>17</v>
      </c>
      <c r="G2239" s="1" t="s">
        <v>18</v>
      </c>
      <c r="H2239" s="1" t="s">
        <v>19</v>
      </c>
      <c r="I2239" s="1" t="s">
        <v>20</v>
      </c>
      <c r="J2239" s="1" t="s">
        <v>9818</v>
      </c>
      <c r="K2239" s="1" t="s">
        <v>22</v>
      </c>
      <c r="L2239" s="1" t="str">
        <f>HYPERLINK("https://files.afu.se/Downloads/Transcripts/0%20-%20Government/USA%20-%20NASA%20Johnson/2013 06 19 - NASA Johnson - Space Station Live  Orion Cockpit Egress Testing with Jeff Fox_bZavu04AUsQ - transcript (automated).pdf","Transcript Link")</f>
        <v>Transcript Link</v>
      </c>
      <c r="M2239" s="2" t="str">
        <f>HYPERLINK("https://files.afu.se/Downloads/Transcripts/0%20-%20Government/USA%20-%20NASA%20Johnson/2013 06 19 - NASA Johnson - Space Station Live  Orion Cockpit Egress Testing with Jeff Fox_bZavu04AUsQ - transcript (automated).pdf","Transcript Link")</f>
        <v>Transcript Link</v>
      </c>
    </row>
    <row r="2240" ht="180" spans="1:13">
      <c r="A2240" s="1" t="s">
        <v>9802</v>
      </c>
      <c r="B2240" s="1" t="s">
        <v>13</v>
      </c>
      <c r="C2240" s="4" t="s">
        <v>9819</v>
      </c>
      <c r="D2240" s="1" t="s">
        <v>9820</v>
      </c>
      <c r="E2240" s="1" t="s">
        <v>9821</v>
      </c>
      <c r="F2240" s="4" t="s">
        <v>17</v>
      </c>
      <c r="G2240" s="1" t="s">
        <v>18</v>
      </c>
      <c r="H2240" s="1" t="s">
        <v>19</v>
      </c>
      <c r="I2240" s="1" t="s">
        <v>20</v>
      </c>
      <c r="J2240" s="1" t="s">
        <v>9822</v>
      </c>
      <c r="K2240" s="1" t="s">
        <v>22</v>
      </c>
      <c r="L2240" s="1" t="str">
        <f>HYPERLINK("https://files.afu.se/Downloads/Transcripts/0%20-%20Government/USA%20-%20NASA%20Johnson/2013 06 19 - NASA Johnson - Space Station Live  June 19, 2013_iw7HMrn4yjQ - transcript (automated).pdf","Transcript Link")</f>
        <v>Transcript Link</v>
      </c>
      <c r="M2240" s="2" t="str">
        <f>HYPERLINK("https://files.afu.se/Downloads/Transcripts/0%20-%20Government/USA%20-%20NASA%20Johnson/2013 06 19 - NASA Johnson - Space Station Live  June 19, 2013_iw7HMrn4yjQ - transcript (automated).pdf","Transcript Link")</f>
        <v>Transcript Link</v>
      </c>
    </row>
    <row r="2241" ht="180" spans="1:13">
      <c r="A2241" s="1" t="s">
        <v>9802</v>
      </c>
      <c r="B2241" s="1" t="s">
        <v>13</v>
      </c>
      <c r="C2241" s="4" t="s">
        <v>9823</v>
      </c>
      <c r="D2241" s="1" t="s">
        <v>9824</v>
      </c>
      <c r="E2241" s="1" t="s">
        <v>9825</v>
      </c>
      <c r="F2241" s="4" t="s">
        <v>17</v>
      </c>
      <c r="G2241" s="1" t="s">
        <v>18</v>
      </c>
      <c r="H2241" s="1" t="s">
        <v>19</v>
      </c>
      <c r="I2241" s="1" t="s">
        <v>20</v>
      </c>
      <c r="J2241" s="1" t="s">
        <v>9826</v>
      </c>
      <c r="K2241" s="1" t="s">
        <v>22</v>
      </c>
      <c r="L2241" s="1" t="str">
        <f>HYPERLINK("https://files.afu.se/Downloads/Transcripts/0%20-%20Government/USA%20-%20NASA%20Johnson/2013 06 19 - NASA Johnson - In Their Own Words  Jessica Meir_GjyDhbwLVIw - transcript (automated).pdf","Transcript Link")</f>
        <v>Transcript Link</v>
      </c>
      <c r="M2241" s="2" t="str">
        <f>HYPERLINK("https://files.afu.se/Downloads/Transcripts/0%20-%20Government/USA%20-%20NASA%20Johnson/2013 06 19 - NASA Johnson - In Their Own Words  Jessica Meir_GjyDhbwLVIw - transcript (automated).pdf","Transcript Link")</f>
        <v>Transcript Link</v>
      </c>
    </row>
    <row r="2242" ht="180" spans="1:13">
      <c r="A2242" s="1" t="s">
        <v>9802</v>
      </c>
      <c r="B2242" s="1" t="s">
        <v>13</v>
      </c>
      <c r="C2242" s="4" t="s">
        <v>9827</v>
      </c>
      <c r="D2242" s="1" t="s">
        <v>9828</v>
      </c>
      <c r="E2242" s="1" t="s">
        <v>9829</v>
      </c>
      <c r="F2242" s="4" t="s">
        <v>17</v>
      </c>
      <c r="G2242" s="1" t="s">
        <v>18</v>
      </c>
      <c r="H2242" s="1" t="s">
        <v>19</v>
      </c>
      <c r="I2242" s="1" t="s">
        <v>20</v>
      </c>
      <c r="J2242" s="1" t="s">
        <v>9830</v>
      </c>
      <c r="K2242" s="1" t="s">
        <v>22</v>
      </c>
      <c r="L2242" s="1" t="str">
        <f>HYPERLINK("https://files.afu.se/Downloads/Transcripts/0%20-%20Government/USA%20-%20NASA%20Johnson/2013 06 19 - NASA Johnson - In Their Own Words  Nicole Mann_B19-W1oCrlE - transcript (automated).pdf","Transcript Link")</f>
        <v>Transcript Link</v>
      </c>
      <c r="M2242" s="2" t="str">
        <f>HYPERLINK("https://files.afu.se/Downloads/Transcripts/0%20-%20Government/USA%20-%20NASA%20Johnson/2013 06 19 - NASA Johnson - In Their Own Words  Nicole Mann_B19-W1oCrlE - transcript (automated).pdf","Transcript Link")</f>
        <v>Transcript Link</v>
      </c>
    </row>
    <row r="2243" ht="180" spans="1:13">
      <c r="A2243" s="1" t="s">
        <v>9802</v>
      </c>
      <c r="B2243" s="1" t="s">
        <v>13</v>
      </c>
      <c r="C2243" s="4" t="s">
        <v>9831</v>
      </c>
      <c r="D2243" s="1" t="s">
        <v>9832</v>
      </c>
      <c r="E2243" s="1" t="s">
        <v>9833</v>
      </c>
      <c r="F2243" s="4" t="s">
        <v>17</v>
      </c>
      <c r="G2243" s="1" t="s">
        <v>18</v>
      </c>
      <c r="H2243" s="1" t="s">
        <v>19</v>
      </c>
      <c r="I2243" s="1" t="s">
        <v>20</v>
      </c>
      <c r="J2243" s="1" t="s">
        <v>9834</v>
      </c>
      <c r="K2243" s="1" t="s">
        <v>22</v>
      </c>
      <c r="L2243" s="1" t="str">
        <f>HYPERLINK("https://files.afu.se/Downloads/Transcripts/0%20-%20Government/USA%20-%20NASA%20Johnson/2013 06 19 - NASA Johnson - In Their Own Words  Christina Hammock Koch_MvEVkd1T9ss - transcript (automated).pdf","Transcript Link")</f>
        <v>Transcript Link</v>
      </c>
      <c r="M2243" s="2" t="str">
        <f>HYPERLINK("https://files.afu.se/Downloads/Transcripts/0%20-%20Government/USA%20-%20NASA%20Johnson/2013 06 19 - NASA Johnson - In Their Own Words  Christina Hammock Koch_MvEVkd1T9ss - transcript (automated).pdf","Transcript Link")</f>
        <v>Transcript Link</v>
      </c>
    </row>
    <row r="2244" ht="180" spans="1:13">
      <c r="A2244" s="1" t="s">
        <v>9802</v>
      </c>
      <c r="B2244" s="1" t="s">
        <v>13</v>
      </c>
      <c r="C2244" s="4" t="s">
        <v>9835</v>
      </c>
      <c r="D2244" s="1" t="s">
        <v>9836</v>
      </c>
      <c r="E2244" s="1" t="s">
        <v>9837</v>
      </c>
      <c r="F2244" s="4" t="s">
        <v>17</v>
      </c>
      <c r="G2244" s="1" t="s">
        <v>18</v>
      </c>
      <c r="H2244" s="1" t="s">
        <v>19</v>
      </c>
      <c r="I2244" s="1" t="s">
        <v>20</v>
      </c>
      <c r="J2244" s="1" t="s">
        <v>9838</v>
      </c>
      <c r="K2244" s="1" t="s">
        <v>22</v>
      </c>
      <c r="L2244" s="1" t="str">
        <f>HYPERLINK("https://files.afu.se/Downloads/Transcripts/0%20-%20Government/USA%20-%20NASA%20Johnson/2013 06 19 - NASA Johnson - In Their Own Words  Tyler Nick Hague_rof6fV7JbqI - transcript (automated).pdf","Transcript Link")</f>
        <v>Transcript Link</v>
      </c>
      <c r="M2244" s="2" t="str">
        <f>HYPERLINK("https://files.afu.se/Downloads/Transcripts/0%20-%20Government/USA%20-%20NASA%20Johnson/2013 06 19 - NASA Johnson - In Their Own Words  Tyler Nick Hague_rof6fV7JbqI - transcript (automated).pdf","Transcript Link")</f>
        <v>Transcript Link</v>
      </c>
    </row>
    <row r="2245" ht="180" spans="1:13">
      <c r="A2245" s="1" t="s">
        <v>9802</v>
      </c>
      <c r="B2245" s="1" t="s">
        <v>13</v>
      </c>
      <c r="C2245" s="4" t="s">
        <v>9839</v>
      </c>
      <c r="D2245" s="1" t="s">
        <v>9840</v>
      </c>
      <c r="E2245" s="1" t="s">
        <v>9841</v>
      </c>
      <c r="F2245" s="4" t="s">
        <v>17</v>
      </c>
      <c r="G2245" s="1" t="s">
        <v>18</v>
      </c>
      <c r="H2245" s="1" t="s">
        <v>19</v>
      </c>
      <c r="I2245" s="1" t="s">
        <v>20</v>
      </c>
      <c r="J2245" s="1" t="s">
        <v>9842</v>
      </c>
      <c r="K2245" s="1" t="s">
        <v>22</v>
      </c>
      <c r="L2245" s="1" t="str">
        <f>HYPERLINK("https://files.afu.se/Downloads/Transcripts/0%20-%20Government/USA%20-%20NASA%20Johnson/2013 06 19 - NASA Johnson - In Their Own Words  Victor Glover_JyAvVKxR8Ac - transcript (automated).pdf","Transcript Link")</f>
        <v>Transcript Link</v>
      </c>
      <c r="M2245" s="2" t="str">
        <f>HYPERLINK("https://files.afu.se/Downloads/Transcripts/0%20-%20Government/USA%20-%20NASA%20Johnson/2013 06 19 - NASA Johnson - In Their Own Words  Victor Glover_JyAvVKxR8Ac - transcript (automated).pdf","Transcript Link")</f>
        <v>Transcript Link</v>
      </c>
    </row>
    <row r="2246" ht="180" spans="1:13">
      <c r="A2246" s="1" t="s">
        <v>9802</v>
      </c>
      <c r="B2246" s="1" t="s">
        <v>13</v>
      </c>
      <c r="C2246" s="4" t="s">
        <v>9843</v>
      </c>
      <c r="D2246" s="1" t="s">
        <v>9844</v>
      </c>
      <c r="E2246" s="1" t="s">
        <v>9845</v>
      </c>
      <c r="F2246" s="4" t="s">
        <v>17</v>
      </c>
      <c r="G2246" s="1" t="s">
        <v>18</v>
      </c>
      <c r="H2246" s="1" t="s">
        <v>19</v>
      </c>
      <c r="I2246" s="1" t="s">
        <v>20</v>
      </c>
      <c r="J2246" s="1" t="s">
        <v>9846</v>
      </c>
      <c r="K2246" s="1" t="s">
        <v>22</v>
      </c>
      <c r="L2246" s="1" t="str">
        <f>HYPERLINK("https://files.afu.se/Downloads/Transcripts/0%20-%20Government/USA%20-%20NASA%20Johnson/2013 06 19 - NASA Johnson - In Their Own Words  Josh Cassada_rqRcPAlc6no - transcript (automated).pdf","Transcript Link")</f>
        <v>Transcript Link</v>
      </c>
      <c r="M2246" s="2" t="str">
        <f>HYPERLINK("https://files.afu.se/Downloads/Transcripts/0%20-%20Government/USA%20-%20NASA%20Johnson/2013 06 19 - NASA Johnson - In Their Own Words  Josh Cassada_rqRcPAlc6no - transcript (automated).pdf","Transcript Link")</f>
        <v>Transcript Link</v>
      </c>
    </row>
    <row r="2247" ht="180" spans="1:13">
      <c r="A2247" s="1" t="s">
        <v>9802</v>
      </c>
      <c r="B2247" s="1" t="s">
        <v>13</v>
      </c>
      <c r="C2247" s="4" t="s">
        <v>9847</v>
      </c>
      <c r="D2247" s="1" t="s">
        <v>9848</v>
      </c>
      <c r="E2247" s="1" t="s">
        <v>9849</v>
      </c>
      <c r="F2247" s="4" t="s">
        <v>17</v>
      </c>
      <c r="G2247" s="1" t="s">
        <v>18</v>
      </c>
      <c r="H2247" s="1" t="s">
        <v>19</v>
      </c>
      <c r="I2247" s="1" t="s">
        <v>20</v>
      </c>
      <c r="J2247" s="1" t="s">
        <v>9850</v>
      </c>
      <c r="K2247" s="1" t="s">
        <v>22</v>
      </c>
      <c r="L2247" s="1" t="str">
        <f>HYPERLINK("https://files.afu.se/Downloads/Transcripts/0%20-%20Government/USA%20-%20NASA%20Johnson/2013 06 19 - NASA Johnson - Slideshow  2013 NASA Astronaut Candidate Andrew Morgan_13U-3etjMY0 - transcript (automated).pdf","Transcript Link")</f>
        <v>Transcript Link</v>
      </c>
      <c r="M2247" s="2" t="str">
        <f>HYPERLINK("https://files.afu.se/Downloads/Transcripts/0%20-%20Government/USA%20-%20NASA%20Johnson/2013 06 19 - NASA Johnson - Slideshow  2013 NASA Astronaut Candidate Andrew Morgan_13U-3etjMY0 - transcript (automated).pdf","Transcript Link")</f>
        <v>Transcript Link</v>
      </c>
    </row>
    <row r="2248" ht="180" spans="1:13">
      <c r="A2248" s="1" t="s">
        <v>9802</v>
      </c>
      <c r="B2248" s="1" t="s">
        <v>13</v>
      </c>
      <c r="C2248" s="4" t="s">
        <v>9851</v>
      </c>
      <c r="D2248" s="1" t="s">
        <v>9852</v>
      </c>
      <c r="E2248" s="1" t="s">
        <v>9849</v>
      </c>
      <c r="F2248" s="4" t="s">
        <v>17</v>
      </c>
      <c r="G2248" s="1" t="s">
        <v>18</v>
      </c>
      <c r="H2248" s="1" t="s">
        <v>19</v>
      </c>
      <c r="I2248" s="1" t="s">
        <v>20</v>
      </c>
      <c r="J2248" s="1" t="s">
        <v>9853</v>
      </c>
      <c r="K2248" s="1" t="s">
        <v>22</v>
      </c>
      <c r="L2248" s="1" t="str">
        <f>HYPERLINK("https://files.afu.se/Downloads/Transcripts/0%20-%20Government/USA%20-%20NASA%20Johnson/2013 06 19 - NASA Johnson - Slideshow  2013 NASA Astronaut Candidate Jessica Meir_-LdHmDXyeQ8 - transcript (automated).pdf","Transcript Link")</f>
        <v>Transcript Link</v>
      </c>
      <c r="M2248" s="2" t="str">
        <f>HYPERLINK("https://files.afu.se/Downloads/Transcripts/0%20-%20Government/USA%20-%20NASA%20Johnson/2013 06 19 - NASA Johnson - Slideshow  2013 NASA Astronaut Candidate Jessica Meir_-LdHmDXyeQ8 - transcript (automated).pdf","Transcript Link")</f>
        <v>Transcript Link</v>
      </c>
    </row>
    <row r="2249" ht="180" spans="1:13">
      <c r="A2249" s="1" t="s">
        <v>9802</v>
      </c>
      <c r="B2249" s="1" t="s">
        <v>13</v>
      </c>
      <c r="C2249" s="4" t="s">
        <v>9854</v>
      </c>
      <c r="D2249" s="1" t="s">
        <v>9855</v>
      </c>
      <c r="E2249" s="1" t="s">
        <v>9849</v>
      </c>
      <c r="F2249" s="4" t="s">
        <v>17</v>
      </c>
      <c r="G2249" s="1" t="s">
        <v>18</v>
      </c>
      <c r="H2249" s="1" t="s">
        <v>19</v>
      </c>
      <c r="I2249" s="1" t="s">
        <v>20</v>
      </c>
      <c r="J2249" s="1" t="s">
        <v>9856</v>
      </c>
      <c r="K2249" s="1" t="s">
        <v>22</v>
      </c>
      <c r="L2249" s="1" t="str">
        <f>HYPERLINK("https://files.afu.se/Downloads/Transcripts/0%20-%20Government/USA%20-%20NASA%20Johnson/2013 06 19 - NASA Johnson - Slideshow  2013 NASA Astronaut Candidate Anne McClain_B-0uhbDej7M - transcript (automated).pdf","Transcript Link")</f>
        <v>Transcript Link</v>
      </c>
      <c r="M2249" s="2" t="str">
        <f>HYPERLINK("https://files.afu.se/Downloads/Transcripts/0%20-%20Government/USA%20-%20NASA%20Johnson/2013 06 19 - NASA Johnson - Slideshow  2013 NASA Astronaut Candidate Anne McClain_B-0uhbDej7M - transcript (automated).pdf","Transcript Link")</f>
        <v>Transcript Link</v>
      </c>
    </row>
    <row r="2250" ht="180" spans="1:13">
      <c r="A2250" s="1" t="s">
        <v>9802</v>
      </c>
      <c r="B2250" s="1" t="s">
        <v>13</v>
      </c>
      <c r="C2250" s="4" t="s">
        <v>9857</v>
      </c>
      <c r="D2250" s="1" t="s">
        <v>9858</v>
      </c>
      <c r="E2250" s="1" t="s">
        <v>9849</v>
      </c>
      <c r="F2250" s="4" t="s">
        <v>17</v>
      </c>
      <c r="G2250" s="1" t="s">
        <v>18</v>
      </c>
      <c r="H2250" s="1" t="s">
        <v>19</v>
      </c>
      <c r="I2250" s="1" t="s">
        <v>20</v>
      </c>
      <c r="J2250" s="1" t="s">
        <v>9859</v>
      </c>
      <c r="K2250" s="1" t="s">
        <v>22</v>
      </c>
      <c r="L2250" s="1" t="str">
        <f>HYPERLINK("https://files.afu.se/Downloads/Transcripts/0%20-%20Government/USA%20-%20NASA%20Johnson/2013 06 19 - NASA Johnson - Slideshow  2013 NASA Astronaut Candidate Nicole Mann_FqePoACqnuA - transcript (automated).pdf","Transcript Link")</f>
        <v>Transcript Link</v>
      </c>
      <c r="M2250" s="2" t="str">
        <f>HYPERLINK("https://files.afu.se/Downloads/Transcripts/0%20-%20Government/USA%20-%20NASA%20Johnson/2013 06 19 - NASA Johnson - Slideshow  2013 NASA Astronaut Candidate Nicole Mann_FqePoACqnuA - transcript (automated).pdf","Transcript Link")</f>
        <v>Transcript Link</v>
      </c>
    </row>
    <row r="2251" ht="180" spans="1:13">
      <c r="A2251" s="1" t="s">
        <v>9802</v>
      </c>
      <c r="B2251" s="1" t="s">
        <v>13</v>
      </c>
      <c r="C2251" s="4" t="s">
        <v>9860</v>
      </c>
      <c r="D2251" s="1" t="s">
        <v>9861</v>
      </c>
      <c r="E2251" s="1" t="s">
        <v>9849</v>
      </c>
      <c r="F2251" s="4" t="s">
        <v>17</v>
      </c>
      <c r="G2251" s="1" t="s">
        <v>18</v>
      </c>
      <c r="H2251" s="1" t="s">
        <v>19</v>
      </c>
      <c r="I2251" s="1" t="s">
        <v>20</v>
      </c>
      <c r="J2251" s="1" t="s">
        <v>9862</v>
      </c>
      <c r="K2251" s="1" t="s">
        <v>22</v>
      </c>
      <c r="L2251" s="1" t="str">
        <f>HYPERLINK("https://files.afu.se/Downloads/Transcripts/0%20-%20Government/USA%20-%20NASA%20Johnson/2013 06 19 - NASA Johnson - Slideshow  2013 NASA Astronaut Candidate Christina Hammock Koch_pkWb7tHmm2s - transcript (automated).pdf","Transcript Link")</f>
        <v>Transcript Link</v>
      </c>
      <c r="M2251" s="2" t="str">
        <f>HYPERLINK("https://files.afu.se/Downloads/Transcripts/0%20-%20Government/USA%20-%20NASA%20Johnson/2013 06 19 - NASA Johnson - Slideshow  2013 NASA Astronaut Candidate Christina Hammock Koch_pkWb7tHmm2s - transcript (automated).pdf","Transcript Link")</f>
        <v>Transcript Link</v>
      </c>
    </row>
    <row r="2252" ht="180" spans="1:13">
      <c r="A2252" s="1" t="s">
        <v>9802</v>
      </c>
      <c r="B2252" s="1" t="s">
        <v>13</v>
      </c>
      <c r="C2252" s="4" t="s">
        <v>9863</v>
      </c>
      <c r="D2252" s="1" t="s">
        <v>9864</v>
      </c>
      <c r="E2252" s="1" t="s">
        <v>9849</v>
      </c>
      <c r="F2252" s="4" t="s">
        <v>17</v>
      </c>
      <c r="G2252" s="1" t="s">
        <v>18</v>
      </c>
      <c r="H2252" s="1" t="s">
        <v>19</v>
      </c>
      <c r="I2252" s="1" t="s">
        <v>20</v>
      </c>
      <c r="J2252" s="1" t="s">
        <v>9865</v>
      </c>
      <c r="K2252" s="1" t="s">
        <v>22</v>
      </c>
      <c r="L2252" s="1" t="str">
        <f>HYPERLINK("https://files.afu.se/Downloads/Transcripts/0%20-%20Government/USA%20-%20NASA%20Johnson/2013 06 19 - NASA Johnson - Slideshow  2013 NASA Astronaut Candidate Tyler N. (Nick) Hague__F5LAxgmvGs - transcript (automated).pdf","Transcript Link")</f>
        <v>Transcript Link</v>
      </c>
      <c r="M2252" s="2" t="str">
        <f>HYPERLINK("https://files.afu.se/Downloads/Transcripts/0%20-%20Government/USA%20-%20NASA%20Johnson/2013 06 19 - NASA Johnson - Slideshow  2013 NASA Astronaut Candidate Tyler N. (Nick) Hague__F5LAxgmvGs - transcript (automated).pdf","Transcript Link")</f>
        <v>Transcript Link</v>
      </c>
    </row>
    <row r="2253" ht="180" spans="1:13">
      <c r="A2253" s="1" t="s">
        <v>9802</v>
      </c>
      <c r="B2253" s="1" t="s">
        <v>13</v>
      </c>
      <c r="C2253" s="4" t="s">
        <v>9866</v>
      </c>
      <c r="D2253" s="1" t="s">
        <v>9867</v>
      </c>
      <c r="E2253" s="1" t="s">
        <v>9849</v>
      </c>
      <c r="F2253" s="4" t="s">
        <v>17</v>
      </c>
      <c r="G2253" s="1" t="s">
        <v>18</v>
      </c>
      <c r="H2253" s="1" t="s">
        <v>19</v>
      </c>
      <c r="I2253" s="1" t="s">
        <v>20</v>
      </c>
      <c r="J2253" s="1" t="s">
        <v>9868</v>
      </c>
      <c r="K2253" s="1" t="s">
        <v>22</v>
      </c>
      <c r="L2253" s="1" t="str">
        <f>HYPERLINK("https://files.afu.se/Downloads/Transcripts/0%20-%20Government/USA%20-%20NASA%20Johnson/2013 06 19 - NASA Johnson - Slideshow  2013 NASA Astronaut Candidate John Cassada_RI-dNUGNMSY - transcript (automated).pdf","Transcript Link")</f>
        <v>Transcript Link</v>
      </c>
      <c r="M2253" s="2" t="str">
        <f>HYPERLINK("https://files.afu.se/Downloads/Transcripts/0%20-%20Government/USA%20-%20NASA%20Johnson/2013 06 19 - NASA Johnson - Slideshow  2013 NASA Astronaut Candidate John Cassada_RI-dNUGNMSY - transcript (automated).pdf","Transcript Link")</f>
        <v>Transcript Link</v>
      </c>
    </row>
    <row r="2254" ht="180" spans="1:13">
      <c r="A2254" s="1" t="s">
        <v>9802</v>
      </c>
      <c r="B2254" s="1" t="s">
        <v>13</v>
      </c>
      <c r="C2254" s="4" t="s">
        <v>9869</v>
      </c>
      <c r="D2254" s="1" t="s">
        <v>9870</v>
      </c>
      <c r="E2254" s="1" t="s">
        <v>9849</v>
      </c>
      <c r="F2254" s="4" t="s">
        <v>17</v>
      </c>
      <c r="G2254" s="1" t="s">
        <v>18</v>
      </c>
      <c r="H2254" s="1" t="s">
        <v>19</v>
      </c>
      <c r="I2254" s="1" t="s">
        <v>20</v>
      </c>
      <c r="J2254" s="1" t="s">
        <v>9871</v>
      </c>
      <c r="K2254" s="1" t="s">
        <v>22</v>
      </c>
      <c r="L2254" s="1" t="str">
        <f>HYPERLINK("https://files.afu.se/Downloads/Transcripts/0%20-%20Government/USA%20-%20NASA%20Johnson/2013 06 19 - NASA Johnson - Slideshow  2013 NASA Astronaut Candidate Victor Glover_sjuMV7NfZFM - transcript (automated).pdf","Transcript Link")</f>
        <v>Transcript Link</v>
      </c>
      <c r="M2254" s="2" t="str">
        <f>HYPERLINK("https://files.afu.se/Downloads/Transcripts/0%20-%20Government/USA%20-%20NASA%20Johnson/2013 06 19 - NASA Johnson - Slideshow  2013 NASA Astronaut Candidate Victor Glover_sjuMV7NfZFM - transcript (automated).pdf","Transcript Link")</f>
        <v>Transcript Link</v>
      </c>
    </row>
    <row r="2255" ht="409.5" spans="1:13">
      <c r="A2255" s="1" t="s">
        <v>9872</v>
      </c>
      <c r="B2255" s="1" t="s">
        <v>13</v>
      </c>
      <c r="C2255" s="4" t="s">
        <v>9873</v>
      </c>
      <c r="D2255" s="1" t="s">
        <v>9874</v>
      </c>
      <c r="E2255" s="1" t="s">
        <v>9875</v>
      </c>
      <c r="F2255" s="4" t="s">
        <v>17</v>
      </c>
      <c r="G2255" s="1" t="s">
        <v>18</v>
      </c>
      <c r="H2255" s="1" t="s">
        <v>19</v>
      </c>
      <c r="I2255" s="1" t="s">
        <v>20</v>
      </c>
      <c r="J2255" s="1" t="s">
        <v>9876</v>
      </c>
      <c r="K2255" s="1" t="s">
        <v>22</v>
      </c>
      <c r="L2255" s="1" t="str">
        <f>HYPERLINK("https://files.afu.se/Downloads/Transcripts/0%20-%20Government/USA%20-%20NASA%20Johnson/2013 06 18 - NASA Johnson - Space Station Live  Robotics Operations with Ian Mills_iIc8WlhzlS0 - transcript (automated).pdf","Transcript Link")</f>
        <v>Transcript Link</v>
      </c>
      <c r="M2255" s="2" t="str">
        <f>HYPERLINK("https://files.afu.se/Downloads/Transcripts/0%20-%20Government/USA%20-%20NASA%20Johnson/2013 06 18 - NASA Johnson - Space Station Live  Robotics Operations with Ian Mills_iIc8WlhzlS0 - transcript (automated).pdf","Transcript Link")</f>
        <v>Transcript Link</v>
      </c>
    </row>
    <row r="2256" ht="180" spans="1:13">
      <c r="A2256" s="1" t="s">
        <v>9872</v>
      </c>
      <c r="B2256" s="1" t="s">
        <v>13</v>
      </c>
      <c r="C2256" s="4" t="s">
        <v>9877</v>
      </c>
      <c r="D2256" s="1" t="s">
        <v>9878</v>
      </c>
      <c r="E2256" s="1" t="s">
        <v>9879</v>
      </c>
      <c r="F2256" s="4" t="s">
        <v>17</v>
      </c>
      <c r="G2256" s="1" t="s">
        <v>18</v>
      </c>
      <c r="H2256" s="1" t="s">
        <v>19</v>
      </c>
      <c r="I2256" s="1" t="s">
        <v>20</v>
      </c>
      <c r="J2256" s="1" t="s">
        <v>9880</v>
      </c>
      <c r="K2256" s="1" t="s">
        <v>22</v>
      </c>
      <c r="L2256" s="1" t="str">
        <f>HYPERLINK("https://files.afu.se/Downloads/Transcripts/0%20-%20Government/USA%20-%20NASA%20Johnson/2013 06 18 - NASA Johnson - Space Station Live  June 18, 2013_X2IU9d5Nqtk - transcript (automated).pdf","Transcript Link")</f>
        <v>Transcript Link</v>
      </c>
      <c r="M2256" s="2" t="str">
        <f>HYPERLINK("https://files.afu.se/Downloads/Transcripts/0%20-%20Government/USA%20-%20NASA%20Johnson/2013 06 18 - NASA Johnson - Space Station Live  June 18, 2013_X2IU9d5Nqtk - transcript (automated).pdf","Transcript Link")</f>
        <v>Transcript Link</v>
      </c>
    </row>
    <row r="2257" ht="210" spans="1:13">
      <c r="A2257" s="1" t="s">
        <v>9881</v>
      </c>
      <c r="B2257" s="1" t="s">
        <v>13</v>
      </c>
      <c r="C2257" s="4" t="s">
        <v>9882</v>
      </c>
      <c r="D2257" s="1" t="s">
        <v>9883</v>
      </c>
      <c r="E2257" s="1" t="s">
        <v>9884</v>
      </c>
      <c r="F2257" s="4" t="s">
        <v>17</v>
      </c>
      <c r="G2257" s="1" t="s">
        <v>18</v>
      </c>
      <c r="H2257" s="1" t="s">
        <v>19</v>
      </c>
      <c r="I2257" s="1" t="s">
        <v>20</v>
      </c>
      <c r="J2257" s="1" t="s">
        <v>9885</v>
      </c>
      <c r="K2257" s="1" t="s">
        <v>22</v>
      </c>
      <c r="L2257" s="1" t="str">
        <f>HYPERLINK("https://files.afu.se/Downloads/Transcripts/0%20-%20Government/USA%20-%20NASA%20Johnson/2013 06 17 - NASA Johnson - Space Station Live  Announcing the 2013 Astronaut Class_Aj6HTM33pBY - transcript (automated).pdf","Transcript Link")</f>
        <v>Transcript Link</v>
      </c>
      <c r="M2257" s="2" t="str">
        <f>HYPERLINK("https://files.afu.se/Downloads/Transcripts/0%20-%20Government/USA%20-%20NASA%20Johnson/2013 06 17 - NASA Johnson - Space Station Live  Announcing the 2013 Astronaut Class_Aj6HTM33pBY - transcript (automated).pdf","Transcript Link")</f>
        <v>Transcript Link</v>
      </c>
    </row>
    <row r="2258" ht="180" spans="1:13">
      <c r="A2258" s="1" t="s">
        <v>9881</v>
      </c>
      <c r="B2258" s="1" t="s">
        <v>13</v>
      </c>
      <c r="C2258" s="4" t="s">
        <v>9886</v>
      </c>
      <c r="D2258" s="1" t="s">
        <v>9887</v>
      </c>
      <c r="E2258" s="1" t="s">
        <v>9888</v>
      </c>
      <c r="F2258" s="4" t="s">
        <v>17</v>
      </c>
      <c r="G2258" s="1" t="s">
        <v>18</v>
      </c>
      <c r="H2258" s="1" t="s">
        <v>19</v>
      </c>
      <c r="I2258" s="1" t="s">
        <v>20</v>
      </c>
      <c r="J2258" s="1" t="s">
        <v>9889</v>
      </c>
      <c r="K2258" s="1" t="s">
        <v>22</v>
      </c>
      <c r="L2258" s="1" t="str">
        <f>HYPERLINK("https://files.afu.se/Downloads/Transcripts/0%20-%20Government/USA%20-%20NASA%20Johnson/2013 06 17 - NASA Johnson - Space Station Live  Controlling a Rover from Space_zXEuaFnFCYk - transcript (automated).pdf","Transcript Link")</f>
        <v>Transcript Link</v>
      </c>
      <c r="M2258" s="2" t="str">
        <f>HYPERLINK("https://files.afu.se/Downloads/Transcripts/0%20-%20Government/USA%20-%20NASA%20Johnson/2013 06 17 - NASA Johnson - Space Station Live  Controlling a Rover from Space_zXEuaFnFCYk - transcript (automated).pdf","Transcript Link")</f>
        <v>Transcript Link</v>
      </c>
    </row>
    <row r="2259" ht="180" spans="1:13">
      <c r="A2259" s="1" t="s">
        <v>9881</v>
      </c>
      <c r="B2259" s="1" t="s">
        <v>13</v>
      </c>
      <c r="C2259" s="4" t="s">
        <v>9890</v>
      </c>
      <c r="D2259" s="1" t="s">
        <v>9891</v>
      </c>
      <c r="E2259" s="1" t="s">
        <v>9892</v>
      </c>
      <c r="F2259" s="4" t="s">
        <v>17</v>
      </c>
      <c r="G2259" s="1" t="s">
        <v>18</v>
      </c>
      <c r="H2259" s="1" t="s">
        <v>19</v>
      </c>
      <c r="I2259" s="1" t="s">
        <v>20</v>
      </c>
      <c r="J2259" s="1" t="s">
        <v>9893</v>
      </c>
      <c r="K2259" s="1" t="s">
        <v>22</v>
      </c>
      <c r="L2259" s="1" t="str">
        <f>HYPERLINK("https://files.afu.se/Downloads/Transcripts/0%20-%20Government/USA%20-%20NASA%20Johnson/2013 06 17 - NASA Johnson - Space Station Live  June 17, 2013_YJkvo_kQV5o - transcript (automated).pdf","Transcript Link")</f>
        <v>Transcript Link</v>
      </c>
      <c r="M2259" s="2" t="str">
        <f>HYPERLINK("https://files.afu.se/Downloads/Transcripts/0%20-%20Government/USA%20-%20NASA%20Johnson/2013 06 17 - NASA Johnson - Space Station Live  June 17, 2013_YJkvo_kQV5o - transcript (automated).pdf","Transcript Link")</f>
        <v>Transcript Link</v>
      </c>
    </row>
    <row r="2260" ht="180" spans="1:13">
      <c r="A2260" s="1" t="s">
        <v>9881</v>
      </c>
      <c r="B2260" s="1" t="s">
        <v>13</v>
      </c>
      <c r="C2260" s="4" t="s">
        <v>9894</v>
      </c>
      <c r="D2260" s="1" t="s">
        <v>9895</v>
      </c>
      <c r="E2260" s="1" t="s">
        <v>9896</v>
      </c>
      <c r="F2260" s="4" t="s">
        <v>17</v>
      </c>
      <c r="G2260" s="1" t="s">
        <v>18</v>
      </c>
      <c r="H2260" s="1" t="s">
        <v>19</v>
      </c>
      <c r="I2260" s="1" t="s">
        <v>20</v>
      </c>
      <c r="J2260" s="1" t="s">
        <v>9897</v>
      </c>
      <c r="K2260" s="1" t="s">
        <v>22</v>
      </c>
      <c r="L2260" s="1" t="str">
        <f>HYPERLINK("https://files.afu.se/Downloads/Transcripts/0%20-%20Government/USA%20-%20NASA%20Johnson/2013 06 17 - NASA Johnson - Morpheus Tether Test %2324_xKZXgRHXEhs - transcript (automated).pdf","Transcript Link")</f>
        <v>Transcript Link</v>
      </c>
      <c r="M2260" s="2" t="str">
        <f>HYPERLINK("https://files.afu.se/Downloads/Transcripts/0%20-%20Government/USA%20-%20NASA%20Johnson/2013 06 17 - NASA Johnson - Morpheus Tether Test %2324_xKZXgRHXEhs - transcript (automated).pdf","Transcript Link")</f>
        <v>Transcript Link</v>
      </c>
    </row>
    <row r="2261" ht="180" spans="1:13">
      <c r="A2261" s="1" t="s">
        <v>9898</v>
      </c>
      <c r="B2261" s="1" t="s">
        <v>13</v>
      </c>
      <c r="C2261" s="4" t="s">
        <v>9899</v>
      </c>
      <c r="D2261" s="1" t="s">
        <v>9900</v>
      </c>
      <c r="E2261" s="1" t="s">
        <v>9901</v>
      </c>
      <c r="F2261" s="4" t="s">
        <v>17</v>
      </c>
      <c r="G2261" s="1" t="s">
        <v>18</v>
      </c>
      <c r="H2261" s="1" t="s">
        <v>19</v>
      </c>
      <c r="I2261" s="1" t="s">
        <v>20</v>
      </c>
      <c r="J2261" s="1" t="s">
        <v>9902</v>
      </c>
      <c r="K2261" s="1" t="s">
        <v>22</v>
      </c>
      <c r="L2261" s="1" t="str">
        <f>HYPERLINK("https://files.afu.se/Downloads/Transcripts/0%20-%20Government/USA%20-%20NASA%20Johnson/2013 06 14 - NASA Johnson - Space Station Live  June 14, 2013_1y-W3H8titY - transcript (automated).pdf","Transcript Link")</f>
        <v>Transcript Link</v>
      </c>
      <c r="M2261" s="2" t="str">
        <f>HYPERLINK("https://files.afu.se/Downloads/Transcripts/0%20-%20Government/USA%20-%20NASA%20Johnson/2013 06 14 - NASA Johnson - Space Station Live  June 14, 2013_1y-W3H8titY - transcript (automated).pdf","Transcript Link")</f>
        <v>Transcript Link</v>
      </c>
    </row>
    <row r="2262" ht="180" spans="1:13">
      <c r="A2262" s="1" t="s">
        <v>9898</v>
      </c>
      <c r="B2262" s="1" t="s">
        <v>13</v>
      </c>
      <c r="C2262" s="4" t="s">
        <v>9903</v>
      </c>
      <c r="D2262" s="1" t="s">
        <v>9904</v>
      </c>
      <c r="E2262" s="1" t="s">
        <v>9905</v>
      </c>
      <c r="F2262" s="4" t="s">
        <v>17</v>
      </c>
      <c r="G2262" s="1" t="s">
        <v>18</v>
      </c>
      <c r="H2262" s="1" t="s">
        <v>19</v>
      </c>
      <c r="I2262" s="1" t="s">
        <v>20</v>
      </c>
      <c r="J2262" s="1" t="s">
        <v>9906</v>
      </c>
      <c r="K2262" s="1" t="s">
        <v>22</v>
      </c>
      <c r="L2262" s="1" t="str">
        <f>HYPERLINK("https://files.afu.se/Downloads/Transcripts/0%20-%20Government/USA%20-%20NASA%20Johnson/2013 06 14 - NASA Johnson - Karen Nyberg Honors the Flight of Valentina Tereshkova_bq76SzR_eEA - transcript (automated).pdf","Transcript Link")</f>
        <v>Transcript Link</v>
      </c>
      <c r="M2262" s="2" t="str">
        <f>HYPERLINK("https://files.afu.se/Downloads/Transcripts/0%20-%20Government/USA%20-%20NASA%20Johnson/2013 06 14 - NASA Johnson - Karen Nyberg Honors the Flight of Valentina Tereshkova_bq76SzR_eEA - transcript (automated).pdf","Transcript Link")</f>
        <v>Transcript Link</v>
      </c>
    </row>
    <row r="2263" ht="180" spans="1:13">
      <c r="A2263" s="1" t="s">
        <v>9907</v>
      </c>
      <c r="B2263" s="1" t="s">
        <v>13</v>
      </c>
      <c r="C2263" s="4" t="s">
        <v>9908</v>
      </c>
      <c r="D2263" s="1" t="s">
        <v>9909</v>
      </c>
      <c r="E2263" s="1" t="s">
        <v>9910</v>
      </c>
      <c r="F2263" s="4" t="s">
        <v>17</v>
      </c>
      <c r="G2263" s="1" t="s">
        <v>18</v>
      </c>
      <c r="H2263" s="1" t="s">
        <v>19</v>
      </c>
      <c r="I2263" s="1" t="s">
        <v>20</v>
      </c>
      <c r="J2263" s="1" t="s">
        <v>9911</v>
      </c>
      <c r="K2263" s="1" t="s">
        <v>22</v>
      </c>
      <c r="L2263" s="1" t="str">
        <f>HYPERLINK("https://files.afu.se/Downloads/Transcripts/0%20-%20Government/USA%20-%20NASA%20Johnson/2013 06 13 - NASA Johnson - Students Speak with WRS Manager Julie Mitchell_VLU12e49OZw - transcript (automated).pdf","Transcript Link")</f>
        <v>Transcript Link</v>
      </c>
      <c r="M2263" s="2" t="str">
        <f>HYPERLINK("https://files.afu.se/Downloads/Transcripts/0%20-%20Government/USA%20-%20NASA%20Johnson/2013 06 13 - NASA Johnson - Students Speak with WRS Manager Julie Mitchell_VLU12e49OZw - transcript (automated).pdf","Transcript Link")</f>
        <v>Transcript Link</v>
      </c>
    </row>
    <row r="2264" ht="180" spans="1:13">
      <c r="A2264" s="1" t="s">
        <v>9907</v>
      </c>
      <c r="B2264" s="1" t="s">
        <v>13</v>
      </c>
      <c r="C2264" s="4" t="s">
        <v>9912</v>
      </c>
      <c r="D2264" s="1" t="s">
        <v>9913</v>
      </c>
      <c r="E2264" s="1" t="s">
        <v>9914</v>
      </c>
      <c r="F2264" s="4" t="s">
        <v>17</v>
      </c>
      <c r="G2264" s="1" t="s">
        <v>18</v>
      </c>
      <c r="H2264" s="1" t="s">
        <v>19</v>
      </c>
      <c r="I2264" s="1" t="s">
        <v>20</v>
      </c>
      <c r="J2264" s="1" t="s">
        <v>9915</v>
      </c>
      <c r="K2264" s="1" t="s">
        <v>22</v>
      </c>
      <c r="L2264" s="1" t="str">
        <f>HYPERLINK("https://files.afu.se/Downloads/Transcripts/0%20-%20Government/USA%20-%20NASA%20Johnson/2013 06 13 - NASA Johnson - Space Station Live  Microbiome Experiment_NN_JUv2wTY8 - transcript (automated).pdf","Transcript Link")</f>
        <v>Transcript Link</v>
      </c>
      <c r="M2264" s="2" t="str">
        <f>HYPERLINK("https://files.afu.se/Downloads/Transcripts/0%20-%20Government/USA%20-%20NASA%20Johnson/2013 06 13 - NASA Johnson - Space Station Live  Microbiome Experiment_NN_JUv2wTY8 - transcript (automated).pdf","Transcript Link")</f>
        <v>Transcript Link</v>
      </c>
    </row>
    <row r="2265" ht="180" spans="1:13">
      <c r="A2265" s="1" t="s">
        <v>9907</v>
      </c>
      <c r="B2265" s="1" t="s">
        <v>13</v>
      </c>
      <c r="C2265" s="4" t="s">
        <v>9916</v>
      </c>
      <c r="D2265" s="1" t="s">
        <v>9917</v>
      </c>
      <c r="E2265" s="1" t="s">
        <v>9918</v>
      </c>
      <c r="F2265" s="4" t="s">
        <v>17</v>
      </c>
      <c r="G2265" s="1" t="s">
        <v>18</v>
      </c>
      <c r="H2265" s="1" t="s">
        <v>19</v>
      </c>
      <c r="I2265" s="1" t="s">
        <v>20</v>
      </c>
      <c r="J2265" s="1" t="s">
        <v>9919</v>
      </c>
      <c r="K2265" s="1" t="s">
        <v>22</v>
      </c>
      <c r="L2265" s="1" t="str">
        <f>HYPERLINK("https://files.afu.se/Downloads/Transcripts/0%20-%20Government/USA%20-%20NASA%20Johnson/2013 06 13 - NASA Johnson - Space Station Live  June 13, 2013_bLiPw-AvPUU - transcript (automated).pdf","Transcript Link")</f>
        <v>Transcript Link</v>
      </c>
      <c r="M2265" s="2" t="str">
        <f>HYPERLINK("https://files.afu.se/Downloads/Transcripts/0%20-%20Government/USA%20-%20NASA%20Johnson/2013 06 13 - NASA Johnson - Space Station Live  June 13, 2013_bLiPw-AvPUU - transcript (automated).pdf","Transcript Link")</f>
        <v>Transcript Link</v>
      </c>
    </row>
    <row r="2266" ht="180" spans="1:13">
      <c r="A2266" s="1" t="s">
        <v>9920</v>
      </c>
      <c r="B2266" s="1" t="s">
        <v>13</v>
      </c>
      <c r="C2266" s="4" t="s">
        <v>9921</v>
      </c>
      <c r="D2266" s="1" t="s">
        <v>9922</v>
      </c>
      <c r="E2266" s="1" t="s">
        <v>9923</v>
      </c>
      <c r="F2266" s="4" t="s">
        <v>17</v>
      </c>
      <c r="G2266" s="1" t="s">
        <v>18</v>
      </c>
      <c r="H2266" s="1" t="s">
        <v>19</v>
      </c>
      <c r="I2266" s="1" t="s">
        <v>20</v>
      </c>
      <c r="J2266" s="1" t="s">
        <v>9924</v>
      </c>
      <c r="K2266" s="1" t="s">
        <v>22</v>
      </c>
      <c r="L2266" s="1" t="str">
        <f>HYPERLINK("https://files.afu.se/Downloads/Transcripts/0%20-%20Government/USA%20-%20NASA%20Johnson/2013 06 12 - NASA Johnson - Space Station Live  June 12, 2013_LCjdOn2Lw6I - transcript (automated).pdf","Transcript Link")</f>
        <v>Transcript Link</v>
      </c>
      <c r="M2266" s="2" t="str">
        <f>HYPERLINK("https://files.afu.se/Downloads/Transcripts/0%20-%20Government/USA%20-%20NASA%20Johnson/2013 06 12 - NASA Johnson - Space Station Live  June 12, 2013_LCjdOn2Lw6I - transcript (automated).pdf","Transcript Link")</f>
        <v>Transcript Link</v>
      </c>
    </row>
    <row r="2267" ht="180" spans="1:13">
      <c r="A2267" s="1" t="s">
        <v>9925</v>
      </c>
      <c r="B2267" s="1" t="s">
        <v>13</v>
      </c>
      <c r="C2267" s="4" t="s">
        <v>9926</v>
      </c>
      <c r="D2267" s="1" t="s">
        <v>9927</v>
      </c>
      <c r="E2267" s="1" t="s">
        <v>9928</v>
      </c>
      <c r="F2267" s="4" t="s">
        <v>17</v>
      </c>
      <c r="G2267" s="1" t="s">
        <v>18</v>
      </c>
      <c r="H2267" s="1" t="s">
        <v>19</v>
      </c>
      <c r="I2267" s="1" t="s">
        <v>20</v>
      </c>
      <c r="J2267" s="1" t="s">
        <v>9929</v>
      </c>
      <c r="K2267" s="1" t="s">
        <v>22</v>
      </c>
      <c r="L2267" s="1" t="str">
        <f>HYPERLINK("https://files.afu.se/Downloads/Transcripts/0%20-%20Government/USA%20-%20NASA%20Johnson/2013 06 11 - NASA Johnson - Space Station Live  June 11, 2013_qim2Z3SHPTU - transcript (automated).pdf","Transcript Link")</f>
        <v>Transcript Link</v>
      </c>
      <c r="M2267" s="2" t="str">
        <f>HYPERLINK("https://files.afu.se/Downloads/Transcripts/0%20-%20Government/USA%20-%20NASA%20Johnson/2013 06 11 - NASA Johnson - Space Station Live  June 11, 2013_qim2Z3SHPTU - transcript (automated).pdf","Transcript Link")</f>
        <v>Transcript Link</v>
      </c>
    </row>
    <row r="2268" ht="180" spans="1:13">
      <c r="A2268" s="1" t="s">
        <v>9930</v>
      </c>
      <c r="B2268" s="1" t="s">
        <v>13</v>
      </c>
      <c r="C2268" s="4" t="s">
        <v>9931</v>
      </c>
      <c r="D2268" s="1" t="s">
        <v>9932</v>
      </c>
      <c r="E2268" s="1" t="s">
        <v>9933</v>
      </c>
      <c r="F2268" s="4" t="s">
        <v>17</v>
      </c>
      <c r="G2268" s="1" t="s">
        <v>18</v>
      </c>
      <c r="H2268" s="1" t="s">
        <v>19</v>
      </c>
      <c r="I2268" s="1" t="s">
        <v>20</v>
      </c>
      <c r="J2268" s="1" t="s">
        <v>9934</v>
      </c>
      <c r="K2268" s="1" t="s">
        <v>22</v>
      </c>
      <c r="L2268" s="1" t="str">
        <f>HYPERLINK("https://files.afu.se/Downloads/Transcripts/0%20-%20Government/USA%20-%20NASA%20Johnson/2013 06 10 - NASA Johnson - Space Station Live  June 10, 2013_U29I7sx5wy8 - transcript (automated).pdf","Transcript Link")</f>
        <v>Transcript Link</v>
      </c>
      <c r="M2268" s="2" t="str">
        <f>HYPERLINK("https://files.afu.se/Downloads/Transcripts/0%20-%20Government/USA%20-%20NASA%20Johnson/2013 06 10 - NASA Johnson - Space Station Live  June 10, 2013_U29I7sx5wy8 - transcript (automated).pdf","Transcript Link")</f>
        <v>Transcript Link</v>
      </c>
    </row>
    <row r="2269" ht="180" spans="1:13">
      <c r="A2269" s="1" t="s">
        <v>9935</v>
      </c>
      <c r="B2269" s="1" t="s">
        <v>13</v>
      </c>
      <c r="C2269" s="4" t="s">
        <v>9936</v>
      </c>
      <c r="D2269" s="1" t="s">
        <v>9937</v>
      </c>
      <c r="E2269" s="1" t="s">
        <v>9938</v>
      </c>
      <c r="F2269" s="4" t="s">
        <v>17</v>
      </c>
      <c r="G2269" s="1" t="s">
        <v>18</v>
      </c>
      <c r="H2269" s="1" t="s">
        <v>19</v>
      </c>
      <c r="I2269" s="1" t="s">
        <v>20</v>
      </c>
      <c r="J2269" s="1" t="s">
        <v>9939</v>
      </c>
      <c r="K2269" s="1" t="s">
        <v>22</v>
      </c>
      <c r="L2269" s="1" t="str">
        <f>HYPERLINK("https://files.afu.se/Downloads/Transcripts/0%20-%20Government/USA%20-%20NASA%20Johnson/2013 06 07 - NASA Johnson - Space Station Live  June 7, 2013_yCXRLOWSu-I - transcript (automated).pdf","Transcript Link")</f>
        <v>Transcript Link</v>
      </c>
      <c r="M2269" s="2" t="str">
        <f>HYPERLINK("https://files.afu.se/Downloads/Transcripts/0%20-%20Government/USA%20-%20NASA%20Johnson/2013 06 07 - NASA Johnson - Space Station Live  June 7, 2013_yCXRLOWSu-I - transcript (automated).pdf","Transcript Link")</f>
        <v>Transcript Link</v>
      </c>
    </row>
    <row r="2270" ht="180" spans="1:13">
      <c r="A2270" s="1" t="s">
        <v>9940</v>
      </c>
      <c r="B2270" s="1" t="s">
        <v>13</v>
      </c>
      <c r="C2270" s="4" t="s">
        <v>9941</v>
      </c>
      <c r="D2270" s="1" t="s">
        <v>9942</v>
      </c>
      <c r="E2270" s="1" t="s">
        <v>9943</v>
      </c>
      <c r="F2270" s="4" t="s">
        <v>17</v>
      </c>
      <c r="G2270" s="1" t="s">
        <v>18</v>
      </c>
      <c r="H2270" s="1" t="s">
        <v>19</v>
      </c>
      <c r="I2270" s="1" t="s">
        <v>20</v>
      </c>
      <c r="J2270" s="1" t="s">
        <v>9944</v>
      </c>
      <c r="K2270" s="1" t="s">
        <v>22</v>
      </c>
      <c r="L2270" s="1" t="str">
        <f>HYPERLINK("https://files.afu.se/Downloads/Transcripts/0%20-%20Government/USA%20-%20NASA%20Johnson/2013 06 06 - NASA Johnson - Morpheus Tether Test %2322_4XnrWT7rqqI - transcript (automated).pdf","Transcript Link")</f>
        <v>Transcript Link</v>
      </c>
      <c r="M2270" s="2" t="str">
        <f>HYPERLINK("https://files.afu.se/Downloads/Transcripts/0%20-%20Government/USA%20-%20NASA%20Johnson/2013 06 06 - NASA Johnson - Morpheus Tether Test %2322_4XnrWT7rqqI - transcript (automated).pdf","Transcript Link")</f>
        <v>Transcript Link</v>
      </c>
    </row>
    <row r="2271" ht="180" spans="1:13">
      <c r="A2271" s="1" t="s">
        <v>9940</v>
      </c>
      <c r="B2271" s="1" t="s">
        <v>13</v>
      </c>
      <c r="C2271" s="4" t="s">
        <v>9945</v>
      </c>
      <c r="D2271" s="1" t="s">
        <v>9946</v>
      </c>
      <c r="E2271" s="1" t="s">
        <v>9947</v>
      </c>
      <c r="F2271" s="4" t="s">
        <v>17</v>
      </c>
      <c r="G2271" s="1" t="s">
        <v>18</v>
      </c>
      <c r="H2271" s="1" t="s">
        <v>19</v>
      </c>
      <c r="I2271" s="1" t="s">
        <v>20</v>
      </c>
      <c r="J2271" s="1" t="s">
        <v>9948</v>
      </c>
      <c r="K2271" s="1" t="s">
        <v>22</v>
      </c>
      <c r="L2271" s="1" t="str">
        <f>HYPERLINK("https://files.afu.se/Downloads/Transcripts/0%20-%20Government/USA%20-%20NASA%20Johnson/2013 06 06 - NASA Johnson - Students Speak With Station Capcom_eoZkfI43FPk - transcript (automated).pdf","Transcript Link")</f>
        <v>Transcript Link</v>
      </c>
      <c r="M2271" s="2" t="str">
        <f>HYPERLINK("https://files.afu.se/Downloads/Transcripts/0%20-%20Government/USA%20-%20NASA%20Johnson/2013 06 06 - NASA Johnson - Students Speak With Station Capcom_eoZkfI43FPk - transcript (automated).pdf","Transcript Link")</f>
        <v>Transcript Link</v>
      </c>
    </row>
    <row r="2272" ht="180" spans="1:13">
      <c r="A2272" s="1" t="s">
        <v>9940</v>
      </c>
      <c r="B2272" s="1" t="s">
        <v>13</v>
      </c>
      <c r="C2272" s="4" t="s">
        <v>9949</v>
      </c>
      <c r="D2272" s="1" t="s">
        <v>9950</v>
      </c>
      <c r="E2272" s="1" t="s">
        <v>9951</v>
      </c>
      <c r="F2272" s="4" t="s">
        <v>17</v>
      </c>
      <c r="G2272" s="1" t="s">
        <v>18</v>
      </c>
      <c r="H2272" s="1" t="s">
        <v>19</v>
      </c>
      <c r="I2272" s="1" t="s">
        <v>20</v>
      </c>
      <c r="J2272" s="1" t="s">
        <v>9952</v>
      </c>
      <c r="K2272" s="1" t="s">
        <v>22</v>
      </c>
      <c r="L2272" s="1" t="str">
        <f>HYPERLINK("https://files.afu.se/Downloads/Transcripts/0%20-%20Government/USA%20-%20NASA%20Johnson/2013 06 06 - NASA Johnson - Space Station Live  June 6, 2013_Gn1IpPbi8T8 - transcript (automated).pdf","Transcript Link")</f>
        <v>Transcript Link</v>
      </c>
      <c r="M2272" s="2" t="str">
        <f>HYPERLINK("https://files.afu.se/Downloads/Transcripts/0%20-%20Government/USA%20-%20NASA%20Johnson/2013 06 06 - NASA Johnson - Space Station Live  June 6, 2013_Gn1IpPbi8T8 - transcript (automated).pdf","Transcript Link")</f>
        <v>Transcript Link</v>
      </c>
    </row>
    <row r="2273" ht="180" spans="1:13">
      <c r="A2273" s="1" t="s">
        <v>9953</v>
      </c>
      <c r="B2273" s="1" t="s">
        <v>13</v>
      </c>
      <c r="C2273" s="4" t="s">
        <v>9954</v>
      </c>
      <c r="D2273" s="1" t="s">
        <v>9955</v>
      </c>
      <c r="E2273" s="1" t="s">
        <v>9956</v>
      </c>
      <c r="F2273" s="4" t="s">
        <v>17</v>
      </c>
      <c r="G2273" s="1" t="s">
        <v>18</v>
      </c>
      <c r="H2273" s="1" t="s">
        <v>19</v>
      </c>
      <c r="I2273" s="1" t="s">
        <v>20</v>
      </c>
      <c r="J2273" s="1" t="s">
        <v>9957</v>
      </c>
      <c r="K2273" s="1" t="s">
        <v>22</v>
      </c>
      <c r="L2273" s="1" t="str">
        <f>HYPERLINK("https://files.afu.se/Downloads/Transcripts/0%20-%20Government/USA%20-%20NASA%20Johnson/2013 06 05 - NASA Johnson - EVA Lessons Learned_Z5Bz6L93Gwo - transcript (automated).pdf","Transcript Link")</f>
        <v>Transcript Link</v>
      </c>
      <c r="M2273" s="2" t="str">
        <f>HYPERLINK("https://files.afu.se/Downloads/Transcripts/0%20-%20Government/USA%20-%20NASA%20Johnson/2013 06 05 - NASA Johnson - EVA Lessons Learned_Z5Bz6L93Gwo - transcript (automated).pdf","Transcript Link")</f>
        <v>Transcript Link</v>
      </c>
    </row>
    <row r="2274" ht="180" spans="1:13">
      <c r="A2274" s="1" t="s">
        <v>9953</v>
      </c>
      <c r="B2274" s="1" t="s">
        <v>13</v>
      </c>
      <c r="C2274" s="4" t="s">
        <v>9958</v>
      </c>
      <c r="D2274" s="1" t="s">
        <v>9959</v>
      </c>
      <c r="E2274" s="1" t="s">
        <v>9960</v>
      </c>
      <c r="F2274" s="4" t="s">
        <v>17</v>
      </c>
      <c r="G2274" s="1" t="s">
        <v>18</v>
      </c>
      <c r="H2274" s="1" t="s">
        <v>19</v>
      </c>
      <c r="I2274" s="1" t="s">
        <v>20</v>
      </c>
      <c r="J2274" s="1" t="s">
        <v>9961</v>
      </c>
      <c r="K2274" s="1" t="s">
        <v>22</v>
      </c>
      <c r="L2274" s="1" t="str">
        <f>HYPERLINK("https://files.afu.se/Downloads/Transcripts/0%20-%20Government/USA%20-%20NASA%20Johnson/2013 06 05 - NASA Johnson - European Cargo Ship Launches to Station_vOVghKelWdg - transcript (automated).pdf","Transcript Link")</f>
        <v>Transcript Link</v>
      </c>
      <c r="M2274" s="2" t="str">
        <f>HYPERLINK("https://files.afu.se/Downloads/Transcripts/0%20-%20Government/USA%20-%20NASA%20Johnson/2013 06 05 - NASA Johnson - European Cargo Ship Launches to Station_vOVghKelWdg - transcript (automated).pdf","Transcript Link")</f>
        <v>Transcript Link</v>
      </c>
    </row>
    <row r="2275" ht="180" spans="1:13">
      <c r="A2275" s="1" t="s">
        <v>9953</v>
      </c>
      <c r="B2275" s="1" t="s">
        <v>13</v>
      </c>
      <c r="C2275" s="4" t="s">
        <v>9962</v>
      </c>
      <c r="D2275" s="1" t="s">
        <v>9963</v>
      </c>
      <c r="E2275" s="1" t="s">
        <v>9964</v>
      </c>
      <c r="F2275" s="4" t="s">
        <v>17</v>
      </c>
      <c r="G2275" s="1" t="s">
        <v>18</v>
      </c>
      <c r="H2275" s="1" t="s">
        <v>19</v>
      </c>
      <c r="I2275" s="1" t="s">
        <v>20</v>
      </c>
      <c r="J2275" s="1" t="s">
        <v>9965</v>
      </c>
      <c r="K2275" s="1" t="s">
        <v>22</v>
      </c>
      <c r="L2275" s="1" t="str">
        <f>HYPERLINK("https://files.afu.se/Downloads/Transcripts/0%20-%20Government/USA%20-%20NASA%20Johnson/2013 06 05 - NASA Johnson - Space Station Live  June 5, 2013_qtsEFNnYWAU - transcript (automated).pdf","Transcript Link")</f>
        <v>Transcript Link</v>
      </c>
      <c r="M2275" s="2" t="str">
        <f>HYPERLINK("https://files.afu.se/Downloads/Transcripts/0%20-%20Government/USA%20-%20NASA%20Johnson/2013 06 05 - NASA Johnson - Space Station Live  June 5, 2013_qtsEFNnYWAU - transcript (automated).pdf","Transcript Link")</f>
        <v>Transcript Link</v>
      </c>
    </row>
    <row r="2276" ht="180" spans="1:13">
      <c r="A2276" s="1" t="s">
        <v>9953</v>
      </c>
      <c r="B2276" s="1" t="s">
        <v>13</v>
      </c>
      <c r="C2276" s="4" t="s">
        <v>9966</v>
      </c>
      <c r="D2276" s="1" t="s">
        <v>9967</v>
      </c>
      <c r="E2276" s="1" t="s">
        <v>9968</v>
      </c>
      <c r="F2276" s="4" t="s">
        <v>17</v>
      </c>
      <c r="G2276" s="1" t="s">
        <v>18</v>
      </c>
      <c r="H2276" s="1" t="s">
        <v>19</v>
      </c>
      <c r="I2276" s="1" t="s">
        <v>20</v>
      </c>
      <c r="J2276" s="1" t="s">
        <v>9969</v>
      </c>
      <c r="K2276" s="1" t="s">
        <v>22</v>
      </c>
      <c r="L2276" s="1" t="str">
        <f>HYPERLINK("https://files.afu.se/Downloads/Transcripts/0%20-%20Government/USA%20-%20NASA%20Johnson/2013 06 05 - NASA Johnson - Space Station Live  Seedling Growth_htu-48N-gzI - transcript (automated).pdf","Transcript Link")</f>
        <v>Transcript Link</v>
      </c>
      <c r="M2276" s="2" t="str">
        <f>HYPERLINK("https://files.afu.se/Downloads/Transcripts/0%20-%20Government/USA%20-%20NASA%20Johnson/2013 06 05 - NASA Johnson - Space Station Live  Seedling Growth_htu-48N-gzI - transcript (automated).pdf","Transcript Link")</f>
        <v>Transcript Link</v>
      </c>
    </row>
    <row r="2277" ht="409.5" spans="1:13">
      <c r="A2277" s="1" t="s">
        <v>9953</v>
      </c>
      <c r="B2277" s="1" t="s">
        <v>13</v>
      </c>
      <c r="C2277" s="4" t="s">
        <v>9970</v>
      </c>
      <c r="D2277" s="1" t="s">
        <v>9971</v>
      </c>
      <c r="E2277" s="1" t="s">
        <v>9972</v>
      </c>
      <c r="F2277" s="4" t="s">
        <v>17</v>
      </c>
      <c r="G2277" s="1" t="s">
        <v>18</v>
      </c>
      <c r="H2277" s="1" t="s">
        <v>19</v>
      </c>
      <c r="I2277" s="1" t="s">
        <v>20</v>
      </c>
      <c r="J2277" s="1" t="s">
        <v>9973</v>
      </c>
      <c r="K2277" s="1" t="s">
        <v>22</v>
      </c>
      <c r="L2277" s="1" t="str">
        <f>HYPERLINK("https://files.afu.se/Downloads/Transcripts/0%20-%20Government/USA%20-%20NASA%20Johnson/2013 06 05 - NASA Johnson - Space Station Live  Ocular Health for Astronauts_B4AmwfVHQCw - transcript (automated).pdf","Transcript Link")</f>
        <v>Transcript Link</v>
      </c>
      <c r="M2277" s="2" t="str">
        <f>HYPERLINK("https://files.afu.se/Downloads/Transcripts/0%20-%20Government/USA%20-%20NASA%20Johnson/2013 06 05 - NASA Johnson - Space Station Live  Ocular Health for Astronauts_B4AmwfVHQCw - transcript (automated).pdf","Transcript Link")</f>
        <v>Transcript Link</v>
      </c>
    </row>
    <row r="2278" ht="180" spans="1:13">
      <c r="A2278" s="1" t="s">
        <v>9974</v>
      </c>
      <c r="B2278" s="1" t="s">
        <v>13</v>
      </c>
      <c r="C2278" s="4" t="s">
        <v>9975</v>
      </c>
      <c r="D2278" s="1" t="s">
        <v>9976</v>
      </c>
      <c r="E2278" s="1" t="s">
        <v>9977</v>
      </c>
      <c r="F2278" s="4" t="s">
        <v>17</v>
      </c>
      <c r="G2278" s="1" t="s">
        <v>18</v>
      </c>
      <c r="H2278" s="1" t="s">
        <v>19</v>
      </c>
      <c r="I2278" s="1" t="s">
        <v>20</v>
      </c>
      <c r="J2278" s="1" t="s">
        <v>9978</v>
      </c>
      <c r="K2278" s="1" t="s">
        <v>22</v>
      </c>
      <c r="L2278" s="1" t="str">
        <f>HYPERLINK("https://files.afu.se/Downloads/Transcripts/0%20-%20Government/USA%20-%20NASA%20Johnson/2013 06 04 - NASA Johnson - Students Learn About Station Robotics_x5ZfDVkjJk8 - transcript (automated).pdf","Transcript Link")</f>
        <v>Transcript Link</v>
      </c>
      <c r="M2278" s="2" t="str">
        <f>HYPERLINK("https://files.afu.se/Downloads/Transcripts/0%20-%20Government/USA%20-%20NASA%20Johnson/2013 06 04 - NASA Johnson - Students Learn About Station Robotics_x5ZfDVkjJk8 - transcript (automated).pdf","Transcript Link")</f>
        <v>Transcript Link</v>
      </c>
    </row>
    <row r="2279" ht="180" spans="1:13">
      <c r="A2279" s="1" t="s">
        <v>9974</v>
      </c>
      <c r="B2279" s="1" t="s">
        <v>13</v>
      </c>
      <c r="C2279" s="4" t="s">
        <v>9979</v>
      </c>
      <c r="D2279" s="1" t="s">
        <v>9980</v>
      </c>
      <c r="E2279" s="1" t="s">
        <v>9981</v>
      </c>
      <c r="F2279" s="4" t="s">
        <v>17</v>
      </c>
      <c r="G2279" s="1" t="s">
        <v>18</v>
      </c>
      <c r="H2279" s="1" t="s">
        <v>19</v>
      </c>
      <c r="I2279" s="1" t="s">
        <v>20</v>
      </c>
      <c r="J2279" s="1" t="s">
        <v>9982</v>
      </c>
      <c r="K2279" s="1" t="s">
        <v>22</v>
      </c>
      <c r="L2279" s="1" t="str">
        <f>HYPERLINK("https://files.afu.se/Downloads/Transcripts/0%20-%20Government/USA%20-%20NASA%20Johnson/2013 06 04 - NASA Johnson - Space Station Live  June 4, 2013_ZN70uC8PVqs - transcript (automated).pdf","Transcript Link")</f>
        <v>Transcript Link</v>
      </c>
      <c r="M2279" s="2" t="str">
        <f>HYPERLINK("https://files.afu.se/Downloads/Transcripts/0%20-%20Government/USA%20-%20NASA%20Johnson/2013 06 04 - NASA Johnson - Space Station Live  June 4, 2013_ZN70uC8PVqs - transcript (automated).pdf","Transcript Link")</f>
        <v>Transcript Link</v>
      </c>
    </row>
    <row r="2280" ht="180" spans="1:13">
      <c r="A2280" s="1" t="s">
        <v>9974</v>
      </c>
      <c r="B2280" s="1" t="s">
        <v>13</v>
      </c>
      <c r="C2280" s="4" t="s">
        <v>9983</v>
      </c>
      <c r="D2280" s="1" t="s">
        <v>9984</v>
      </c>
      <c r="E2280" s="1" t="s">
        <v>9985</v>
      </c>
      <c r="F2280" s="4" t="s">
        <v>17</v>
      </c>
      <c r="G2280" s="1" t="s">
        <v>18</v>
      </c>
      <c r="H2280" s="1" t="s">
        <v>19</v>
      </c>
      <c r="I2280" s="1" t="s">
        <v>20</v>
      </c>
      <c r="J2280" s="1" t="s">
        <v>9986</v>
      </c>
      <c r="K2280" s="1" t="s">
        <v>22</v>
      </c>
      <c r="L2280" s="1" t="str">
        <f>HYPERLINK("https://files.afu.se/Downloads/Transcripts/0%20-%20Government/USA%20-%20NASA%20Johnson/2013 06 04 - NASA Johnson -  Close Shave  for Astronaut Chris Cassidy_Ywh035K0NZc - transcript (automated).pdf","Transcript Link")</f>
        <v>Transcript Link</v>
      </c>
      <c r="M2280" s="2" t="str">
        <f>HYPERLINK("https://files.afu.se/Downloads/Transcripts/0%20-%20Government/USA%20-%20NASA%20Johnson/2013 06 04 - NASA Johnson -  Close Shave  for Astronaut Chris Cassidy_Ywh035K0NZc - transcript (automated).pdf","Transcript Link")</f>
        <v>Transcript Link</v>
      </c>
    </row>
    <row r="2281" ht="180" spans="1:13">
      <c r="A2281" s="1" t="s">
        <v>9987</v>
      </c>
      <c r="B2281" s="1" t="s">
        <v>13</v>
      </c>
      <c r="C2281" s="4" t="s">
        <v>9988</v>
      </c>
      <c r="D2281" s="1" t="s">
        <v>9989</v>
      </c>
      <c r="E2281" s="1" t="s">
        <v>9990</v>
      </c>
      <c r="F2281" s="4" t="s">
        <v>17</v>
      </c>
      <c r="G2281" s="1" t="s">
        <v>18</v>
      </c>
      <c r="H2281" s="1" t="s">
        <v>19</v>
      </c>
      <c r="I2281" s="1" t="s">
        <v>20</v>
      </c>
      <c r="J2281" s="1" t="s">
        <v>9991</v>
      </c>
      <c r="K2281" s="1" t="s">
        <v>22</v>
      </c>
      <c r="L2281" s="1" t="str">
        <f>HYPERLINK("https://files.afu.se/Downloads/Transcripts/0%20-%20Government/USA%20-%20NASA%20Johnson/2013 06 03 - NASA Johnson - Space Station Live  June 3, 2013_SMgaQXQwV5Y - transcript (automated).pdf","Transcript Link")</f>
        <v>Transcript Link</v>
      </c>
      <c r="M2281" s="2" t="str">
        <f>HYPERLINK("https://files.afu.se/Downloads/Transcripts/0%20-%20Government/USA%20-%20NASA%20Johnson/2013 06 03 - NASA Johnson - Space Station Live  June 3, 2013_SMgaQXQwV5Y - transcript (automated).pdf","Transcript Link")</f>
        <v>Transcript Link</v>
      </c>
    </row>
    <row r="2282" ht="180" spans="1:13">
      <c r="A2282" s="1" t="s">
        <v>9992</v>
      </c>
      <c r="B2282" s="1" t="s">
        <v>13</v>
      </c>
      <c r="C2282" s="4" t="s">
        <v>9993</v>
      </c>
      <c r="D2282" s="1" t="s">
        <v>9994</v>
      </c>
      <c r="E2282" s="1" t="s">
        <v>9995</v>
      </c>
      <c r="F2282" s="4" t="s">
        <v>17</v>
      </c>
      <c r="G2282" s="1" t="s">
        <v>18</v>
      </c>
      <c r="H2282" s="1" t="s">
        <v>19</v>
      </c>
      <c r="I2282" s="1" t="s">
        <v>20</v>
      </c>
      <c r="J2282" s="1" t="s">
        <v>9996</v>
      </c>
      <c r="K2282" s="1" t="s">
        <v>22</v>
      </c>
      <c r="L2282" s="1" t="str">
        <f>HYPERLINK("https://files.afu.se/Downloads/Transcripts/0%20-%20Government/USA%20-%20NASA%20Johnson/2013 05 31 - NASA Johnson - Space Station Live  May 31, 2013_RC31jIF8ru0 - transcript (automated).pdf","Transcript Link")</f>
        <v>Transcript Link</v>
      </c>
      <c r="M2282" s="2" t="str">
        <f>HYPERLINK("https://files.afu.se/Downloads/Transcripts/0%20-%20Government/USA%20-%20NASA%20Johnson/2013 05 31 - NASA Johnson - Space Station Live  May 31, 2013_RC31jIF8ru0 - transcript (automated).pdf","Transcript Link")</f>
        <v>Transcript Link</v>
      </c>
    </row>
    <row r="2283" ht="390" spans="1:13">
      <c r="A2283" s="1" t="s">
        <v>9997</v>
      </c>
      <c r="B2283" s="1" t="s">
        <v>13</v>
      </c>
      <c r="C2283" s="4" t="s">
        <v>9998</v>
      </c>
      <c r="D2283" s="1" t="s">
        <v>9999</v>
      </c>
      <c r="E2283" s="1" t="s">
        <v>10000</v>
      </c>
      <c r="F2283" s="4" t="s">
        <v>17</v>
      </c>
      <c r="G2283" s="1" t="s">
        <v>18</v>
      </c>
      <c r="H2283" s="1" t="s">
        <v>19</v>
      </c>
      <c r="I2283" s="1" t="s">
        <v>20</v>
      </c>
      <c r="J2283" s="1" t="s">
        <v>10001</v>
      </c>
      <c r="K2283" s="1" t="s">
        <v>22</v>
      </c>
      <c r="L2283" s="1" t="str">
        <f>HYPERLINK("https://files.afu.se/Downloads/Transcripts/0%20-%20Government/USA%20-%20NASA%20Johnson/2013 05 30 - NASA Johnson - It Gets Better_yiCYoOjCcNw - transcript (automated).pdf","Transcript Link")</f>
        <v>Transcript Link</v>
      </c>
      <c r="M2283" s="2" t="str">
        <f>HYPERLINK("https://files.afu.se/Downloads/Transcripts/0%20-%20Government/USA%20-%20NASA%20Johnson/2013 05 30 - NASA Johnson - It Gets Better_yiCYoOjCcNw - transcript (automated).pdf","Transcript Link")</f>
        <v>Transcript Link</v>
      </c>
    </row>
    <row r="2284" ht="315" spans="1:13">
      <c r="A2284" s="1" t="s">
        <v>9997</v>
      </c>
      <c r="B2284" s="1" t="s">
        <v>13</v>
      </c>
      <c r="C2284" s="4" t="s">
        <v>10002</v>
      </c>
      <c r="D2284" s="1" t="s">
        <v>10003</v>
      </c>
      <c r="E2284" s="1" t="s">
        <v>10004</v>
      </c>
      <c r="F2284" s="4" t="s">
        <v>17</v>
      </c>
      <c r="G2284" s="1" t="s">
        <v>18</v>
      </c>
      <c r="H2284" s="1" t="s">
        <v>19</v>
      </c>
      <c r="I2284" s="1" t="s">
        <v>20</v>
      </c>
      <c r="J2284" s="1" t="s">
        <v>10005</v>
      </c>
      <c r="K2284" s="1" t="s">
        <v>22</v>
      </c>
      <c r="L2284" s="1" t="str">
        <f>HYPERLINK("https://files.afu.se/Downloads/Transcripts/0%20-%20Government/USA%20-%20NASA%20Johnson/2013 05 30 - NASA Johnson - Space Station Live  FLEX in Space for Safer Combustion_W2eXv3Tr55c - transcript (automated).pdf","Transcript Link")</f>
        <v>Transcript Link</v>
      </c>
      <c r="M2284" s="2" t="str">
        <f>HYPERLINK("https://files.afu.se/Downloads/Transcripts/0%20-%20Government/USA%20-%20NASA%20Johnson/2013 05 30 - NASA Johnson - Space Station Live  FLEX in Space for Safer Combustion_W2eXv3Tr55c - transcript (automated).pdf","Transcript Link")</f>
        <v>Transcript Link</v>
      </c>
    </row>
    <row r="2285" ht="180" spans="1:13">
      <c r="A2285" s="1" t="s">
        <v>9997</v>
      </c>
      <c r="B2285" s="1" t="s">
        <v>13</v>
      </c>
      <c r="C2285" s="4" t="s">
        <v>10006</v>
      </c>
      <c r="D2285" s="1" t="s">
        <v>10007</v>
      </c>
      <c r="E2285" s="1" t="s">
        <v>10008</v>
      </c>
      <c r="F2285" s="4" t="s">
        <v>17</v>
      </c>
      <c r="G2285" s="1" t="s">
        <v>18</v>
      </c>
      <c r="H2285" s="1" t="s">
        <v>19</v>
      </c>
      <c r="I2285" s="1" t="s">
        <v>20</v>
      </c>
      <c r="J2285" s="1" t="s">
        <v>10009</v>
      </c>
      <c r="K2285" s="1" t="s">
        <v>22</v>
      </c>
      <c r="L2285" s="1" t="str">
        <f>HYPERLINK("https://files.afu.se/Downloads/Transcripts/0%20-%20Government/USA%20-%20NASA%20Johnson/2013 05 30 - NASA Johnson - Space Station Live  May 30, 2013_LKkI0PxPqaU - transcript (automated).pdf","Transcript Link")</f>
        <v>Transcript Link</v>
      </c>
      <c r="M2285" s="2" t="str">
        <f>HYPERLINK("https://files.afu.se/Downloads/Transcripts/0%20-%20Government/USA%20-%20NASA%20Johnson/2013 05 30 - NASA Johnson - Space Station Live  May 30, 2013_LKkI0PxPqaU - transcript (automated).pdf","Transcript Link")</f>
        <v>Transcript Link</v>
      </c>
    </row>
    <row r="2286" ht="180" spans="1:13">
      <c r="A2286" s="1" t="s">
        <v>9997</v>
      </c>
      <c r="B2286" s="1" t="s">
        <v>13</v>
      </c>
      <c r="C2286" s="4" t="s">
        <v>10010</v>
      </c>
      <c r="D2286" s="1" t="s">
        <v>10011</v>
      </c>
      <c r="E2286" s="1" t="s">
        <v>10012</v>
      </c>
      <c r="F2286" s="4" t="s">
        <v>17</v>
      </c>
      <c r="G2286" s="1" t="s">
        <v>18</v>
      </c>
      <c r="H2286" s="1" t="s">
        <v>19</v>
      </c>
      <c r="I2286" s="1" t="s">
        <v>20</v>
      </c>
      <c r="J2286" s="1" t="s">
        <v>10013</v>
      </c>
      <c r="K2286" s="1" t="s">
        <v>22</v>
      </c>
      <c r="L2286" s="1" t="str">
        <f>HYPERLINK("https://files.afu.se/Downloads/Transcripts/0%20-%20Government/USA%20-%20NASA%20Johnson/2013 05 30 - NASA Johnson - Station Flight Controller Talks to New York Students_jgbMvaBdq0M - transcript (automated).pdf","Transcript Link")</f>
        <v>Transcript Link</v>
      </c>
      <c r="M2286" s="2" t="str">
        <f>HYPERLINK("https://files.afu.se/Downloads/Transcripts/0%20-%20Government/USA%20-%20NASA%20Johnson/2013 05 30 - NASA Johnson - Station Flight Controller Talks to New York Students_jgbMvaBdq0M - transcript (automated).pdf","Transcript Link")</f>
        <v>Transcript Link</v>
      </c>
    </row>
    <row r="2287" ht="180" spans="1:13">
      <c r="A2287" s="1" t="s">
        <v>10014</v>
      </c>
      <c r="B2287" s="1" t="s">
        <v>13</v>
      </c>
      <c r="C2287" s="4" t="s">
        <v>10015</v>
      </c>
      <c r="D2287" s="1" t="s">
        <v>10016</v>
      </c>
      <c r="E2287" s="1" t="s">
        <v>10017</v>
      </c>
      <c r="F2287" s="4" t="s">
        <v>17</v>
      </c>
      <c r="G2287" s="1" t="s">
        <v>18</v>
      </c>
      <c r="H2287" s="1" t="s">
        <v>19</v>
      </c>
      <c r="I2287" s="1" t="s">
        <v>20</v>
      </c>
      <c r="J2287" s="1" t="s">
        <v>10018</v>
      </c>
      <c r="K2287" s="1" t="s">
        <v>22</v>
      </c>
      <c r="L2287" s="1" t="str">
        <f>HYPERLINK("https://files.afu.se/Downloads/Transcripts/0%20-%20Government/USA%20-%20NASA%20Johnson/2013 05 29 - NASA Johnson - Morpheus Tether Test %2321_QkdcCU4HKdI - transcript (automated).pdf","Transcript Link")</f>
        <v>Transcript Link</v>
      </c>
      <c r="M2287" s="2" t="str">
        <f>HYPERLINK("https://files.afu.se/Downloads/Transcripts/0%20-%20Government/USA%20-%20NASA%20Johnson/2013 05 29 - NASA Johnson - Morpheus Tether Test %2321_QkdcCU4HKdI - transcript (automated).pdf","Transcript Link")</f>
        <v>Transcript Link</v>
      </c>
    </row>
    <row r="2288" ht="180" spans="1:13">
      <c r="A2288" s="1" t="s">
        <v>10014</v>
      </c>
      <c r="B2288" s="1" t="s">
        <v>13</v>
      </c>
      <c r="C2288" s="4" t="s">
        <v>10019</v>
      </c>
      <c r="D2288" s="1" t="s">
        <v>10020</v>
      </c>
      <c r="E2288" s="1" t="s">
        <v>10021</v>
      </c>
      <c r="F2288" s="4" t="s">
        <v>17</v>
      </c>
      <c r="G2288" s="1" t="s">
        <v>18</v>
      </c>
      <c r="H2288" s="1" t="s">
        <v>19</v>
      </c>
      <c r="I2288" s="1" t="s">
        <v>20</v>
      </c>
      <c r="J2288" s="1" t="s">
        <v>10022</v>
      </c>
      <c r="K2288" s="1" t="s">
        <v>22</v>
      </c>
      <c r="L2288" s="1" t="str">
        <f>HYPERLINK("https://files.afu.se/Downloads/Transcripts/0%20-%20Government/USA%20-%20NASA%20Johnson/2013 05 29 - NASA Johnson - Morpheus Hot Fire %239_RjL8JsJ5lLU - transcript (automated).pdf","Transcript Link")</f>
        <v>Transcript Link</v>
      </c>
      <c r="M2288" s="2" t="str">
        <f>HYPERLINK("https://files.afu.se/Downloads/Transcripts/0%20-%20Government/USA%20-%20NASA%20Johnson/2013 05 29 - NASA Johnson - Morpheus Hot Fire %239_RjL8JsJ5lLU - transcript (automated).pdf","Transcript Link")</f>
        <v>Transcript Link</v>
      </c>
    </row>
    <row r="2289" ht="180" spans="1:13">
      <c r="A2289" s="1" t="s">
        <v>10014</v>
      </c>
      <c r="B2289" s="1" t="s">
        <v>13</v>
      </c>
      <c r="C2289" s="4" t="s">
        <v>10023</v>
      </c>
      <c r="D2289" s="1" t="s">
        <v>10024</v>
      </c>
      <c r="E2289" s="1" t="s">
        <v>10025</v>
      </c>
      <c r="F2289" s="4" t="s">
        <v>17</v>
      </c>
      <c r="G2289" s="1" t="s">
        <v>18</v>
      </c>
      <c r="H2289" s="1" t="s">
        <v>19</v>
      </c>
      <c r="I2289" s="1" t="s">
        <v>20</v>
      </c>
      <c r="J2289" s="1" t="s">
        <v>10026</v>
      </c>
      <c r="K2289" s="1" t="s">
        <v>22</v>
      </c>
      <c r="L2289" s="1" t="str">
        <f>HYPERLINK("https://files.afu.se/Downloads/Transcripts/0%20-%20Government/USA%20-%20NASA%20Johnson/2013 05 29 - NASA Johnson - Space Station Live  May 29, 2013_DvNQI8VwU5w - transcript (automated).pdf","Transcript Link")</f>
        <v>Transcript Link</v>
      </c>
      <c r="M2289" s="2" t="str">
        <f>HYPERLINK("https://files.afu.se/Downloads/Transcripts/0%20-%20Government/USA%20-%20NASA%20Johnson/2013 05 29 - NASA Johnson - Space Station Live  May 29, 2013_DvNQI8VwU5w - transcript (automated).pdf","Transcript Link")</f>
        <v>Transcript Link</v>
      </c>
    </row>
    <row r="2290" ht="180" spans="1:13">
      <c r="A2290" s="1" t="s">
        <v>10014</v>
      </c>
      <c r="B2290" s="1" t="s">
        <v>13</v>
      </c>
      <c r="C2290" s="4" t="s">
        <v>10027</v>
      </c>
      <c r="D2290" s="1" t="s">
        <v>10028</v>
      </c>
      <c r="E2290" s="1" t="s">
        <v>10029</v>
      </c>
      <c r="F2290" s="4" t="s">
        <v>17</v>
      </c>
      <c r="G2290" s="1" t="s">
        <v>18</v>
      </c>
      <c r="H2290" s="1" t="s">
        <v>19</v>
      </c>
      <c r="I2290" s="1" t="s">
        <v>20</v>
      </c>
      <c r="J2290" s="1" t="s">
        <v>10030</v>
      </c>
      <c r="K2290" s="1" t="s">
        <v>22</v>
      </c>
      <c r="L2290" s="1" t="str">
        <f>HYPERLINK("https://files.afu.se/Downloads/Transcripts/0%20-%20Government/USA%20-%20NASA%20Johnson/2013 05 29 - NASA Johnson - Expedition 36 Crew Profile_HzECWKPbCRA - transcript (automated).pdf","Transcript Link")</f>
        <v>Transcript Link</v>
      </c>
      <c r="M2290" s="2" t="str">
        <f>HYPERLINK("https://files.afu.se/Downloads/Transcripts/0%20-%20Government/USA%20-%20NASA%20Johnson/2013 05 29 - NASA Johnson - Expedition 36 Crew Profile_HzECWKPbCRA - transcript (automated).pdf","Transcript Link")</f>
        <v>Transcript Link</v>
      </c>
    </row>
    <row r="2291" ht="180" spans="1:13">
      <c r="A2291" s="1" t="s">
        <v>10014</v>
      </c>
      <c r="B2291" s="1" t="s">
        <v>13</v>
      </c>
      <c r="C2291" s="4" t="s">
        <v>10031</v>
      </c>
      <c r="D2291" s="1" t="s">
        <v>9081</v>
      </c>
      <c r="E2291" s="1" t="s">
        <v>10032</v>
      </c>
      <c r="F2291" s="4" t="s">
        <v>17</v>
      </c>
      <c r="G2291" s="1" t="s">
        <v>18</v>
      </c>
      <c r="H2291" s="1" t="s">
        <v>19</v>
      </c>
      <c r="I2291" s="1" t="s">
        <v>20</v>
      </c>
      <c r="J2291" s="1" t="s">
        <v>10033</v>
      </c>
      <c r="K2291" s="1" t="s">
        <v>22</v>
      </c>
      <c r="L2291" s="1" t="str">
        <f>HYPERLINK("https://files.afu.se/Downloads/Transcripts/0%20-%20Government/USA%20-%20NASA%20Johnson/2013 05 29 - NASA Johnson - New Crewmates Welcomed Aboard Station_D72a_H0FDyA - transcript (automated).pdf","Transcript Link")</f>
        <v>Transcript Link</v>
      </c>
      <c r="M2291" s="2" t="str">
        <f>HYPERLINK("https://files.afu.se/Downloads/Transcripts/0%20-%20Government/USA%20-%20NASA%20Johnson/2013 05 29 - NASA Johnson - New Crewmates Welcomed Aboard Station_D72a_H0FDyA - transcript (automated).pdf","Transcript Link")</f>
        <v>Transcript Link</v>
      </c>
    </row>
    <row r="2292" ht="180" spans="1:13">
      <c r="A2292" s="1" t="s">
        <v>10014</v>
      </c>
      <c r="B2292" s="1" t="s">
        <v>13</v>
      </c>
      <c r="C2292" s="4" t="s">
        <v>10034</v>
      </c>
      <c r="D2292" s="1" t="s">
        <v>10035</v>
      </c>
      <c r="E2292" s="1" t="s">
        <v>10036</v>
      </c>
      <c r="F2292" s="4" t="s">
        <v>17</v>
      </c>
      <c r="G2292" s="1" t="s">
        <v>18</v>
      </c>
      <c r="H2292" s="1" t="s">
        <v>19</v>
      </c>
      <c r="I2292" s="1" t="s">
        <v>20</v>
      </c>
      <c r="J2292" s="1" t="s">
        <v>10037</v>
      </c>
      <c r="K2292" s="1" t="s">
        <v>22</v>
      </c>
      <c r="L2292" s="1" t="str">
        <f>HYPERLINK("https://files.afu.se/Downloads/Transcripts/0%20-%20Government/USA%20-%20NASA%20Johnson/2013 05 29 - NASA Johnson - Soyuz Completes Expedited Flight to Station_Or4Uj9YEi1E - transcript (automated).pdf","Transcript Link")</f>
        <v>Transcript Link</v>
      </c>
      <c r="M2292" s="2" t="str">
        <f>HYPERLINK("https://files.afu.se/Downloads/Transcripts/0%20-%20Government/USA%20-%20NASA%20Johnson/2013 05 29 - NASA Johnson - Soyuz Completes Expedited Flight to Station_Or4Uj9YEi1E - transcript (automated).pdf","Transcript Link")</f>
        <v>Transcript Link</v>
      </c>
    </row>
    <row r="2293" ht="180" spans="1:13">
      <c r="A2293" s="1" t="s">
        <v>10038</v>
      </c>
      <c r="B2293" s="1" t="s">
        <v>13</v>
      </c>
      <c r="C2293" s="4" t="s">
        <v>10039</v>
      </c>
      <c r="D2293" s="1" t="s">
        <v>10040</v>
      </c>
      <c r="E2293" s="1" t="s">
        <v>10041</v>
      </c>
      <c r="F2293" s="4" t="s">
        <v>17</v>
      </c>
      <c r="G2293" s="1" t="s">
        <v>18</v>
      </c>
      <c r="H2293" s="1" t="s">
        <v>19</v>
      </c>
      <c r="I2293" s="1" t="s">
        <v>20</v>
      </c>
      <c r="J2293" s="1" t="s">
        <v>10042</v>
      </c>
      <c r="K2293" s="1" t="s">
        <v>22</v>
      </c>
      <c r="L2293" s="1" t="str">
        <f>HYPERLINK("https://files.afu.se/Downloads/Transcripts/0%20-%20Government/USA%20-%20NASA%20Johnson/2013 05 28 - NASA Johnson - Expedition 36 Crew Launches on Fast Track to Station_8p5XUu21bqA - transcript (automated).pdf","Transcript Link")</f>
        <v>Transcript Link</v>
      </c>
      <c r="M2293" s="2" t="str">
        <f>HYPERLINK("https://files.afu.se/Downloads/Transcripts/0%20-%20Government/USA%20-%20NASA%20Johnson/2013 05 28 - NASA Johnson - Expedition 36 Crew Launches on Fast Track to Station_8p5XUu21bqA - transcript (automated).pdf","Transcript Link")</f>
        <v>Transcript Link</v>
      </c>
    </row>
    <row r="2294" ht="180" spans="1:13">
      <c r="A2294" s="1" t="s">
        <v>10038</v>
      </c>
      <c r="B2294" s="1" t="s">
        <v>13</v>
      </c>
      <c r="C2294" s="4" t="s">
        <v>10043</v>
      </c>
      <c r="D2294" s="1" t="s">
        <v>10044</v>
      </c>
      <c r="E2294" s="1" t="s">
        <v>10045</v>
      </c>
      <c r="F2294" s="4" t="s">
        <v>17</v>
      </c>
      <c r="G2294" s="1" t="s">
        <v>18</v>
      </c>
      <c r="H2294" s="1" t="s">
        <v>19</v>
      </c>
      <c r="I2294" s="1" t="s">
        <v>20</v>
      </c>
      <c r="J2294" s="1" t="s">
        <v>10046</v>
      </c>
      <c r="K2294" s="1" t="s">
        <v>22</v>
      </c>
      <c r="L2294" s="1" t="str">
        <f>HYPERLINK("https://files.afu.se/Downloads/Transcripts/0%20-%20Government/USA%20-%20NASA%20Johnson/2013 05 28 - NASA Johnson - Space Station Live  May 28, 2013_qYsY1U_pxi4 - transcript (automated).pdf","Transcript Link")</f>
        <v>Transcript Link</v>
      </c>
      <c r="M2294" s="2" t="str">
        <f>HYPERLINK("https://files.afu.se/Downloads/Transcripts/0%20-%20Government/USA%20-%20NASA%20Johnson/2013 05 28 - NASA Johnson - Space Station Live  May 28, 2013_qYsY1U_pxi4 - transcript (automated).pdf","Transcript Link")</f>
        <v>Transcript Link</v>
      </c>
    </row>
    <row r="2295" ht="330" spans="1:13">
      <c r="A2295" s="1" t="s">
        <v>10038</v>
      </c>
      <c r="B2295" s="1" t="s">
        <v>13</v>
      </c>
      <c r="C2295" s="4" t="s">
        <v>10047</v>
      </c>
      <c r="D2295" s="1" t="s">
        <v>10048</v>
      </c>
      <c r="E2295" s="1" t="s">
        <v>10049</v>
      </c>
      <c r="F2295" s="4" t="s">
        <v>17</v>
      </c>
      <c r="G2295" s="1" t="s">
        <v>18</v>
      </c>
      <c r="H2295" s="1" t="s">
        <v>19</v>
      </c>
      <c r="I2295" s="1" t="s">
        <v>20</v>
      </c>
      <c r="J2295" s="1" t="s">
        <v>10050</v>
      </c>
      <c r="K2295" s="1" t="s">
        <v>22</v>
      </c>
      <c r="L2295" s="1" t="str">
        <f>HYPERLINK("https://files.afu.se/Downloads/Transcripts/0%20-%20Government/USA%20-%20NASA%20Johnson/2013 05 28 - NASA Johnson - Space Station Live  ISS CREAM_26iLssrNAJA - transcript (automated).pdf","Transcript Link")</f>
        <v>Transcript Link</v>
      </c>
      <c r="M2295" s="2" t="str">
        <f>HYPERLINK("https://files.afu.se/Downloads/Transcripts/0%20-%20Government/USA%20-%20NASA%20Johnson/2013 05 28 - NASA Johnson - Space Station Live  ISS CREAM_26iLssrNAJA - transcript (automated).pdf","Transcript Link")</f>
        <v>Transcript Link</v>
      </c>
    </row>
    <row r="2296" ht="180" spans="1:13">
      <c r="A2296" s="1" t="s">
        <v>10038</v>
      </c>
      <c r="B2296" s="1" t="s">
        <v>13</v>
      </c>
      <c r="C2296" s="4" t="s">
        <v>10051</v>
      </c>
      <c r="D2296" s="1" t="s">
        <v>10052</v>
      </c>
      <c r="E2296" s="1" t="s">
        <v>10053</v>
      </c>
      <c r="F2296" s="4" t="s">
        <v>17</v>
      </c>
      <c r="G2296" s="1" t="s">
        <v>18</v>
      </c>
      <c r="H2296" s="1" t="s">
        <v>19</v>
      </c>
      <c r="I2296" s="1" t="s">
        <v>20</v>
      </c>
      <c r="J2296" s="1" t="s">
        <v>10054</v>
      </c>
      <c r="K2296" s="1" t="s">
        <v>22</v>
      </c>
      <c r="L2296" s="1" t="str">
        <f>HYPERLINK("https://files.afu.se/Downloads/Transcripts/0%20-%20Government/USA%20-%20NASA%20Johnson/2013 05 28 - NASA Johnson - Expedition 36 37 Mission Overview_F9NogpiAcV8 - transcript (automated).pdf","Transcript Link")</f>
        <v>Transcript Link</v>
      </c>
      <c r="M2296" s="2" t="str">
        <f>HYPERLINK("https://files.afu.se/Downloads/Transcripts/0%20-%20Government/USA%20-%20NASA%20Johnson/2013 05 28 - NASA Johnson - Expedition 36 37 Mission Overview_F9NogpiAcV8 - transcript (automated).pdf","Transcript Link")</f>
        <v>Transcript Link</v>
      </c>
    </row>
    <row r="2297" ht="180" spans="1:13">
      <c r="A2297" s="1" t="s">
        <v>10055</v>
      </c>
      <c r="B2297" s="1" t="s">
        <v>13</v>
      </c>
      <c r="C2297" s="4" t="s">
        <v>10056</v>
      </c>
      <c r="D2297" s="1" t="s">
        <v>10057</v>
      </c>
      <c r="E2297" s="1" t="s">
        <v>10058</v>
      </c>
      <c r="F2297" s="4" t="s">
        <v>17</v>
      </c>
      <c r="G2297" s="1" t="s">
        <v>18</v>
      </c>
      <c r="H2297" s="1" t="s">
        <v>19</v>
      </c>
      <c r="I2297" s="1" t="s">
        <v>20</v>
      </c>
      <c r="J2297" s="1" t="s">
        <v>10059</v>
      </c>
      <c r="K2297" s="1" t="s">
        <v>22</v>
      </c>
      <c r="L2297" s="1" t="str">
        <f>HYPERLINK("https://files.afu.se/Downloads/Transcripts/0%20-%20Government/USA%20-%20NASA%20Johnson/2013 05 24 - NASA Johnson - Expedition 36 37 Crew Preps for Launch_MISZs91u-lI - transcript (automated).pdf","Transcript Link")</f>
        <v>Transcript Link</v>
      </c>
      <c r="M2297" s="2" t="str">
        <f>HYPERLINK("https://files.afu.se/Downloads/Transcripts/0%20-%20Government/USA%20-%20NASA%20Johnson/2013 05 24 - NASA Johnson - Expedition 36 37 Crew Preps for Launch_MISZs91u-lI - transcript (automated).pdf","Transcript Link")</f>
        <v>Transcript Link</v>
      </c>
    </row>
    <row r="2298" ht="180" spans="1:13">
      <c r="A2298" s="1" t="s">
        <v>10055</v>
      </c>
      <c r="B2298" s="1" t="s">
        <v>13</v>
      </c>
      <c r="C2298" s="4" t="s">
        <v>10060</v>
      </c>
      <c r="D2298" s="1" t="s">
        <v>10061</v>
      </c>
      <c r="E2298" s="1" t="s">
        <v>10062</v>
      </c>
      <c r="F2298" s="4" t="s">
        <v>17</v>
      </c>
      <c r="G2298" s="1" t="s">
        <v>18</v>
      </c>
      <c r="H2298" s="1" t="s">
        <v>19</v>
      </c>
      <c r="I2298" s="1" t="s">
        <v>20</v>
      </c>
      <c r="J2298" s="1" t="s">
        <v>10063</v>
      </c>
      <c r="K2298" s="1" t="s">
        <v>22</v>
      </c>
      <c r="L2298" s="1" t="str">
        <f>HYPERLINK("https://files.afu.se/Downloads/Transcripts/0%20-%20Government/USA%20-%20NASA%20Johnson/2013 05 24 - NASA Johnson - Space Station Live  May 24, 2013_2yQJ868f2kg - transcript (automated).pdf","Transcript Link")</f>
        <v>Transcript Link</v>
      </c>
      <c r="M2298" s="2" t="str">
        <f>HYPERLINK("https://files.afu.se/Downloads/Transcripts/0%20-%20Government/USA%20-%20NASA%20Johnson/2013 05 24 - NASA Johnson - Space Station Live  May 24, 2013_2yQJ868f2kg - transcript (automated).pdf","Transcript Link")</f>
        <v>Transcript Link</v>
      </c>
    </row>
    <row r="2299" ht="180" spans="1:13">
      <c r="A2299" s="1" t="s">
        <v>10064</v>
      </c>
      <c r="B2299" s="1" t="s">
        <v>13</v>
      </c>
      <c r="C2299" s="4" t="s">
        <v>10065</v>
      </c>
      <c r="D2299" s="1" t="s">
        <v>10066</v>
      </c>
      <c r="E2299" s="1" t="s">
        <v>10067</v>
      </c>
      <c r="F2299" s="4" t="s">
        <v>17</v>
      </c>
      <c r="G2299" s="1" t="s">
        <v>18</v>
      </c>
      <c r="H2299" s="1" t="s">
        <v>19</v>
      </c>
      <c r="I2299" s="1" t="s">
        <v>20</v>
      </c>
      <c r="J2299" s="1" t="s">
        <v>10068</v>
      </c>
      <c r="K2299" s="1" t="s">
        <v>22</v>
      </c>
      <c r="L2299" s="1" t="str">
        <f>HYPERLINK("https://files.afu.se/Downloads/Transcripts/0%20-%20Government/USA%20-%20NASA%20Johnson/2013 05 23 - NASA Johnson - New Jersey Students Speak With Astronaut Mario Runco_eORcSi8YdwA - transcript (automated).pdf","Transcript Link")</f>
        <v>Transcript Link</v>
      </c>
      <c r="M2299" s="2" t="str">
        <f>HYPERLINK("https://files.afu.se/Downloads/Transcripts/0%20-%20Government/USA%20-%20NASA%20Johnson/2013 05 23 - NASA Johnson - New Jersey Students Speak With Astronaut Mario Runco_eORcSi8YdwA - transcript (automated).pdf","Transcript Link")</f>
        <v>Transcript Link</v>
      </c>
    </row>
    <row r="2300" ht="180" spans="1:13">
      <c r="A2300" s="1" t="s">
        <v>10064</v>
      </c>
      <c r="B2300" s="1" t="s">
        <v>13</v>
      </c>
      <c r="C2300" s="4" t="s">
        <v>10069</v>
      </c>
      <c r="D2300" s="1" t="s">
        <v>10070</v>
      </c>
      <c r="E2300" s="1" t="s">
        <v>10071</v>
      </c>
      <c r="F2300" s="4" t="s">
        <v>17</v>
      </c>
      <c r="G2300" s="1" t="s">
        <v>18</v>
      </c>
      <c r="H2300" s="1" t="s">
        <v>19</v>
      </c>
      <c r="I2300" s="1" t="s">
        <v>20</v>
      </c>
      <c r="J2300" s="1" t="s">
        <v>10072</v>
      </c>
      <c r="K2300" s="1" t="s">
        <v>22</v>
      </c>
      <c r="L2300" s="1" t="str">
        <f>HYPERLINK("https://files.afu.se/Downloads/Transcripts/0%20-%20Government/USA%20-%20NASA%20Johnson/2013 05 23 - NASA Johnson - Destination Station Atlanta_PsbS7ZnDM4Y - transcript (automated).pdf","Transcript Link")</f>
        <v>Transcript Link</v>
      </c>
      <c r="M2300" s="2" t="str">
        <f>HYPERLINK("https://files.afu.se/Downloads/Transcripts/0%20-%20Government/USA%20-%20NASA%20Johnson/2013 05 23 - NASA Johnson - Destination Station Atlanta_PsbS7ZnDM4Y - transcript (automated).pdf","Transcript Link")</f>
        <v>Transcript Link</v>
      </c>
    </row>
    <row r="2301" ht="180" spans="1:13">
      <c r="A2301" s="1" t="s">
        <v>10064</v>
      </c>
      <c r="B2301" s="1" t="s">
        <v>13</v>
      </c>
      <c r="C2301" s="4" t="s">
        <v>10073</v>
      </c>
      <c r="D2301" s="1" t="s">
        <v>10074</v>
      </c>
      <c r="E2301" s="1" t="s">
        <v>10075</v>
      </c>
      <c r="F2301" s="4" t="s">
        <v>17</v>
      </c>
      <c r="G2301" s="1" t="s">
        <v>18</v>
      </c>
      <c r="H2301" s="1" t="s">
        <v>19</v>
      </c>
      <c r="I2301" s="1" t="s">
        <v>20</v>
      </c>
      <c r="J2301" s="1" t="s">
        <v>10076</v>
      </c>
      <c r="K2301" s="1" t="s">
        <v>22</v>
      </c>
      <c r="L2301" s="1" t="str">
        <f>HYPERLINK("https://files.afu.se/Downloads/Transcripts/0%20-%20Government/USA%20-%20NASA%20Johnson/2013 05 23 - NASA Johnson - Space Station Live  Astronaut Mario Runco on Earth Photography_FbEwIVT4Mh8 - transcript (automated).pdf","Transcript Link")</f>
        <v>Transcript Link</v>
      </c>
      <c r="M2301" s="2" t="str">
        <f>HYPERLINK("https://files.afu.se/Downloads/Transcripts/0%20-%20Government/USA%20-%20NASA%20Johnson/2013 05 23 - NASA Johnson - Space Station Live  Astronaut Mario Runco on Earth Photography_FbEwIVT4Mh8 - transcript (automated).pdf","Transcript Link")</f>
        <v>Transcript Link</v>
      </c>
    </row>
    <row r="2302" ht="180" spans="1:13">
      <c r="A2302" s="1" t="s">
        <v>10064</v>
      </c>
      <c r="B2302" s="1" t="s">
        <v>13</v>
      </c>
      <c r="C2302" s="4" t="s">
        <v>10077</v>
      </c>
      <c r="D2302" s="1" t="s">
        <v>10078</v>
      </c>
      <c r="E2302" s="1" t="s">
        <v>10079</v>
      </c>
      <c r="F2302" s="4" t="s">
        <v>17</v>
      </c>
      <c r="G2302" s="1" t="s">
        <v>18</v>
      </c>
      <c r="H2302" s="1" t="s">
        <v>19</v>
      </c>
      <c r="I2302" s="1" t="s">
        <v>20</v>
      </c>
      <c r="J2302" s="1" t="s">
        <v>10080</v>
      </c>
      <c r="K2302" s="1" t="s">
        <v>22</v>
      </c>
      <c r="L2302" s="1" t="str">
        <f>HYPERLINK("https://files.afu.se/Downloads/Transcripts/0%20-%20Government/USA%20-%20NASA%20Johnson/2013 05 23 - NASA Johnson - Space Station Live  May 23, 2013_DXjuaLKKrgI - transcript (automated).pdf","Transcript Link")</f>
        <v>Transcript Link</v>
      </c>
      <c r="M2302" s="2" t="str">
        <f>HYPERLINK("https://files.afu.se/Downloads/Transcripts/0%20-%20Government/USA%20-%20NASA%20Johnson/2013 05 23 - NASA Johnson - Space Station Live  May 23, 2013_DXjuaLKKrgI - transcript (automated).pdf","Transcript Link")</f>
        <v>Transcript Link</v>
      </c>
    </row>
    <row r="2303" ht="180" spans="1:13">
      <c r="A2303" s="1" t="s">
        <v>10081</v>
      </c>
      <c r="B2303" s="1" t="s">
        <v>13</v>
      </c>
      <c r="C2303" s="4" t="s">
        <v>10082</v>
      </c>
      <c r="D2303" s="1" t="s">
        <v>10083</v>
      </c>
      <c r="E2303" s="1" t="s">
        <v>10084</v>
      </c>
      <c r="F2303" s="4" t="s">
        <v>17</v>
      </c>
      <c r="G2303" s="1" t="s">
        <v>18</v>
      </c>
      <c r="H2303" s="1" t="s">
        <v>19</v>
      </c>
      <c r="I2303" s="1" t="s">
        <v>20</v>
      </c>
      <c r="J2303" s="1" t="s">
        <v>10085</v>
      </c>
      <c r="K2303" s="1" t="s">
        <v>22</v>
      </c>
      <c r="L2303" s="1" t="str">
        <f>HYPERLINK("https://files.afu.se/Downloads/Transcripts/0%20-%20Government/USA%20-%20NASA%20Johnson/2013 05 22 - NASA Johnson - Expedition 36 37 Crew Launch Preps in Kazakhstan_k5Yyc-G5eS8 - transcript (automated).pdf","Transcript Link")</f>
        <v>Transcript Link</v>
      </c>
      <c r="M2303" s="2" t="str">
        <f>HYPERLINK("https://files.afu.se/Downloads/Transcripts/0%20-%20Government/USA%20-%20NASA%20Johnson/2013 05 22 - NASA Johnson - Expedition 36 37 Crew Launch Preps in Kazakhstan_k5Yyc-G5eS8 - transcript (automated).pdf","Transcript Link")</f>
        <v>Transcript Link</v>
      </c>
    </row>
    <row r="2304" ht="180" spans="1:13">
      <c r="A2304" s="1" t="s">
        <v>10081</v>
      </c>
      <c r="B2304" s="1" t="s">
        <v>13</v>
      </c>
      <c r="C2304" s="4" t="s">
        <v>10086</v>
      </c>
      <c r="D2304" s="1" t="s">
        <v>10087</v>
      </c>
      <c r="E2304" s="1" t="s">
        <v>10088</v>
      </c>
      <c r="F2304" s="4" t="s">
        <v>17</v>
      </c>
      <c r="G2304" s="1" t="s">
        <v>18</v>
      </c>
      <c r="H2304" s="1" t="s">
        <v>19</v>
      </c>
      <c r="I2304" s="1" t="s">
        <v>20</v>
      </c>
      <c r="J2304" s="1" t="s">
        <v>10089</v>
      </c>
      <c r="K2304" s="1" t="s">
        <v>22</v>
      </c>
      <c r="L2304" s="1" t="str">
        <f>HYPERLINK("https://files.afu.se/Downloads/Transcripts/0%20-%20Government/USA%20-%20NASA%20Johnson/2013 05 22 - NASA Johnson - Space Station Live  High-Intensity Exercise in Space_b_Ot7r-nXRw - transcript (automated).pdf","Transcript Link")</f>
        <v>Transcript Link</v>
      </c>
      <c r="M2304" s="2" t="str">
        <f>HYPERLINK("https://files.afu.se/Downloads/Transcripts/0%20-%20Government/USA%20-%20NASA%20Johnson/2013 05 22 - NASA Johnson - Space Station Live  High-Intensity Exercise in Space_b_Ot7r-nXRw - transcript (automated).pdf","Transcript Link")</f>
        <v>Transcript Link</v>
      </c>
    </row>
    <row r="2305" ht="180" spans="1:13">
      <c r="A2305" s="1" t="s">
        <v>10081</v>
      </c>
      <c r="B2305" s="1" t="s">
        <v>13</v>
      </c>
      <c r="C2305" s="4" t="s">
        <v>10090</v>
      </c>
      <c r="D2305" s="1" t="s">
        <v>10091</v>
      </c>
      <c r="E2305" s="1" t="s">
        <v>10092</v>
      </c>
      <c r="F2305" s="4" t="s">
        <v>17</v>
      </c>
      <c r="G2305" s="1" t="s">
        <v>18</v>
      </c>
      <c r="H2305" s="1" t="s">
        <v>19</v>
      </c>
      <c r="I2305" s="1" t="s">
        <v>20</v>
      </c>
      <c r="J2305" s="1" t="s">
        <v>10093</v>
      </c>
      <c r="K2305" s="1" t="s">
        <v>22</v>
      </c>
      <c r="L2305" s="1" t="str">
        <f>HYPERLINK("https://files.afu.se/Downloads/Transcripts/0%20-%20Government/USA%20-%20NASA%20Johnson/2013 05 22 - NASA Johnson - Space Station Live  May 22, 2013_AfI4GSLfQWo - transcript (automated).pdf","Transcript Link")</f>
        <v>Transcript Link</v>
      </c>
      <c r="M2305" s="2" t="str">
        <f>HYPERLINK("https://files.afu.se/Downloads/Transcripts/0%20-%20Government/USA%20-%20NASA%20Johnson/2013 05 22 - NASA Johnson - Space Station Live  May 22, 2013_AfI4GSLfQWo - transcript (automated).pdf","Transcript Link")</f>
        <v>Transcript Link</v>
      </c>
    </row>
    <row r="2306" ht="180" spans="1:13">
      <c r="A2306" s="1" t="s">
        <v>10094</v>
      </c>
      <c r="B2306" s="1" t="s">
        <v>13</v>
      </c>
      <c r="C2306" s="4" t="s">
        <v>10095</v>
      </c>
      <c r="D2306" s="1" t="s">
        <v>10028</v>
      </c>
      <c r="E2306" s="1" t="s">
        <v>10096</v>
      </c>
      <c r="F2306" s="4" t="s">
        <v>17</v>
      </c>
      <c r="G2306" s="1" t="s">
        <v>18</v>
      </c>
      <c r="H2306" s="1" t="s">
        <v>19</v>
      </c>
      <c r="I2306" s="1" t="s">
        <v>20</v>
      </c>
      <c r="J2306" s="1" t="s">
        <v>10097</v>
      </c>
      <c r="K2306" s="1" t="s">
        <v>22</v>
      </c>
      <c r="L2306" s="1" t="str">
        <f>HYPERLINK("https://files.afu.se/Downloads/Transcripts/0%20-%20Government/USA%20-%20NASA%20Johnson/2013 05 21 - NASA Johnson - Expedition 36 Crew Profile_GBY2UkRnHPY - transcript (automated).pdf","Transcript Link")</f>
        <v>Transcript Link</v>
      </c>
      <c r="M2306" s="2" t="str">
        <f>HYPERLINK("https://files.afu.se/Downloads/Transcripts/0%20-%20Government/USA%20-%20NASA%20Johnson/2013 05 21 - NASA Johnson - Expedition 36 Crew Profile_GBY2UkRnHPY - transcript (automated).pdf","Transcript Link")</f>
        <v>Transcript Link</v>
      </c>
    </row>
    <row r="2307" ht="180" spans="1:13">
      <c r="A2307" s="1" t="s">
        <v>10094</v>
      </c>
      <c r="B2307" s="1" t="s">
        <v>13</v>
      </c>
      <c r="C2307" s="4" t="s">
        <v>10098</v>
      </c>
      <c r="D2307" s="1" t="s">
        <v>10099</v>
      </c>
      <c r="E2307" s="1" t="s">
        <v>10100</v>
      </c>
      <c r="F2307" s="4" t="s">
        <v>17</v>
      </c>
      <c r="G2307" s="1" t="s">
        <v>18</v>
      </c>
      <c r="H2307" s="1" t="s">
        <v>19</v>
      </c>
      <c r="I2307" s="1" t="s">
        <v>20</v>
      </c>
      <c r="J2307" s="1" t="s">
        <v>10101</v>
      </c>
      <c r="K2307" s="1" t="s">
        <v>22</v>
      </c>
      <c r="L2307" s="1" t="str">
        <f>HYPERLINK("https://files.afu.se/Downloads/Transcripts/0%20-%20Government/USA%20-%20NASA%20Johnson/2013 05 21 - NASA Johnson - Space Station Live  May 21, 2013_XZE84IxzQYo - transcript (automated).pdf","Transcript Link")</f>
        <v>Transcript Link</v>
      </c>
      <c r="M2307" s="2" t="str">
        <f>HYPERLINK("https://files.afu.se/Downloads/Transcripts/0%20-%20Government/USA%20-%20NASA%20Johnson/2013 05 21 - NASA Johnson - Space Station Live  May 21, 2013_XZE84IxzQYo - transcript (automated).pdf","Transcript Link")</f>
        <v>Transcript Link</v>
      </c>
    </row>
    <row r="2308" ht="180" spans="1:13">
      <c r="A2308" s="1" t="s">
        <v>10102</v>
      </c>
      <c r="B2308" s="1" t="s">
        <v>13</v>
      </c>
      <c r="C2308" s="4" t="s">
        <v>10103</v>
      </c>
      <c r="D2308" s="1" t="s">
        <v>7436</v>
      </c>
      <c r="E2308" s="1" t="s">
        <v>10104</v>
      </c>
      <c r="F2308" s="4" t="s">
        <v>17</v>
      </c>
      <c r="G2308" s="1" t="s">
        <v>18</v>
      </c>
      <c r="H2308" s="1" t="s">
        <v>19</v>
      </c>
      <c r="I2308" s="1" t="s">
        <v>20</v>
      </c>
      <c r="J2308" s="1" t="s">
        <v>10105</v>
      </c>
      <c r="K2308" s="1" t="s">
        <v>22</v>
      </c>
      <c r="L2308" s="1" t="str">
        <f>HYPERLINK("https://files.afu.se/Downloads/Transcripts/0%20-%20Government/USA%20-%20NASA%20Johnson/2013 05 20 - NASA Johnson - Space Station Live  Amine Swingbed_kU86gaiA6Rc - transcript (automated).pdf","Transcript Link")</f>
        <v>Transcript Link</v>
      </c>
      <c r="M2308" s="2" t="str">
        <f>HYPERLINK("https://files.afu.se/Downloads/Transcripts/0%20-%20Government/USA%20-%20NASA%20Johnson/2013 05 20 - NASA Johnson - Space Station Live  Amine Swingbed_kU86gaiA6Rc - transcript (automated).pdf","Transcript Link")</f>
        <v>Transcript Link</v>
      </c>
    </row>
    <row r="2309" ht="409.5" spans="1:13">
      <c r="A2309" s="1" t="s">
        <v>10102</v>
      </c>
      <c r="B2309" s="1" t="s">
        <v>13</v>
      </c>
      <c r="C2309" s="4" t="s">
        <v>10106</v>
      </c>
      <c r="D2309" s="1" t="s">
        <v>10107</v>
      </c>
      <c r="E2309" s="1" t="s">
        <v>10108</v>
      </c>
      <c r="F2309" s="4" t="s">
        <v>17</v>
      </c>
      <c r="G2309" s="1" t="s">
        <v>18</v>
      </c>
      <c r="H2309" s="1" t="s">
        <v>19</v>
      </c>
      <c r="I2309" s="1" t="s">
        <v>20</v>
      </c>
      <c r="J2309" s="1" t="s">
        <v>10109</v>
      </c>
      <c r="K2309" s="1" t="s">
        <v>22</v>
      </c>
      <c r="L2309" s="1" t="str">
        <f>HYPERLINK("https://files.afu.se/Downloads/Transcripts/0%20-%20Government/USA%20-%20NASA%20Johnson/2013 05 20 - NASA Johnson - Space Station Live  Fluids and Combustion Facility_8vNCp-VTIvE - transcript (automated).pdf","Transcript Link")</f>
        <v>Transcript Link</v>
      </c>
      <c r="M2309" s="2" t="str">
        <f>HYPERLINK("https://files.afu.se/Downloads/Transcripts/0%20-%20Government/USA%20-%20NASA%20Johnson/2013 05 20 - NASA Johnson - Space Station Live  Fluids and Combustion Facility_8vNCp-VTIvE - transcript (automated).pdf","Transcript Link")</f>
        <v>Transcript Link</v>
      </c>
    </row>
    <row r="2310" ht="180" spans="1:13">
      <c r="A2310" s="1" t="s">
        <v>10102</v>
      </c>
      <c r="B2310" s="1" t="s">
        <v>13</v>
      </c>
      <c r="C2310" s="4" t="s">
        <v>10110</v>
      </c>
      <c r="D2310" s="1" t="s">
        <v>10111</v>
      </c>
      <c r="E2310" s="1" t="s">
        <v>10112</v>
      </c>
      <c r="F2310" s="4" t="s">
        <v>17</v>
      </c>
      <c r="G2310" s="1" t="s">
        <v>18</v>
      </c>
      <c r="H2310" s="1" t="s">
        <v>19</v>
      </c>
      <c r="I2310" s="1" t="s">
        <v>20</v>
      </c>
      <c r="J2310" s="1" t="s">
        <v>10113</v>
      </c>
      <c r="K2310" s="1" t="s">
        <v>22</v>
      </c>
      <c r="L2310" s="1" t="str">
        <f>HYPERLINK("https://files.afu.se/Downloads/Transcripts/0%20-%20Government/USA%20-%20NASA%20Johnson/2013 05 20 - NASA Johnson - Space Station Live  May 20, 2013_0u5LMNhFl6M - transcript (automated).pdf","Transcript Link")</f>
        <v>Transcript Link</v>
      </c>
      <c r="M2310" s="2" t="str">
        <f>HYPERLINK("https://files.afu.se/Downloads/Transcripts/0%20-%20Government/USA%20-%20NASA%20Johnson/2013 05 20 - NASA Johnson - Space Station Live  May 20, 2013_0u5LMNhFl6M - transcript (automated).pdf","Transcript Link")</f>
        <v>Transcript Link</v>
      </c>
    </row>
    <row r="2311" ht="300" spans="1:13">
      <c r="A2311" s="1" t="s">
        <v>10114</v>
      </c>
      <c r="B2311" s="1" t="s">
        <v>13</v>
      </c>
      <c r="C2311" s="4" t="s">
        <v>10115</v>
      </c>
      <c r="D2311" s="1" t="s">
        <v>10116</v>
      </c>
      <c r="E2311" s="1" t="s">
        <v>10117</v>
      </c>
      <c r="F2311" s="4" t="s">
        <v>17</v>
      </c>
      <c r="G2311" s="1" t="s">
        <v>18</v>
      </c>
      <c r="H2311" s="1" t="s">
        <v>19</v>
      </c>
      <c r="I2311" s="1" t="s">
        <v>20</v>
      </c>
      <c r="J2311" s="1" t="s">
        <v>10118</v>
      </c>
      <c r="K2311" s="1" t="s">
        <v>22</v>
      </c>
      <c r="L2311" s="1" t="str">
        <f>HYPERLINK("https://files.afu.se/Downloads/Transcripts/0%20-%20Government/USA%20-%20NASA%20Johnson/2013 05 16 - NASA Johnson - Space Station Live  Fixing an Ammonia Leak on the Station_cx3Gjjefoy4 - transcript (automated).pdf","Transcript Link")</f>
        <v>Transcript Link</v>
      </c>
      <c r="M2311" s="2" t="str">
        <f>HYPERLINK("https://files.afu.se/Downloads/Transcripts/0%20-%20Government/USA%20-%20NASA%20Johnson/2013 05 16 - NASA Johnson - Space Station Live  Fixing an Ammonia Leak on the Station_cx3Gjjefoy4 - transcript (automated).pdf","Transcript Link")</f>
        <v>Transcript Link</v>
      </c>
    </row>
    <row r="2312" ht="180" spans="1:13">
      <c r="A2312" s="1" t="s">
        <v>10114</v>
      </c>
      <c r="B2312" s="1" t="s">
        <v>13</v>
      </c>
      <c r="C2312" s="4" t="s">
        <v>10119</v>
      </c>
      <c r="D2312" s="1" t="s">
        <v>10120</v>
      </c>
      <c r="E2312" s="1" t="s">
        <v>10121</v>
      </c>
      <c r="F2312" s="4" t="s">
        <v>17</v>
      </c>
      <c r="G2312" s="1" t="s">
        <v>18</v>
      </c>
      <c r="H2312" s="1" t="s">
        <v>19</v>
      </c>
      <c r="I2312" s="1" t="s">
        <v>20</v>
      </c>
      <c r="J2312" s="1" t="s">
        <v>10122</v>
      </c>
      <c r="K2312" s="1" t="s">
        <v>22</v>
      </c>
      <c r="L2312" s="1" t="str">
        <f>HYPERLINK("https://files.afu.se/Downloads/Transcripts/0%20-%20Government/USA%20-%20NASA%20Johnson/2013 05 16 - NASA Johnson - Space Station Live  May 16, 2013_0KsetzWBv8g - transcript (automated).pdf","Transcript Link")</f>
        <v>Transcript Link</v>
      </c>
      <c r="M2312" s="2" t="str">
        <f>HYPERLINK("https://files.afu.se/Downloads/Transcripts/0%20-%20Government/USA%20-%20NASA%20Johnson/2013 05 16 - NASA Johnson - Space Station Live  May 16, 2013_0KsetzWBv8g - transcript (automated).pdf","Transcript Link")</f>
        <v>Transcript Link</v>
      </c>
    </row>
    <row r="2313" ht="180" spans="1:13">
      <c r="A2313" s="1" t="s">
        <v>10123</v>
      </c>
      <c r="B2313" s="1" t="s">
        <v>13</v>
      </c>
      <c r="C2313" s="4" t="s">
        <v>10124</v>
      </c>
      <c r="D2313" s="1" t="s">
        <v>10125</v>
      </c>
      <c r="E2313" s="1" t="s">
        <v>10126</v>
      </c>
      <c r="F2313" s="4" t="s">
        <v>17</v>
      </c>
      <c r="G2313" s="1" t="s">
        <v>18</v>
      </c>
      <c r="H2313" s="1" t="s">
        <v>19</v>
      </c>
      <c r="I2313" s="1" t="s">
        <v>20</v>
      </c>
      <c r="J2313" s="1" t="s">
        <v>10127</v>
      </c>
      <c r="K2313" s="1" t="s">
        <v>22</v>
      </c>
      <c r="L2313" s="1" t="str">
        <f>HYPERLINK("https://files.afu.se/Downloads/Transcripts/0%20-%20Government/USA%20-%20NASA%20Johnson/2013 05 15 - NASA Johnson - Space Station Live  May 15, 2013_E5iaZakqkAQ - transcript (automated).pdf","Transcript Link")</f>
        <v>Transcript Link</v>
      </c>
      <c r="M2313" s="2" t="str">
        <f>HYPERLINK("https://files.afu.se/Downloads/Transcripts/0%20-%20Government/USA%20-%20NASA%20Johnson/2013 05 15 - NASA Johnson - Space Station Live  May 15, 2013_E5iaZakqkAQ - transcript (automated).pdf","Transcript Link")</f>
        <v>Transcript Link</v>
      </c>
    </row>
    <row r="2314" ht="180" spans="1:13">
      <c r="A2314" s="1" t="s">
        <v>10128</v>
      </c>
      <c r="B2314" s="1" t="s">
        <v>13</v>
      </c>
      <c r="C2314" s="4" t="s">
        <v>10129</v>
      </c>
      <c r="D2314" s="1" t="s">
        <v>10130</v>
      </c>
      <c r="E2314" s="1" t="s">
        <v>10131</v>
      </c>
      <c r="F2314" s="4" t="s">
        <v>17</v>
      </c>
      <c r="G2314" s="1" t="s">
        <v>18</v>
      </c>
      <c r="H2314" s="1" t="s">
        <v>19</v>
      </c>
      <c r="I2314" s="1" t="s">
        <v>20</v>
      </c>
      <c r="J2314" s="1" t="s">
        <v>10132</v>
      </c>
      <c r="K2314" s="1" t="s">
        <v>22</v>
      </c>
      <c r="L2314" s="1" t="str">
        <f>HYPERLINK("https://files.afu.se/Downloads/Transcripts/0%20-%20Government/USA%20-%20NASA%20Johnson/2013 05 14 - NASA Johnson - Expedition 35 Welcome Ceremony_F0X6sv3zq6Q - transcript (automated).pdf","Transcript Link")</f>
        <v>Transcript Link</v>
      </c>
      <c r="M2314" s="2" t="str">
        <f>HYPERLINK("https://files.afu.se/Downloads/Transcripts/0%20-%20Government/USA%20-%20NASA%20Johnson/2013 05 14 - NASA Johnson - Expedition 35 Welcome Ceremony_F0X6sv3zq6Q - transcript (automated).pdf","Transcript Link")</f>
        <v>Transcript Link</v>
      </c>
    </row>
    <row r="2315" ht="180" spans="1:13">
      <c r="A2315" s="1" t="s">
        <v>10128</v>
      </c>
      <c r="B2315" s="1" t="s">
        <v>13</v>
      </c>
      <c r="C2315" s="4" t="s">
        <v>10133</v>
      </c>
      <c r="D2315" s="1" t="s">
        <v>10134</v>
      </c>
      <c r="E2315" s="1" t="s">
        <v>10135</v>
      </c>
      <c r="F2315" s="4" t="s">
        <v>17</v>
      </c>
      <c r="G2315" s="1" t="s">
        <v>18</v>
      </c>
      <c r="H2315" s="1" t="s">
        <v>19</v>
      </c>
      <c r="I2315" s="1" t="s">
        <v>20</v>
      </c>
      <c r="J2315" s="1" t="s">
        <v>10136</v>
      </c>
      <c r="K2315" s="1" t="s">
        <v>22</v>
      </c>
      <c r="L2315" s="1" t="str">
        <f>HYPERLINK("https://files.afu.se/Downloads/Transcripts/0%20-%20Government/USA%20-%20NASA%20Johnson/2013 05 14 - NASA Johnson - Expedition 35 Crew Lands Safely in Kazakhstan_vKYXSm_5Rcs - transcript (automated).pdf","Transcript Link")</f>
        <v>Transcript Link</v>
      </c>
      <c r="M2315" s="2" t="str">
        <f>HYPERLINK("https://files.afu.se/Downloads/Transcripts/0%20-%20Government/USA%20-%20NASA%20Johnson/2013 05 14 - NASA Johnson - Expedition 35 Crew Lands Safely in Kazakhstan_vKYXSm_5Rcs - transcript (automated).pdf","Transcript Link")</f>
        <v>Transcript Link</v>
      </c>
    </row>
    <row r="2316" ht="180" spans="1:13">
      <c r="A2316" s="1" t="s">
        <v>10128</v>
      </c>
      <c r="B2316" s="1" t="s">
        <v>13</v>
      </c>
      <c r="C2316" s="4" t="s">
        <v>10137</v>
      </c>
      <c r="D2316" s="1" t="s">
        <v>10138</v>
      </c>
      <c r="E2316" s="1" t="s">
        <v>10139</v>
      </c>
      <c r="F2316" s="4" t="s">
        <v>17</v>
      </c>
      <c r="G2316" s="1" t="s">
        <v>18</v>
      </c>
      <c r="H2316" s="1" t="s">
        <v>19</v>
      </c>
      <c r="I2316" s="1" t="s">
        <v>20</v>
      </c>
      <c r="J2316" s="1" t="s">
        <v>10140</v>
      </c>
      <c r="K2316" s="1" t="s">
        <v>22</v>
      </c>
      <c r="L2316" s="1" t="str">
        <f>HYPERLINK("https://files.afu.se/Downloads/Transcripts/0%20-%20Government/USA%20-%20NASA%20Johnson/2013 05 14 - NASA Johnson - Expedition 35 Farewell and Undocking_qZSirA-ODuE - transcript (automated).pdf","Transcript Link")</f>
        <v>Transcript Link</v>
      </c>
      <c r="M2316" s="2" t="str">
        <f>HYPERLINK("https://files.afu.se/Downloads/Transcripts/0%20-%20Government/USA%20-%20NASA%20Johnson/2013 05 14 - NASA Johnson - Expedition 35 Farewell and Undocking_qZSirA-ODuE - transcript (automated).pdf","Transcript Link")</f>
        <v>Transcript Link</v>
      </c>
    </row>
    <row r="2317" ht="180" spans="1:13">
      <c r="A2317" s="1" t="s">
        <v>10141</v>
      </c>
      <c r="B2317" s="1" t="s">
        <v>13</v>
      </c>
      <c r="C2317" s="4" t="s">
        <v>10142</v>
      </c>
      <c r="D2317" s="1" t="s">
        <v>10143</v>
      </c>
      <c r="E2317" s="1" t="s">
        <v>10144</v>
      </c>
      <c r="F2317" s="4" t="s">
        <v>17</v>
      </c>
      <c r="G2317" s="1" t="s">
        <v>18</v>
      </c>
      <c r="H2317" s="1" t="s">
        <v>19</v>
      </c>
      <c r="I2317" s="1" t="s">
        <v>20</v>
      </c>
      <c r="J2317" s="1" t="s">
        <v>10145</v>
      </c>
      <c r="K2317" s="1" t="s">
        <v>22</v>
      </c>
      <c r="L2317" s="1" t="str">
        <f>HYPERLINK("https://files.afu.se/Downloads/Transcripts/0%20-%20Government/USA%20-%20NASA%20Johnson/2013 05 13 - NASA Johnson - Combustion Integrated Rack (revised)_kdf8ahuHJ0A - transcript (automated).pdf","Transcript Link")</f>
        <v>Transcript Link</v>
      </c>
      <c r="M2317" s="2" t="str">
        <f>HYPERLINK("https://files.afu.se/Downloads/Transcripts/0%20-%20Government/USA%20-%20NASA%20Johnson/2013 05 13 - NASA Johnson - Combustion Integrated Rack (revised)_kdf8ahuHJ0A - transcript (automated).pdf","Transcript Link")</f>
        <v>Transcript Link</v>
      </c>
    </row>
    <row r="2318" ht="390" spans="1:13">
      <c r="A2318" s="1" t="s">
        <v>10141</v>
      </c>
      <c r="B2318" s="1" t="s">
        <v>13</v>
      </c>
      <c r="C2318" s="4" t="s">
        <v>10146</v>
      </c>
      <c r="D2318" s="1" t="s">
        <v>10147</v>
      </c>
      <c r="E2318" s="1" t="s">
        <v>10148</v>
      </c>
      <c r="F2318" s="4" t="s">
        <v>17</v>
      </c>
      <c r="G2318" s="1" t="s">
        <v>18</v>
      </c>
      <c r="H2318" s="1" t="s">
        <v>19</v>
      </c>
      <c r="I2318" s="1" t="s">
        <v>20</v>
      </c>
      <c r="J2318" s="1" t="s">
        <v>10149</v>
      </c>
      <c r="K2318" s="1" t="s">
        <v>22</v>
      </c>
      <c r="L2318" s="1" t="str">
        <f>HYPERLINK("https://files.afu.se/Downloads/Transcripts/0%20-%20Government/USA%20-%20NASA%20Johnson/2013 05 13 - NASA Johnson - Space Station Live  Preparing for the Ride Home on a Soyuz Spacecraft_eac6SP7z4VQ - transcript (automated).pdf","Transcript Link")</f>
        <v>Transcript Link</v>
      </c>
      <c r="M2318" s="2" t="str">
        <f>HYPERLINK("https://files.afu.se/Downloads/Transcripts/0%20-%20Government/USA%20-%20NASA%20Johnson/2013 05 13 - NASA Johnson - Space Station Live  Preparing for the Ride Home on a Soyuz Spacecraft_eac6SP7z4VQ - transcript (automated).pdf","Transcript Link")</f>
        <v>Transcript Link</v>
      </c>
    </row>
    <row r="2319" ht="180" spans="1:13">
      <c r="A2319" s="1" t="s">
        <v>10141</v>
      </c>
      <c r="B2319" s="1" t="s">
        <v>13</v>
      </c>
      <c r="C2319" s="4" t="s">
        <v>10150</v>
      </c>
      <c r="D2319" s="1" t="s">
        <v>10151</v>
      </c>
      <c r="E2319" s="1" t="s">
        <v>10152</v>
      </c>
      <c r="F2319" s="4" t="s">
        <v>17</v>
      </c>
      <c r="G2319" s="1" t="s">
        <v>18</v>
      </c>
      <c r="H2319" s="1" t="s">
        <v>19</v>
      </c>
      <c r="I2319" s="1" t="s">
        <v>20</v>
      </c>
      <c r="J2319" s="1" t="s">
        <v>10153</v>
      </c>
      <c r="K2319" s="1" t="s">
        <v>22</v>
      </c>
      <c r="L2319" s="1" t="str">
        <f>HYPERLINK("https://files.afu.se/Downloads/Transcripts/0%20-%20Government/USA%20-%20NASA%20Johnson/2013 05 13 - NASA Johnson - Space Station Live  May 13, 2013_ZYBfPJbIG_0 - transcript (automated).pdf","Transcript Link")</f>
        <v>Transcript Link</v>
      </c>
      <c r="M2319" s="2" t="str">
        <f>HYPERLINK("https://files.afu.se/Downloads/Transcripts/0%20-%20Government/USA%20-%20NASA%20Johnson/2013 05 13 - NASA Johnson - Space Station Live  May 13, 2013_ZYBfPJbIG_0 - transcript (automated).pdf","Transcript Link")</f>
        <v>Transcript Link</v>
      </c>
    </row>
    <row r="2320" ht="180" spans="1:13">
      <c r="A2320" s="1" t="s">
        <v>10141</v>
      </c>
      <c r="B2320" s="1" t="s">
        <v>13</v>
      </c>
      <c r="C2320" s="4" t="s">
        <v>10154</v>
      </c>
      <c r="D2320" s="1" t="s">
        <v>10155</v>
      </c>
      <c r="E2320" s="1" t="s">
        <v>10156</v>
      </c>
      <c r="F2320" s="4" t="s">
        <v>17</v>
      </c>
      <c r="G2320" s="1" t="s">
        <v>18</v>
      </c>
      <c r="H2320" s="1" t="s">
        <v>19</v>
      </c>
      <c r="I2320" s="1" t="s">
        <v>20</v>
      </c>
      <c r="J2320" s="1" t="s">
        <v>10157</v>
      </c>
      <c r="K2320" s="1" t="s">
        <v>22</v>
      </c>
      <c r="L2320" s="1" t="str">
        <f>HYPERLINK("https://files.afu.se/Downloads/Transcripts/0%20-%20Government/USA%20-%20NASA%20Johnson/2013 05 13 - NASA Johnson - Microgravity Science Glovebox_NDrAnbY0DNE - transcript (automated).pdf","Transcript Link")</f>
        <v>Transcript Link</v>
      </c>
      <c r="M2320" s="2" t="str">
        <f>HYPERLINK("https://files.afu.se/Downloads/Transcripts/0%20-%20Government/USA%20-%20NASA%20Johnson/2013 05 13 - NASA Johnson - Microgravity Science Glovebox_NDrAnbY0DNE - transcript (automated).pdf","Transcript Link")</f>
        <v>Transcript Link</v>
      </c>
    </row>
    <row r="2321" ht="180" spans="1:13">
      <c r="A2321" s="1" t="s">
        <v>10141</v>
      </c>
      <c r="B2321" s="1" t="s">
        <v>13</v>
      </c>
      <c r="C2321" s="4" t="s">
        <v>10158</v>
      </c>
      <c r="D2321" s="1" t="s">
        <v>10159</v>
      </c>
      <c r="E2321" s="1" t="s">
        <v>10160</v>
      </c>
      <c r="F2321" s="4" t="s">
        <v>17</v>
      </c>
      <c r="G2321" s="1" t="s">
        <v>18</v>
      </c>
      <c r="H2321" s="1" t="s">
        <v>19</v>
      </c>
      <c r="I2321" s="1" t="s">
        <v>20</v>
      </c>
      <c r="J2321" s="1" t="s">
        <v>10161</v>
      </c>
      <c r="K2321" s="1" t="s">
        <v>22</v>
      </c>
      <c r="L2321" s="1" t="str">
        <f>HYPERLINK("https://files.afu.se/Downloads/Transcripts/0%20-%20Government/USA%20-%20NASA%20Johnson/2013 05 13 - NASA Johnson - Minus Eighty-Degree Laboratory Freezer for ISS_54I_Qk12OEk - transcript (automated).pdf","Transcript Link")</f>
        <v>Transcript Link</v>
      </c>
      <c r="M2321" s="2" t="str">
        <f>HYPERLINK("https://files.afu.se/Downloads/Transcripts/0%20-%20Government/USA%20-%20NASA%20Johnson/2013 05 13 - NASA Johnson - Minus Eighty-Degree Laboratory Freezer for ISS_54I_Qk12OEk - transcript (automated).pdf","Transcript Link")</f>
        <v>Transcript Link</v>
      </c>
    </row>
    <row r="2322" ht="180" spans="1:13">
      <c r="A2322" s="1" t="s">
        <v>10141</v>
      </c>
      <c r="B2322" s="1" t="s">
        <v>13</v>
      </c>
      <c r="C2322" s="4" t="s">
        <v>10162</v>
      </c>
      <c r="D2322" s="1" t="s">
        <v>10163</v>
      </c>
      <c r="E2322" s="1" t="s">
        <v>10164</v>
      </c>
      <c r="F2322" s="4" t="s">
        <v>17</v>
      </c>
      <c r="G2322" s="1" t="s">
        <v>18</v>
      </c>
      <c r="H2322" s="1" t="s">
        <v>19</v>
      </c>
      <c r="I2322" s="1" t="s">
        <v>20</v>
      </c>
      <c r="J2322" s="1" t="s">
        <v>10165</v>
      </c>
      <c r="K2322" s="1" t="s">
        <v>22</v>
      </c>
      <c r="L2322" s="1" t="str">
        <f>HYPERLINK("https://files.afu.se/Downloads/Transcripts/0%20-%20Government/USA%20-%20NASA%20Johnson/2013 05 13 - NASA Johnson - Human Research Facility_39jeHBFwW7Y - transcript (automated).pdf","Transcript Link")</f>
        <v>Transcript Link</v>
      </c>
      <c r="M2322" s="2" t="str">
        <f>HYPERLINK("https://files.afu.se/Downloads/Transcripts/0%20-%20Government/USA%20-%20NASA%20Johnson/2013 05 13 - NASA Johnson - Human Research Facility_39jeHBFwW7Y - transcript (automated).pdf","Transcript Link")</f>
        <v>Transcript Link</v>
      </c>
    </row>
    <row r="2323" ht="180" spans="1:13">
      <c r="A2323" s="1" t="s">
        <v>10141</v>
      </c>
      <c r="B2323" s="1" t="s">
        <v>13</v>
      </c>
      <c r="C2323" s="4" t="s">
        <v>10166</v>
      </c>
      <c r="D2323" s="1" t="s">
        <v>10167</v>
      </c>
      <c r="E2323" s="1" t="s">
        <v>10168</v>
      </c>
      <c r="F2323" s="4" t="s">
        <v>17</v>
      </c>
      <c r="G2323" s="1" t="s">
        <v>18</v>
      </c>
      <c r="H2323" s="1" t="s">
        <v>19</v>
      </c>
      <c r="I2323" s="1" t="s">
        <v>20</v>
      </c>
      <c r="J2323" s="1" t="s">
        <v>10169</v>
      </c>
      <c r="K2323" s="1" t="s">
        <v>22</v>
      </c>
      <c r="L2323" s="1" t="str">
        <f>HYPERLINK("https://files.afu.se/Downloads/Transcripts/0%20-%20Government/USA%20-%20NASA%20Johnson/2013 05 13 - NASA Johnson - ExPRESS Rack_qyIc597iit4 - transcript (automated).pdf","Transcript Link")</f>
        <v>Transcript Link</v>
      </c>
      <c r="M2323" s="2" t="str">
        <f>HYPERLINK("https://files.afu.se/Downloads/Transcripts/0%20-%20Government/USA%20-%20NASA%20Johnson/2013 05 13 - NASA Johnson - ExPRESS Rack_qyIc597iit4 - transcript (automated).pdf","Transcript Link")</f>
        <v>Transcript Link</v>
      </c>
    </row>
    <row r="2324" ht="180" spans="1:13">
      <c r="A2324" s="1" t="s">
        <v>10170</v>
      </c>
      <c r="B2324" s="1" t="s">
        <v>13</v>
      </c>
      <c r="C2324" s="4" t="s">
        <v>10171</v>
      </c>
      <c r="D2324" s="1" t="s">
        <v>4392</v>
      </c>
      <c r="E2324" s="1" t="s">
        <v>10172</v>
      </c>
      <c r="F2324" s="4" t="s">
        <v>17</v>
      </c>
      <c r="G2324" s="1" t="s">
        <v>18</v>
      </c>
      <c r="H2324" s="1" t="s">
        <v>19</v>
      </c>
      <c r="I2324" s="1" t="s">
        <v>20</v>
      </c>
      <c r="J2324" s="1" t="s">
        <v>10173</v>
      </c>
      <c r="K2324" s="1" t="s">
        <v>22</v>
      </c>
      <c r="L2324" s="1" t="str">
        <f>HYPERLINK("https://files.afu.se/Downloads/Transcripts/0%20-%20Government/USA%20-%20NASA%20Johnson/2013 05 12 - NASA Johnson - Station Change of Command Ceremony_9FxyAwD4ERI - transcript (automated).pdf","Transcript Link")</f>
        <v>Transcript Link</v>
      </c>
      <c r="M2324" s="2" t="str">
        <f>HYPERLINK("https://files.afu.se/Downloads/Transcripts/0%20-%20Government/USA%20-%20NASA%20Johnson/2013 05 12 - NASA Johnson - Station Change of Command Ceremony_9FxyAwD4ERI - transcript (automated).pdf","Transcript Link")</f>
        <v>Transcript Link</v>
      </c>
    </row>
    <row r="2325" ht="180" spans="1:13">
      <c r="A2325" s="1" t="s">
        <v>10174</v>
      </c>
      <c r="B2325" s="1" t="s">
        <v>13</v>
      </c>
      <c r="C2325" s="4" t="s">
        <v>10175</v>
      </c>
      <c r="D2325" s="1" t="s">
        <v>10176</v>
      </c>
      <c r="E2325" s="1" t="s">
        <v>10177</v>
      </c>
      <c r="F2325" s="4" t="s">
        <v>17</v>
      </c>
      <c r="G2325" s="1" t="s">
        <v>18</v>
      </c>
      <c r="H2325" s="1" t="s">
        <v>19</v>
      </c>
      <c r="I2325" s="1" t="s">
        <v>20</v>
      </c>
      <c r="J2325" s="1" t="s">
        <v>10178</v>
      </c>
      <c r="K2325" s="1" t="s">
        <v>22</v>
      </c>
      <c r="L2325" s="1" t="str">
        <f>HYPERLINK("https://files.afu.se/Downloads/Transcripts/0%20-%20Government/USA%20-%20NASA%20Johnson/2013 05 10 - NASA Johnson - Space Station Live  May 10, 2013_3A0SWg7dC2c - transcript (automated).pdf","Transcript Link")</f>
        <v>Transcript Link</v>
      </c>
      <c r="M2325" s="2" t="str">
        <f>HYPERLINK("https://files.afu.se/Downloads/Transcripts/0%20-%20Government/USA%20-%20NASA%20Johnson/2013 05 10 - NASA Johnson - Space Station Live  May 10, 2013_3A0SWg7dC2c - transcript (automated).pdf","Transcript Link")</f>
        <v>Transcript Link</v>
      </c>
    </row>
    <row r="2326" ht="180" spans="1:13">
      <c r="A2326" s="1" t="s">
        <v>10174</v>
      </c>
      <c r="B2326" s="1" t="s">
        <v>13</v>
      </c>
      <c r="C2326" s="4" t="s">
        <v>10179</v>
      </c>
      <c r="D2326" s="1" t="s">
        <v>10180</v>
      </c>
      <c r="E2326" s="1" t="s">
        <v>10181</v>
      </c>
      <c r="F2326" s="4" t="s">
        <v>17</v>
      </c>
      <c r="G2326" s="1" t="s">
        <v>18</v>
      </c>
      <c r="H2326" s="1" t="s">
        <v>19</v>
      </c>
      <c r="I2326" s="1" t="s">
        <v>20</v>
      </c>
      <c r="J2326" s="1" t="s">
        <v>10182</v>
      </c>
      <c r="K2326" s="1" t="s">
        <v>22</v>
      </c>
      <c r="L2326" s="1" t="str">
        <f>HYPERLINK("https://files.afu.se/Downloads/Transcripts/0%20-%20Government/USA%20-%20NASA%20Johnson/2013 05 10 - NASA Johnson - Station Ammonia Leak Prompts Spacewalk Preps_DQREC9-zkY0 - transcript (automated).pdf","Transcript Link")</f>
        <v>Transcript Link</v>
      </c>
      <c r="M2326" s="2" t="str">
        <f>HYPERLINK("https://files.afu.se/Downloads/Transcripts/0%20-%20Government/USA%20-%20NASA%20Johnson/2013 05 10 - NASA Johnson - Station Ammonia Leak Prompts Spacewalk Preps_DQREC9-zkY0 - transcript (automated).pdf","Transcript Link")</f>
        <v>Transcript Link</v>
      </c>
    </row>
    <row r="2327" ht="180" spans="1:13">
      <c r="A2327" s="1" t="s">
        <v>10183</v>
      </c>
      <c r="B2327" s="1" t="s">
        <v>13</v>
      </c>
      <c r="C2327" s="4" t="s">
        <v>10184</v>
      </c>
      <c r="D2327" s="1" t="s">
        <v>10185</v>
      </c>
      <c r="E2327" s="1" t="s">
        <v>10186</v>
      </c>
      <c r="F2327" s="4" t="s">
        <v>17</v>
      </c>
      <c r="G2327" s="1" t="s">
        <v>18</v>
      </c>
      <c r="H2327" s="1" t="s">
        <v>19</v>
      </c>
      <c r="I2327" s="1" t="s">
        <v>20</v>
      </c>
      <c r="J2327" s="1" t="s">
        <v>10187</v>
      </c>
      <c r="K2327" s="1" t="s">
        <v>22</v>
      </c>
      <c r="L2327" s="1" t="str">
        <f>HYPERLINK("https://files.afu.se/Downloads/Transcripts/0%20-%20Government/USA%20-%20NASA%20Johnson/2013 05 09 - NASA Johnson - Students Learn About Spacesuits_KgGcBO6aHhs - transcript (automated).pdf","Transcript Link")</f>
        <v>Transcript Link</v>
      </c>
      <c r="M2327" s="2" t="str">
        <f>HYPERLINK("https://files.afu.se/Downloads/Transcripts/0%20-%20Government/USA%20-%20NASA%20Johnson/2013 05 09 - NASA Johnson - Students Learn About Spacesuits_KgGcBO6aHhs - transcript (automated).pdf","Transcript Link")</f>
        <v>Transcript Link</v>
      </c>
    </row>
    <row r="2328" ht="315" spans="1:13">
      <c r="A2328" s="1" t="s">
        <v>10183</v>
      </c>
      <c r="B2328" s="1" t="s">
        <v>13</v>
      </c>
      <c r="C2328" s="4" t="s">
        <v>10188</v>
      </c>
      <c r="D2328" s="1" t="s">
        <v>10189</v>
      </c>
      <c r="E2328" s="1" t="s">
        <v>10190</v>
      </c>
      <c r="F2328" s="4" t="s">
        <v>17</v>
      </c>
      <c r="G2328" s="1" t="s">
        <v>18</v>
      </c>
      <c r="H2328" s="1" t="s">
        <v>19</v>
      </c>
      <c r="I2328" s="1" t="s">
        <v>20</v>
      </c>
      <c r="J2328" s="1" t="s">
        <v>10191</v>
      </c>
      <c r="K2328" s="1" t="s">
        <v>22</v>
      </c>
      <c r="L2328" s="1" t="str">
        <f>HYPERLINK("https://files.afu.se/Downloads/Transcripts/0%20-%20Government/USA%20-%20NASA%20Johnson/2013 05 09 - NASA Johnson - Astronaut Karen Nyberg Discusses Parenting in Advance of ISS Mission_bOYHUfEl45U - transcript (automated).pdf","Transcript Link")</f>
        <v>Transcript Link</v>
      </c>
      <c r="M2328" s="2" t="str">
        <f>HYPERLINK("https://files.afu.se/Downloads/Transcripts/0%20-%20Government/USA%20-%20NASA%20Johnson/2013 05 09 - NASA Johnson - Astronaut Karen Nyberg Discusses Parenting in Advance of ISS Mission_bOYHUfEl45U - transcript (automated).pdf","Transcript Link")</f>
        <v>Transcript Link</v>
      </c>
    </row>
    <row r="2329" ht="270" spans="1:13">
      <c r="A2329" s="1" t="s">
        <v>10183</v>
      </c>
      <c r="B2329" s="1" t="s">
        <v>13</v>
      </c>
      <c r="C2329" s="4" t="s">
        <v>10192</v>
      </c>
      <c r="D2329" s="1" t="s">
        <v>10193</v>
      </c>
      <c r="E2329" s="1" t="s">
        <v>10194</v>
      </c>
      <c r="F2329" s="4" t="s">
        <v>17</v>
      </c>
      <c r="G2329" s="1" t="s">
        <v>18</v>
      </c>
      <c r="H2329" s="1" t="s">
        <v>19</v>
      </c>
      <c r="I2329" s="1" t="s">
        <v>20</v>
      </c>
      <c r="J2329" s="1" t="s">
        <v>10195</v>
      </c>
      <c r="K2329" s="1" t="s">
        <v>22</v>
      </c>
      <c r="L2329" s="1" t="str">
        <f>HYPERLINK("https://files.afu.se/Downloads/Transcripts/0%20-%20Government/USA%20-%20NASA%20Johnson/2013 05 09 - NASA Johnson - Astronaut Mom Nicole Stott On Being a Mom and Space Explorer_P-9mJ45Q1Fw - transcript (automated).pdf","Transcript Link")</f>
        <v>Transcript Link</v>
      </c>
      <c r="M2329" s="2" t="str">
        <f>HYPERLINK("https://files.afu.se/Downloads/Transcripts/0%20-%20Government/USA%20-%20NASA%20Johnson/2013 05 09 - NASA Johnson - Astronaut Mom Nicole Stott On Being a Mom and Space Explorer_P-9mJ45Q1Fw - transcript (automated).pdf","Transcript Link")</f>
        <v>Transcript Link</v>
      </c>
    </row>
    <row r="2330" ht="180" spans="1:13">
      <c r="A2330" s="1" t="s">
        <v>10183</v>
      </c>
      <c r="B2330" s="1" t="s">
        <v>13</v>
      </c>
      <c r="C2330" s="4" t="s">
        <v>10196</v>
      </c>
      <c r="D2330" s="1" t="s">
        <v>10197</v>
      </c>
      <c r="E2330" s="1" t="s">
        <v>10198</v>
      </c>
      <c r="F2330" s="4" t="s">
        <v>17</v>
      </c>
      <c r="G2330" s="1" t="s">
        <v>18</v>
      </c>
      <c r="H2330" s="1" t="s">
        <v>19</v>
      </c>
      <c r="I2330" s="1" t="s">
        <v>20</v>
      </c>
      <c r="J2330" s="1" t="s">
        <v>10199</v>
      </c>
      <c r="K2330" s="1" t="s">
        <v>22</v>
      </c>
      <c r="L2330" s="1" t="str">
        <f>HYPERLINK("https://files.afu.se/Downloads/Transcripts/0%20-%20Government/USA%20-%20NASA%20Johnson/2013 05 09 - NASA Johnson - Space Station Live  May 9, 2013_4Cqbc-VVzKs - transcript (automated).pdf","Transcript Link")</f>
        <v>Transcript Link</v>
      </c>
      <c r="M2330" s="2" t="str">
        <f>HYPERLINK("https://files.afu.se/Downloads/Transcripts/0%20-%20Government/USA%20-%20NASA%20Johnson/2013 05 09 - NASA Johnson - Space Station Live  May 9, 2013_4Cqbc-VVzKs - transcript (automated).pdf","Transcript Link")</f>
        <v>Transcript Link</v>
      </c>
    </row>
    <row r="2331" ht="405" spans="1:13">
      <c r="A2331" s="1" t="s">
        <v>10200</v>
      </c>
      <c r="B2331" s="1" t="s">
        <v>13</v>
      </c>
      <c r="C2331" s="4" t="s">
        <v>10201</v>
      </c>
      <c r="D2331" s="1" t="s">
        <v>10202</v>
      </c>
      <c r="E2331" s="1" t="s">
        <v>10203</v>
      </c>
      <c r="F2331" s="4" t="s">
        <v>17</v>
      </c>
      <c r="G2331" s="1" t="s">
        <v>18</v>
      </c>
      <c r="H2331" s="1" t="s">
        <v>19</v>
      </c>
      <c r="I2331" s="1" t="s">
        <v>20</v>
      </c>
      <c r="J2331" s="1" t="s">
        <v>10204</v>
      </c>
      <c r="K2331" s="1" t="s">
        <v>22</v>
      </c>
      <c r="L2331" s="1" t="str">
        <f>HYPERLINK("https://files.afu.se/Downloads/Transcripts/0%20-%20Government/USA%20-%20NASA%20Johnson/2013 05 08 - NASA Johnson - Karen Nyberg Talks International Space Station Benefits_As6wf-D-iZo - transcript (automated).pdf","Transcript Link")</f>
        <v>Transcript Link</v>
      </c>
      <c r="M2331" s="2" t="str">
        <f>HYPERLINK("https://files.afu.se/Downloads/Transcripts/0%20-%20Government/USA%20-%20NASA%20Johnson/2013 05 08 - NASA Johnson - Karen Nyberg Talks International Space Station Benefits_As6wf-D-iZo - transcript (automated).pdf","Transcript Link")</f>
        <v>Transcript Link</v>
      </c>
    </row>
    <row r="2332" ht="180" spans="1:13">
      <c r="A2332" s="1" t="s">
        <v>10200</v>
      </c>
      <c r="B2332" s="1" t="s">
        <v>13</v>
      </c>
      <c r="C2332" s="4" t="s">
        <v>10205</v>
      </c>
      <c r="D2332" s="1" t="s">
        <v>10206</v>
      </c>
      <c r="E2332" s="1" t="s">
        <v>10207</v>
      </c>
      <c r="F2332" s="4" t="s">
        <v>17</v>
      </c>
      <c r="G2332" s="1" t="s">
        <v>18</v>
      </c>
      <c r="H2332" s="1" t="s">
        <v>19</v>
      </c>
      <c r="I2332" s="1" t="s">
        <v>20</v>
      </c>
      <c r="J2332" s="1" t="s">
        <v>10208</v>
      </c>
      <c r="K2332" s="1" t="s">
        <v>22</v>
      </c>
      <c r="L2332" s="1" t="str">
        <f>HYPERLINK("https://files.afu.se/Downloads/Transcripts/0%20-%20Government/USA%20-%20NASA%20Johnson/2013 05 08 - NASA Johnson - Space Station Live  May 8, 2013_VlkIffycQWA - transcript (automated).pdf","Transcript Link")</f>
        <v>Transcript Link</v>
      </c>
      <c r="M2332" s="2" t="str">
        <f>HYPERLINK("https://files.afu.se/Downloads/Transcripts/0%20-%20Government/USA%20-%20NASA%20Johnson/2013 05 08 - NASA Johnson - Space Station Live  May 8, 2013_VlkIffycQWA - transcript (automated).pdf","Transcript Link")</f>
        <v>Transcript Link</v>
      </c>
    </row>
    <row r="2333" ht="360" spans="1:13">
      <c r="A2333" s="1" t="s">
        <v>10209</v>
      </c>
      <c r="B2333" s="1" t="s">
        <v>13</v>
      </c>
      <c r="C2333" s="4" t="s">
        <v>10210</v>
      </c>
      <c r="D2333" s="1" t="s">
        <v>10211</v>
      </c>
      <c r="E2333" s="1" t="s">
        <v>10212</v>
      </c>
      <c r="F2333" s="4" t="s">
        <v>17</v>
      </c>
      <c r="G2333" s="1" t="s">
        <v>18</v>
      </c>
      <c r="H2333" s="1" t="s">
        <v>19</v>
      </c>
      <c r="I2333" s="1" t="s">
        <v>20</v>
      </c>
      <c r="J2333" s="1" t="s">
        <v>10213</v>
      </c>
      <c r="K2333" s="1" t="s">
        <v>22</v>
      </c>
      <c r="L2333" s="1" t="str">
        <f>HYPERLINK("https://files.afu.se/Downloads/Transcripts/0%20-%20Government/USA%20-%20NASA%20Johnson/2013 05 07 - NASA Johnson - Space Station Live  Students Help Build Station Trainers_MRakLLNnpUY - transcript (automated).pdf","Transcript Link")</f>
        <v>Transcript Link</v>
      </c>
      <c r="M2333" s="2" t="str">
        <f>HYPERLINK("https://files.afu.se/Downloads/Transcripts/0%20-%20Government/USA%20-%20NASA%20Johnson/2013 05 07 - NASA Johnson - Space Station Live  Students Help Build Station Trainers_MRakLLNnpUY - transcript (automated).pdf","Transcript Link")</f>
        <v>Transcript Link</v>
      </c>
    </row>
    <row r="2334" ht="180" spans="1:13">
      <c r="A2334" s="1" t="s">
        <v>10209</v>
      </c>
      <c r="B2334" s="1" t="s">
        <v>13</v>
      </c>
      <c r="C2334" s="4" t="s">
        <v>10214</v>
      </c>
      <c r="D2334" s="1" t="s">
        <v>10215</v>
      </c>
      <c r="E2334" s="1" t="s">
        <v>10216</v>
      </c>
      <c r="F2334" s="4" t="s">
        <v>17</v>
      </c>
      <c r="G2334" s="1" t="s">
        <v>18</v>
      </c>
      <c r="H2334" s="1" t="s">
        <v>19</v>
      </c>
      <c r="I2334" s="1" t="s">
        <v>20</v>
      </c>
      <c r="J2334" s="1" t="s">
        <v>10217</v>
      </c>
      <c r="K2334" s="1" t="s">
        <v>22</v>
      </c>
      <c r="L2334" s="1" t="str">
        <f>HYPERLINK("https://files.afu.se/Downloads/Transcripts/0%20-%20Government/USA%20-%20NASA%20Johnson/2013 05 07 - NASA Johnson - Space Station Live  May 7, 2013_XNQpJlxMR4E - transcript (automated).pdf","Transcript Link")</f>
        <v>Transcript Link</v>
      </c>
      <c r="M2334" s="2" t="str">
        <f>HYPERLINK("https://files.afu.se/Downloads/Transcripts/0%20-%20Government/USA%20-%20NASA%20Johnson/2013 05 07 - NASA Johnson - Space Station Live  May 7, 2013_XNQpJlxMR4E - transcript (automated).pdf","Transcript Link")</f>
        <v>Transcript Link</v>
      </c>
    </row>
    <row r="2335" ht="180" spans="1:13">
      <c r="A2335" s="1" t="s">
        <v>10218</v>
      </c>
      <c r="B2335" s="1" t="s">
        <v>13</v>
      </c>
      <c r="C2335" s="4" t="s">
        <v>10219</v>
      </c>
      <c r="D2335" s="1" t="s">
        <v>10220</v>
      </c>
      <c r="E2335" s="1" t="s">
        <v>10221</v>
      </c>
      <c r="F2335" s="4" t="s">
        <v>17</v>
      </c>
      <c r="G2335" s="1" t="s">
        <v>18</v>
      </c>
      <c r="H2335" s="1" t="s">
        <v>19</v>
      </c>
      <c r="I2335" s="1" t="s">
        <v>20</v>
      </c>
      <c r="J2335" s="1" t="s">
        <v>10222</v>
      </c>
      <c r="K2335" s="1" t="s">
        <v>22</v>
      </c>
      <c r="L2335" s="1" t="str">
        <f>HYPERLINK("https://files.afu.se/Downloads/Transcripts/0%20-%20Government/USA%20-%20NASA%20Johnson/2013 05 06 - NASA Johnson - Space Station Live  May 6, 2013_1XCDErtngO4 - transcript (automated).pdf","Transcript Link")</f>
        <v>Transcript Link</v>
      </c>
      <c r="M2335" s="2" t="str">
        <f>HYPERLINK("https://files.afu.se/Downloads/Transcripts/0%20-%20Government/USA%20-%20NASA%20Johnson/2013 05 06 - NASA Johnson - Space Station Live  May 6, 2013_1XCDErtngO4 - transcript (automated).pdf","Transcript Link")</f>
        <v>Transcript Link</v>
      </c>
    </row>
    <row r="2336" ht="180" spans="1:13">
      <c r="A2336" s="1" t="s">
        <v>10223</v>
      </c>
      <c r="B2336" s="1" t="s">
        <v>13</v>
      </c>
      <c r="C2336" s="4" t="s">
        <v>10224</v>
      </c>
      <c r="D2336" s="1" t="s">
        <v>10225</v>
      </c>
      <c r="E2336" s="1" t="s">
        <v>10226</v>
      </c>
      <c r="F2336" s="4" t="s">
        <v>17</v>
      </c>
      <c r="G2336" s="1" t="s">
        <v>18</v>
      </c>
      <c r="H2336" s="1" t="s">
        <v>19</v>
      </c>
      <c r="I2336" s="1" t="s">
        <v>20</v>
      </c>
      <c r="J2336" s="1" t="s">
        <v>10227</v>
      </c>
      <c r="K2336" s="1" t="s">
        <v>22</v>
      </c>
      <c r="L2336" s="1" t="str">
        <f>HYPERLINK("https://files.afu.se/Downloads/Transcripts/0%20-%20Government/USA%20-%20NASA%20Johnson/2013 05 03 - NASA Johnson - Orion Parachute Drop Test on May 1, 2013_lSGZo2vDbQk - transcript (automated).pdf","Transcript Link")</f>
        <v>Transcript Link</v>
      </c>
      <c r="M2336" s="2" t="str">
        <f>HYPERLINK("https://files.afu.se/Downloads/Transcripts/0%20-%20Government/USA%20-%20NASA%20Johnson/2013 05 03 - NASA Johnson - Orion Parachute Drop Test on May 1, 2013_lSGZo2vDbQk - transcript (automated).pdf","Transcript Link")</f>
        <v>Transcript Link</v>
      </c>
    </row>
    <row r="2337" ht="180" spans="1:13">
      <c r="A2337" s="1" t="s">
        <v>10223</v>
      </c>
      <c r="B2337" s="1" t="s">
        <v>13</v>
      </c>
      <c r="C2337" s="4" t="s">
        <v>10228</v>
      </c>
      <c r="D2337" s="1" t="s">
        <v>10229</v>
      </c>
      <c r="E2337" s="1" t="s">
        <v>10230</v>
      </c>
      <c r="F2337" s="4" t="s">
        <v>17</v>
      </c>
      <c r="G2337" s="1" t="s">
        <v>18</v>
      </c>
      <c r="H2337" s="1" t="s">
        <v>19</v>
      </c>
      <c r="I2337" s="1" t="s">
        <v>20</v>
      </c>
      <c r="J2337" s="1" t="s">
        <v>10231</v>
      </c>
      <c r="K2337" s="1" t="s">
        <v>22</v>
      </c>
      <c r="L2337" s="1" t="str">
        <f>HYPERLINK("https://files.afu.se/Downloads/Transcripts/0%20-%20Government/USA%20-%20NASA%20Johnson/2013 05 03 - NASA Johnson - Space Station Live  Weekly Recap for May 3, 2013_842RBYOhTUQ - transcript (automated).pdf","Transcript Link")</f>
        <v>Transcript Link</v>
      </c>
      <c r="M2337" s="2" t="str">
        <f>HYPERLINK("https://files.afu.se/Downloads/Transcripts/0%20-%20Government/USA%20-%20NASA%20Johnson/2013 05 03 - NASA Johnson - Space Station Live  Weekly Recap for May 3, 2013_842RBYOhTUQ - transcript (automated).pdf","Transcript Link")</f>
        <v>Transcript Link</v>
      </c>
    </row>
    <row r="2338" ht="180" spans="1:13">
      <c r="A2338" s="1" t="s">
        <v>10232</v>
      </c>
      <c r="B2338" s="1" t="s">
        <v>13</v>
      </c>
      <c r="C2338" s="4" t="s">
        <v>10233</v>
      </c>
      <c r="D2338" s="1" t="s">
        <v>10234</v>
      </c>
      <c r="E2338" s="1" t="s">
        <v>10235</v>
      </c>
      <c r="F2338" s="4" t="s">
        <v>17</v>
      </c>
      <c r="G2338" s="1" t="s">
        <v>18</v>
      </c>
      <c r="H2338" s="1" t="s">
        <v>19</v>
      </c>
      <c r="I2338" s="1" t="s">
        <v>20</v>
      </c>
      <c r="J2338" s="1" t="s">
        <v>10236</v>
      </c>
      <c r="K2338" s="1" t="s">
        <v>22</v>
      </c>
      <c r="L2338" s="1" t="str">
        <f>HYPERLINK("https://files.afu.se/Downloads/Transcripts/0%20-%20Government/USA%20-%20NASA%20Johnson/2013 05 02 - NASA Johnson - Spacesuit Engineer Chats With Students_qQhybvzfyJY - transcript (automated).pdf","Transcript Link")</f>
        <v>Transcript Link</v>
      </c>
      <c r="M2338" s="2" t="str">
        <f>HYPERLINK("https://files.afu.se/Downloads/Transcripts/0%20-%20Government/USA%20-%20NASA%20Johnson/2013 05 02 - NASA Johnson - Spacesuit Engineer Chats With Students_qQhybvzfyJY - transcript (automated).pdf","Transcript Link")</f>
        <v>Transcript Link</v>
      </c>
    </row>
    <row r="2339" ht="375" spans="1:13">
      <c r="A2339" s="1" t="s">
        <v>10232</v>
      </c>
      <c r="B2339" s="1" t="s">
        <v>13</v>
      </c>
      <c r="C2339" s="4" t="s">
        <v>10237</v>
      </c>
      <c r="D2339" s="1" t="s">
        <v>10238</v>
      </c>
      <c r="E2339" s="1" t="s">
        <v>10239</v>
      </c>
      <c r="F2339" s="4" t="s">
        <v>17</v>
      </c>
      <c r="G2339" s="1" t="s">
        <v>18</v>
      </c>
      <c r="H2339" s="1" t="s">
        <v>19</v>
      </c>
      <c r="I2339" s="1" t="s">
        <v>20</v>
      </c>
      <c r="J2339" s="1" t="s">
        <v>10240</v>
      </c>
      <c r="K2339" s="1" t="s">
        <v>22</v>
      </c>
      <c r="L2339" s="1" t="str">
        <f>HYPERLINK("https://files.afu.se/Downloads/Transcripts/0%20-%20Government/USA%20-%20NASA%20Johnson/2013 05 02 - NASA Johnson - Space Station Live  Space Station Science_22Q7TyyRqAE - transcript (automated).pdf","Transcript Link")</f>
        <v>Transcript Link</v>
      </c>
      <c r="M2339" s="2" t="str">
        <f>HYPERLINK("https://files.afu.se/Downloads/Transcripts/0%20-%20Government/USA%20-%20NASA%20Johnson/2013 05 02 - NASA Johnson - Space Station Live  Space Station Science_22Q7TyyRqAE - transcript (automated).pdf","Transcript Link")</f>
        <v>Transcript Link</v>
      </c>
    </row>
    <row r="2340" ht="180" spans="1:13">
      <c r="A2340" s="1" t="s">
        <v>10232</v>
      </c>
      <c r="B2340" s="1" t="s">
        <v>13</v>
      </c>
      <c r="C2340" s="4" t="s">
        <v>10241</v>
      </c>
      <c r="D2340" s="1" t="s">
        <v>10242</v>
      </c>
      <c r="E2340" s="1" t="s">
        <v>10243</v>
      </c>
      <c r="F2340" s="4" t="s">
        <v>17</v>
      </c>
      <c r="G2340" s="1" t="s">
        <v>18</v>
      </c>
      <c r="H2340" s="1" t="s">
        <v>19</v>
      </c>
      <c r="I2340" s="1" t="s">
        <v>20</v>
      </c>
      <c r="J2340" s="1" t="s">
        <v>10244</v>
      </c>
      <c r="K2340" s="1" t="s">
        <v>22</v>
      </c>
      <c r="L2340" s="1" t="str">
        <f>HYPERLINK("https://files.afu.se/Downloads/Transcripts/0%20-%20Government/USA%20-%20NASA%20Johnson/2013 05 02 - NASA Johnson - Space Station Live  Payload Communicator Stacy Jones_1CucBl5YcI4 - transcript (automated).pdf","Transcript Link")</f>
        <v>Transcript Link</v>
      </c>
      <c r="M2340" s="2" t="str">
        <f>HYPERLINK("https://files.afu.se/Downloads/Transcripts/0%20-%20Government/USA%20-%20NASA%20Johnson/2013 05 02 - NASA Johnson - Space Station Live  Payload Communicator Stacy Jones_1CucBl5YcI4 - transcript (automated).pdf","Transcript Link")</f>
        <v>Transcript Link</v>
      </c>
    </row>
    <row r="2341" ht="180" spans="1:13">
      <c r="A2341" s="1" t="s">
        <v>10232</v>
      </c>
      <c r="B2341" s="1" t="s">
        <v>13</v>
      </c>
      <c r="C2341" s="4" t="s">
        <v>10245</v>
      </c>
      <c r="D2341" s="1" t="s">
        <v>10246</v>
      </c>
      <c r="E2341" s="1" t="s">
        <v>10247</v>
      </c>
      <c r="F2341" s="4" t="s">
        <v>17</v>
      </c>
      <c r="G2341" s="1" t="s">
        <v>18</v>
      </c>
      <c r="H2341" s="1" t="s">
        <v>19</v>
      </c>
      <c r="I2341" s="1" t="s">
        <v>20</v>
      </c>
      <c r="J2341" s="1" t="s">
        <v>10248</v>
      </c>
      <c r="K2341" s="1" t="s">
        <v>22</v>
      </c>
      <c r="L2341" s="1" t="str">
        <f>HYPERLINK("https://files.afu.se/Downloads/Transcripts/0%20-%20Government/USA%20-%20NASA%20Johnson/2013 05 02 - NASA Johnson - Space Station Live  May 2, 2013_mscPhtqc8XQ - transcript (automated).pdf","Transcript Link")</f>
        <v>Transcript Link</v>
      </c>
      <c r="M2341" s="2" t="str">
        <f>HYPERLINK("https://files.afu.se/Downloads/Transcripts/0%20-%20Government/USA%20-%20NASA%20Johnson/2013 05 02 - NASA Johnson - Space Station Live  May 2, 2013_mscPhtqc8XQ - transcript (automated).pdf","Transcript Link")</f>
        <v>Transcript Link</v>
      </c>
    </row>
    <row r="2342" ht="180" spans="1:13">
      <c r="A2342" s="1" t="s">
        <v>10249</v>
      </c>
      <c r="B2342" s="1" t="s">
        <v>13</v>
      </c>
      <c r="C2342" s="4" t="s">
        <v>10250</v>
      </c>
      <c r="D2342" s="1" t="s">
        <v>10251</v>
      </c>
      <c r="E2342" s="1" t="s">
        <v>10252</v>
      </c>
      <c r="F2342" s="4" t="s">
        <v>17</v>
      </c>
      <c r="G2342" s="1" t="s">
        <v>18</v>
      </c>
      <c r="H2342" s="1" t="s">
        <v>19</v>
      </c>
      <c r="I2342" s="1" t="s">
        <v>20</v>
      </c>
      <c r="J2342" s="1" t="s">
        <v>10253</v>
      </c>
      <c r="K2342" s="1" t="s">
        <v>22</v>
      </c>
      <c r="L2342" s="1" t="str">
        <f>HYPERLINK("https://files.afu.se/Downloads/Transcripts/0%20-%20Government/USA%20-%20NASA%20Johnson/2013 05 01 - NASA Johnson - Space Station Live  May 1, 2013_t1-avNrh_uY - transcript (automated).pdf","Transcript Link")</f>
        <v>Transcript Link</v>
      </c>
      <c r="M2342" s="2" t="str">
        <f>HYPERLINK("https://files.afu.se/Downloads/Transcripts/0%20-%20Government/USA%20-%20NASA%20Johnson/2013 05 01 - NASA Johnson - Space Station Live  May 1, 2013_t1-avNrh_uY - transcript (automated).pdf","Transcript Link")</f>
        <v>Transcript Link</v>
      </c>
    </row>
    <row r="2343" ht="180" spans="1:13">
      <c r="A2343" s="1" t="s">
        <v>10254</v>
      </c>
      <c r="B2343" s="1" t="s">
        <v>13</v>
      </c>
      <c r="C2343" s="4" t="s">
        <v>10255</v>
      </c>
      <c r="D2343" s="1" t="s">
        <v>10256</v>
      </c>
      <c r="E2343" s="1" t="s">
        <v>10257</v>
      </c>
      <c r="F2343" s="4" t="s">
        <v>17</v>
      </c>
      <c r="G2343" s="1" t="s">
        <v>18</v>
      </c>
      <c r="H2343" s="1" t="s">
        <v>19</v>
      </c>
      <c r="I2343" s="1" t="s">
        <v>20</v>
      </c>
      <c r="J2343" s="1" t="s">
        <v>10258</v>
      </c>
      <c r="K2343" s="1" t="s">
        <v>22</v>
      </c>
      <c r="L2343" s="1" t="str">
        <f>HYPERLINK("https://files.afu.se/Downloads/Transcripts/0%20-%20Government/USA%20-%20NASA%20Johnson/2013 04 30 - NASA Johnson - Space Station Live  Robotic Refueling Mission_Mpyr_dm8Pho - transcript (automated).pdf","Transcript Link")</f>
        <v>Transcript Link</v>
      </c>
      <c r="M2343" s="2" t="str">
        <f>HYPERLINK("https://files.afu.se/Downloads/Transcripts/0%20-%20Government/USA%20-%20NASA%20Johnson/2013 04 30 - NASA Johnson - Space Station Live  Robotic Refueling Mission_Mpyr_dm8Pho - transcript (automated).pdf","Transcript Link")</f>
        <v>Transcript Link</v>
      </c>
    </row>
    <row r="2344" ht="180" spans="1:13">
      <c r="A2344" s="1" t="s">
        <v>10254</v>
      </c>
      <c r="B2344" s="1" t="s">
        <v>13</v>
      </c>
      <c r="C2344" s="4" t="s">
        <v>10259</v>
      </c>
      <c r="D2344" s="1" t="s">
        <v>10260</v>
      </c>
      <c r="E2344" s="1" t="s">
        <v>10261</v>
      </c>
      <c r="F2344" s="4" t="s">
        <v>17</v>
      </c>
      <c r="G2344" s="1" t="s">
        <v>18</v>
      </c>
      <c r="H2344" s="1" t="s">
        <v>19</v>
      </c>
      <c r="I2344" s="1" t="s">
        <v>20</v>
      </c>
      <c r="J2344" s="1" t="s">
        <v>10262</v>
      </c>
      <c r="K2344" s="1" t="s">
        <v>22</v>
      </c>
      <c r="L2344" s="1" t="str">
        <f>HYPERLINK("https://files.afu.se/Downloads/Transcripts/0%20-%20Government/USA%20-%20NASA%20Johnson/2013 04 30 - NASA Johnson - Space Station Live  April 30, 2013_qUxSLKDzpaI - transcript (automated).pdf","Transcript Link")</f>
        <v>Transcript Link</v>
      </c>
      <c r="M2344" s="2" t="str">
        <f>HYPERLINK("https://files.afu.se/Downloads/Transcripts/0%20-%20Government/USA%20-%20NASA%20Johnson/2013 04 30 - NASA Johnson - Space Station Live  April 30, 2013_qUxSLKDzpaI - transcript (automated).pdf","Transcript Link")</f>
        <v>Transcript Link</v>
      </c>
    </row>
    <row r="2345" ht="180" spans="1:13">
      <c r="A2345" s="1" t="s">
        <v>10254</v>
      </c>
      <c r="B2345" s="1" t="s">
        <v>13</v>
      </c>
      <c r="C2345" s="4" t="s">
        <v>10263</v>
      </c>
      <c r="D2345" s="1" t="s">
        <v>10264</v>
      </c>
      <c r="E2345" s="1" t="s">
        <v>10265</v>
      </c>
      <c r="F2345" s="4" t="s">
        <v>17</v>
      </c>
      <c r="G2345" s="1" t="s">
        <v>18</v>
      </c>
      <c r="H2345" s="1" t="s">
        <v>19</v>
      </c>
      <c r="I2345" s="1" t="s">
        <v>20</v>
      </c>
      <c r="J2345" s="1" t="s">
        <v>10266</v>
      </c>
      <c r="K2345" s="1" t="s">
        <v>22</v>
      </c>
      <c r="L2345" s="1" t="str">
        <f>HYPERLINK("https://files.afu.se/Downloads/Transcripts/0%20-%20Government/USA%20-%20NASA%20Johnson/2013 04 30 - NASA Johnson - Expedition 36 Final Exams and Training_cjGkYp8fv0o - transcript (automated).pdf","Transcript Link")</f>
        <v>Transcript Link</v>
      </c>
      <c r="M2345" s="2" t="str">
        <f>HYPERLINK("https://files.afu.se/Downloads/Transcripts/0%20-%20Government/USA%20-%20NASA%20Johnson/2013 04 30 - NASA Johnson - Expedition 36 Final Exams and Training_cjGkYp8fv0o - transcript (automated).pdf","Transcript Link")</f>
        <v>Transcript Link</v>
      </c>
    </row>
    <row r="2346" ht="180" spans="1:13">
      <c r="A2346" s="1" t="s">
        <v>10267</v>
      </c>
      <c r="B2346" s="1" t="s">
        <v>13</v>
      </c>
      <c r="C2346" s="4" t="s">
        <v>10268</v>
      </c>
      <c r="D2346" s="1" t="s">
        <v>10269</v>
      </c>
      <c r="E2346" s="1" t="s">
        <v>10270</v>
      </c>
      <c r="F2346" s="4" t="s">
        <v>17</v>
      </c>
      <c r="G2346" s="1" t="s">
        <v>18</v>
      </c>
      <c r="H2346" s="1" t="s">
        <v>19</v>
      </c>
      <c r="I2346" s="1" t="s">
        <v>20</v>
      </c>
      <c r="J2346" s="1" t="s">
        <v>10271</v>
      </c>
      <c r="K2346" s="1" t="s">
        <v>22</v>
      </c>
      <c r="L2346" s="1" t="str">
        <f>HYPERLINK("https://files.afu.se/Downloads/Transcripts/0%20-%20Government/USA%20-%20NASA%20Johnson/2013 04 29 - NASA Johnson - Space Station Live  April 29, 2013_w6XBpiaEkvA - transcript (automated).pdf","Transcript Link")</f>
        <v>Transcript Link</v>
      </c>
      <c r="M2346" s="2" t="str">
        <f>HYPERLINK("https://files.afu.se/Downloads/Transcripts/0%20-%20Government/USA%20-%20NASA%20Johnson/2013 04 29 - NASA Johnson - Space Station Live  April 29, 2013_w6XBpiaEkvA - transcript (automated).pdf","Transcript Link")</f>
        <v>Transcript Link</v>
      </c>
    </row>
    <row r="2347" ht="409.5" spans="1:13">
      <c r="A2347" s="1" t="s">
        <v>10272</v>
      </c>
      <c r="B2347" s="1" t="s">
        <v>13</v>
      </c>
      <c r="C2347" s="4" t="s">
        <v>10273</v>
      </c>
      <c r="D2347" s="1" t="s">
        <v>10274</v>
      </c>
      <c r="E2347" s="1" t="s">
        <v>10275</v>
      </c>
      <c r="F2347" s="4" t="s">
        <v>17</v>
      </c>
      <c r="G2347" s="1" t="s">
        <v>18</v>
      </c>
      <c r="H2347" s="1" t="s">
        <v>19</v>
      </c>
      <c r="I2347" s="1" t="s">
        <v>20</v>
      </c>
      <c r="J2347" s="1" t="s">
        <v>10276</v>
      </c>
      <c r="K2347" s="1" t="s">
        <v>22</v>
      </c>
      <c r="L2347" s="1" t="str">
        <f>HYPERLINK("https://files.afu.se/Downloads/Transcripts/0%20-%20Government/USA%20-%20NASA%20Johnson/2013 04 26 - NASA Johnson - Space Station Live  EarthKAM Gives Students Window on World_UKwFEyZp9gI - transcript (automated).pdf","Transcript Link")</f>
        <v>Transcript Link</v>
      </c>
      <c r="M2347" s="2" t="str">
        <f>HYPERLINK("https://files.afu.se/Downloads/Transcripts/0%20-%20Government/USA%20-%20NASA%20Johnson/2013 04 26 - NASA Johnson - Space Station Live  EarthKAM Gives Students Window on World_UKwFEyZp9gI - transcript (automated).pdf","Transcript Link")</f>
        <v>Transcript Link</v>
      </c>
    </row>
    <row r="2348" ht="180" spans="1:13">
      <c r="A2348" s="1" t="s">
        <v>10272</v>
      </c>
      <c r="B2348" s="1" t="s">
        <v>13</v>
      </c>
      <c r="C2348" s="4" t="s">
        <v>10277</v>
      </c>
      <c r="D2348" s="1" t="s">
        <v>10278</v>
      </c>
      <c r="E2348" s="1" t="s">
        <v>10279</v>
      </c>
      <c r="F2348" s="4" t="s">
        <v>17</v>
      </c>
      <c r="G2348" s="1" t="s">
        <v>18</v>
      </c>
      <c r="H2348" s="1" t="s">
        <v>19</v>
      </c>
      <c r="I2348" s="1" t="s">
        <v>20</v>
      </c>
      <c r="J2348" s="1" t="s">
        <v>10280</v>
      </c>
      <c r="K2348" s="1" t="s">
        <v>22</v>
      </c>
      <c r="L2348" s="1" t="str">
        <f>HYPERLINK("https://files.afu.se/Downloads/Transcripts/0%20-%20Government/USA%20-%20NASA%20Johnson/2013 04 26 - NASA Johnson - Space Station Live  Weekly Recap for April 26, 2013_JPGraWV7Z08 - transcript (automated).pdf","Transcript Link")</f>
        <v>Transcript Link</v>
      </c>
      <c r="M2348" s="2" t="str">
        <f>HYPERLINK("https://files.afu.se/Downloads/Transcripts/0%20-%20Government/USA%20-%20NASA%20Johnson/2013 04 26 - NASA Johnson - Space Station Live  Weekly Recap for April 26, 2013_JPGraWV7Z08 - transcript (automated).pdf","Transcript Link")</f>
        <v>Transcript Link</v>
      </c>
    </row>
    <row r="2349" ht="180" spans="1:13">
      <c r="A2349" s="1" t="s">
        <v>10281</v>
      </c>
      <c r="B2349" s="1" t="s">
        <v>13</v>
      </c>
      <c r="C2349" s="4" t="s">
        <v>10282</v>
      </c>
      <c r="D2349" s="1" t="s">
        <v>10283</v>
      </c>
      <c r="E2349" s="1" t="s">
        <v>10284</v>
      </c>
      <c r="F2349" s="4" t="s">
        <v>17</v>
      </c>
      <c r="G2349" s="1" t="s">
        <v>18</v>
      </c>
      <c r="H2349" s="1" t="s">
        <v>19</v>
      </c>
      <c r="I2349" s="1" t="s">
        <v>20</v>
      </c>
      <c r="J2349" s="1" t="s">
        <v>10285</v>
      </c>
      <c r="K2349" s="1" t="s">
        <v>22</v>
      </c>
      <c r="L2349" s="1" t="str">
        <f>HYPERLINK("https://files.afu.se/Downloads/Transcripts/0%20-%20Government/USA%20-%20NASA%20Johnson/2013 04 25 - NASA Johnson - Georgia Astronaut Speaks to Students in Home State_OGU5Sz1UInE - transcript (automated).pdf","Transcript Link")</f>
        <v>Transcript Link</v>
      </c>
      <c r="M2349" s="2" t="str">
        <f>HYPERLINK("https://files.afu.se/Downloads/Transcripts/0%20-%20Government/USA%20-%20NASA%20Johnson/2013 04 25 - NASA Johnson - Georgia Astronaut Speaks to Students in Home State_OGU5Sz1UInE - transcript (automated).pdf","Transcript Link")</f>
        <v>Transcript Link</v>
      </c>
    </row>
    <row r="2350" ht="180" spans="1:13">
      <c r="A2350" s="1" t="s">
        <v>10281</v>
      </c>
      <c r="B2350" s="1" t="s">
        <v>13</v>
      </c>
      <c r="C2350" s="4" t="s">
        <v>10286</v>
      </c>
      <c r="D2350" s="1" t="s">
        <v>10287</v>
      </c>
      <c r="E2350" s="1" t="s">
        <v>10288</v>
      </c>
      <c r="F2350" s="4" t="s">
        <v>17</v>
      </c>
      <c r="G2350" s="1" t="s">
        <v>18</v>
      </c>
      <c r="H2350" s="1" t="s">
        <v>19</v>
      </c>
      <c r="I2350" s="1" t="s">
        <v>20</v>
      </c>
      <c r="J2350" s="1" t="s">
        <v>10289</v>
      </c>
      <c r="K2350" s="1" t="s">
        <v>22</v>
      </c>
      <c r="L2350" s="1" t="str">
        <f>HYPERLINK("https://files.afu.se/Downloads/Transcripts/0%20-%20Government/USA%20-%20NASA%20Johnson/2013 04 25 - NASA Johnson - Space Station Live  April 25, 2013_vqJkwhKn-Co - transcript (automated).pdf","Transcript Link")</f>
        <v>Transcript Link</v>
      </c>
      <c r="M2350" s="2" t="str">
        <f>HYPERLINK("https://files.afu.se/Downloads/Transcripts/0%20-%20Government/USA%20-%20NASA%20Johnson/2013 04 25 - NASA Johnson - Space Station Live  April 25, 2013_vqJkwhKn-Co - transcript (automated).pdf","Transcript Link")</f>
        <v>Transcript Link</v>
      </c>
    </row>
    <row r="2351" ht="330" spans="1:13">
      <c r="A2351" s="1" t="s">
        <v>10290</v>
      </c>
      <c r="B2351" s="1" t="s">
        <v>13</v>
      </c>
      <c r="C2351" s="4" t="s">
        <v>10291</v>
      </c>
      <c r="D2351" s="1" t="s">
        <v>10292</v>
      </c>
      <c r="E2351" s="1" t="s">
        <v>10293</v>
      </c>
      <c r="F2351" s="4" t="s">
        <v>17</v>
      </c>
      <c r="G2351" s="1" t="s">
        <v>18</v>
      </c>
      <c r="H2351" s="1" t="s">
        <v>19</v>
      </c>
      <c r="I2351" s="1" t="s">
        <v>20</v>
      </c>
      <c r="J2351" s="1" t="s">
        <v>10294</v>
      </c>
      <c r="K2351" s="1" t="s">
        <v>22</v>
      </c>
      <c r="L2351" s="1" t="str">
        <f>HYPERLINK("https://files.afu.se/Downloads/Transcripts/0%20-%20Government/USA%20-%20NASA%20Johnson/2013 04 24 - NASA Johnson - Space Station Live  International Space Apps Challenge_SFDQytJWVxQ - transcript (automated).pdf","Transcript Link")</f>
        <v>Transcript Link</v>
      </c>
      <c r="M2351" s="2" t="str">
        <f>HYPERLINK("https://files.afu.se/Downloads/Transcripts/0%20-%20Government/USA%20-%20NASA%20Johnson/2013 04 24 - NASA Johnson - Space Station Live  International Space Apps Challenge_SFDQytJWVxQ - transcript (automated).pdf","Transcript Link")</f>
        <v>Transcript Link</v>
      </c>
    </row>
    <row r="2352" ht="180" spans="1:13">
      <c r="A2352" s="1" t="s">
        <v>10290</v>
      </c>
      <c r="B2352" s="1" t="s">
        <v>13</v>
      </c>
      <c r="C2352" s="4" t="s">
        <v>10295</v>
      </c>
      <c r="D2352" s="1" t="s">
        <v>10296</v>
      </c>
      <c r="E2352" s="1" t="s">
        <v>10297</v>
      </c>
      <c r="F2352" s="4" t="s">
        <v>17</v>
      </c>
      <c r="G2352" s="1" t="s">
        <v>18</v>
      </c>
      <c r="H2352" s="1" t="s">
        <v>19</v>
      </c>
      <c r="I2352" s="1" t="s">
        <v>20</v>
      </c>
      <c r="J2352" s="1" t="s">
        <v>10298</v>
      </c>
      <c r="K2352" s="1" t="s">
        <v>22</v>
      </c>
      <c r="L2352" s="1" t="str">
        <f>HYPERLINK("https://files.afu.se/Downloads/Transcripts/0%20-%20Government/USA%20-%20NASA%20Johnson/2013 04 24 - NASA Johnson - Space Station Live  Window Observational Research Facility_l1h36bHQMhE - transcript (automated).pdf","Transcript Link")</f>
        <v>Transcript Link</v>
      </c>
      <c r="M2352" s="2" t="str">
        <f>HYPERLINK("https://files.afu.se/Downloads/Transcripts/0%20-%20Government/USA%20-%20NASA%20Johnson/2013 04 24 - NASA Johnson - Space Station Live  Window Observational Research Facility_l1h36bHQMhE - transcript (automated).pdf","Transcript Link")</f>
        <v>Transcript Link</v>
      </c>
    </row>
    <row r="2353" ht="180" spans="1:13">
      <c r="A2353" s="1" t="s">
        <v>10290</v>
      </c>
      <c r="B2353" s="1" t="s">
        <v>13</v>
      </c>
      <c r="C2353" s="4" t="s">
        <v>10299</v>
      </c>
      <c r="D2353" s="1" t="s">
        <v>10300</v>
      </c>
      <c r="E2353" s="1" t="s">
        <v>10301</v>
      </c>
      <c r="F2353" s="4" t="s">
        <v>17</v>
      </c>
      <c r="G2353" s="1" t="s">
        <v>18</v>
      </c>
      <c r="H2353" s="1" t="s">
        <v>19</v>
      </c>
      <c r="I2353" s="1" t="s">
        <v>20</v>
      </c>
      <c r="J2353" s="1" t="s">
        <v>10302</v>
      </c>
      <c r="K2353" s="1" t="s">
        <v>22</v>
      </c>
      <c r="L2353" s="1" t="str">
        <f>HYPERLINK("https://files.afu.se/Downloads/Transcripts/0%20-%20Government/USA%20-%20NASA%20Johnson/2013 04 24 - NASA Johnson - Space Station Live  April 24, 2013_KeBA8LJ5Auo - transcript (automated).pdf","Transcript Link")</f>
        <v>Transcript Link</v>
      </c>
      <c r="M2353" s="2" t="str">
        <f>HYPERLINK("https://files.afu.se/Downloads/Transcripts/0%20-%20Government/USA%20-%20NASA%20Johnson/2013 04 24 - NASA Johnson - Space Station Live  April 24, 2013_KeBA8LJ5Auo - transcript (automated).pdf","Transcript Link")</f>
        <v>Transcript Link</v>
      </c>
    </row>
    <row r="2354" ht="180" spans="1:13">
      <c r="A2354" s="1" t="s">
        <v>10290</v>
      </c>
      <c r="B2354" s="1" t="s">
        <v>13</v>
      </c>
      <c r="C2354" s="4" t="s">
        <v>10303</v>
      </c>
      <c r="D2354" s="1" t="s">
        <v>10304</v>
      </c>
      <c r="E2354" s="1" t="s">
        <v>10305</v>
      </c>
      <c r="F2354" s="4" t="s">
        <v>17</v>
      </c>
      <c r="G2354" s="1" t="s">
        <v>18</v>
      </c>
      <c r="H2354" s="1" t="s">
        <v>19</v>
      </c>
      <c r="I2354" s="1" t="s">
        <v>20</v>
      </c>
      <c r="J2354" s="1" t="s">
        <v>10306</v>
      </c>
      <c r="K2354" s="1" t="s">
        <v>22</v>
      </c>
      <c r="L2354" s="1" t="str">
        <f>HYPERLINK("https://files.afu.se/Downloads/Transcripts/0%20-%20Government/USA%20-%20NASA%20Johnson/2013 04 24 - NASA Johnson - ISS Progress 51 Cargo Craft Launches to Station_geqpkP4L1fw - transcript (automated).pdf","Transcript Link")</f>
        <v>Transcript Link</v>
      </c>
      <c r="M2354" s="2" t="str">
        <f>HYPERLINK("https://files.afu.se/Downloads/Transcripts/0%20-%20Government/USA%20-%20NASA%20Johnson/2013 04 24 - NASA Johnson - ISS Progress 51 Cargo Craft Launches to Station_geqpkP4L1fw - transcript (automated).pdf","Transcript Link")</f>
        <v>Transcript Link</v>
      </c>
    </row>
    <row r="2355" ht="409.5" spans="1:13">
      <c r="A2355" s="1" t="s">
        <v>10307</v>
      </c>
      <c r="B2355" s="1" t="s">
        <v>13</v>
      </c>
      <c r="C2355" s="4" t="s">
        <v>10308</v>
      </c>
      <c r="D2355" s="1" t="s">
        <v>10309</v>
      </c>
      <c r="E2355" s="1" t="s">
        <v>10310</v>
      </c>
      <c r="F2355" s="4" t="s">
        <v>17</v>
      </c>
      <c r="G2355" s="1" t="s">
        <v>18</v>
      </c>
      <c r="H2355" s="1" t="s">
        <v>19</v>
      </c>
      <c r="I2355" s="1" t="s">
        <v>20</v>
      </c>
      <c r="J2355" s="1" t="s">
        <v>10311</v>
      </c>
      <c r="K2355" s="1" t="s">
        <v>22</v>
      </c>
      <c r="L2355" s="1" t="str">
        <f>HYPERLINK("https://files.afu.se/Downloads/Transcripts/0%20-%20Government/USA%20-%20NASA%20Johnson/2013 04 23 - NASA Johnson - Space Station Live  Using EarthKAM During Earth Week_cbum3v8cj7I - transcript (automated).pdf","Transcript Link")</f>
        <v>Transcript Link</v>
      </c>
      <c r="M2355" s="2" t="str">
        <f>HYPERLINK("https://files.afu.se/Downloads/Transcripts/0%20-%20Government/USA%20-%20NASA%20Johnson/2013 04 23 - NASA Johnson - Space Station Live  Using EarthKAM During Earth Week_cbum3v8cj7I - transcript (automated).pdf","Transcript Link")</f>
        <v>Transcript Link</v>
      </c>
    </row>
    <row r="2356" ht="180" spans="1:13">
      <c r="A2356" s="1" t="s">
        <v>10307</v>
      </c>
      <c r="B2356" s="1" t="s">
        <v>13</v>
      </c>
      <c r="C2356" s="4" t="s">
        <v>10312</v>
      </c>
      <c r="D2356" s="1" t="s">
        <v>10313</v>
      </c>
      <c r="E2356" s="1" t="s">
        <v>10314</v>
      </c>
      <c r="F2356" s="4" t="s">
        <v>17</v>
      </c>
      <c r="G2356" s="1" t="s">
        <v>18</v>
      </c>
      <c r="H2356" s="1" t="s">
        <v>19</v>
      </c>
      <c r="I2356" s="1" t="s">
        <v>20</v>
      </c>
      <c r="J2356" s="1" t="s">
        <v>10315</v>
      </c>
      <c r="K2356" s="1" t="s">
        <v>22</v>
      </c>
      <c r="L2356" s="1" t="str">
        <f>HYPERLINK("https://files.afu.se/Downloads/Transcripts/0%20-%20Government/USA%20-%20NASA%20Johnson/2013 04 23 - NASA Johnson - Space Station Live  April 23, 2013_Gwr6jxxhyjg - transcript (automated).pdf","Transcript Link")</f>
        <v>Transcript Link</v>
      </c>
      <c r="M2356" s="2" t="str">
        <f>HYPERLINK("https://files.afu.se/Downloads/Transcripts/0%20-%20Government/USA%20-%20NASA%20Johnson/2013 04 23 - NASA Johnson - Space Station Live  April 23, 2013_Gwr6jxxhyjg - transcript (automated).pdf","Transcript Link")</f>
        <v>Transcript Link</v>
      </c>
    </row>
    <row r="2357" ht="409.5" spans="1:13">
      <c r="A2357" s="1" t="s">
        <v>10316</v>
      </c>
      <c r="B2357" s="1" t="s">
        <v>13</v>
      </c>
      <c r="C2357" s="4" t="s">
        <v>10317</v>
      </c>
      <c r="D2357" s="1" t="s">
        <v>10318</v>
      </c>
      <c r="E2357" s="1" t="s">
        <v>10319</v>
      </c>
      <c r="F2357" s="4" t="s">
        <v>17</v>
      </c>
      <c r="G2357" s="1" t="s">
        <v>18</v>
      </c>
      <c r="H2357" s="1" t="s">
        <v>19</v>
      </c>
      <c r="I2357" s="1" t="s">
        <v>20</v>
      </c>
      <c r="J2357" s="1" t="s">
        <v>10320</v>
      </c>
      <c r="K2357" s="1" t="s">
        <v>22</v>
      </c>
      <c r="L2357" s="1" t="str">
        <f>HYPERLINK("https://files.afu.se/Downloads/Transcripts/0%20-%20Government/USA%20-%20NASA%20Johnson/2013 04 22 - NASA Johnson - Space Station Live  Astronaut Don Pettit on Earth Photography_jxcjj4ukpJw - transcript (automated).pdf","Transcript Link")</f>
        <v>Transcript Link</v>
      </c>
      <c r="M2357" s="2" t="str">
        <f>HYPERLINK("https://files.afu.se/Downloads/Transcripts/0%20-%20Government/USA%20-%20NASA%20Johnson/2013 04 22 - NASA Johnson - Space Station Live  Astronaut Don Pettit on Earth Photography_jxcjj4ukpJw - transcript (automated).pdf","Transcript Link")</f>
        <v>Transcript Link</v>
      </c>
    </row>
    <row r="2358" ht="180" spans="1:13">
      <c r="A2358" s="1" t="s">
        <v>10316</v>
      </c>
      <c r="B2358" s="1" t="s">
        <v>13</v>
      </c>
      <c r="C2358" s="4" t="s">
        <v>10321</v>
      </c>
      <c r="D2358" s="1" t="s">
        <v>10322</v>
      </c>
      <c r="E2358" s="1" t="s">
        <v>10323</v>
      </c>
      <c r="F2358" s="4" t="s">
        <v>17</v>
      </c>
      <c r="G2358" s="1" t="s">
        <v>18</v>
      </c>
      <c r="H2358" s="1" t="s">
        <v>19</v>
      </c>
      <c r="I2358" s="1" t="s">
        <v>20</v>
      </c>
      <c r="J2358" s="1" t="s">
        <v>10324</v>
      </c>
      <c r="K2358" s="1" t="s">
        <v>22</v>
      </c>
      <c r="L2358" s="1" t="str">
        <f>HYPERLINK("https://files.afu.se/Downloads/Transcripts/0%20-%20Government/USA%20-%20NASA%20Johnson/2013 04 22 - NASA Johnson - Space Station Live  April 22, 2013_LaiBNI2VvOE - transcript (automated).pdf","Transcript Link")</f>
        <v>Transcript Link</v>
      </c>
      <c r="M2358" s="2" t="str">
        <f>HYPERLINK("https://files.afu.se/Downloads/Transcripts/0%20-%20Government/USA%20-%20NASA%20Johnson/2013 04 22 - NASA Johnson - Space Station Live  April 22, 2013_LaiBNI2VvOE - transcript (automated).pdf","Transcript Link")</f>
        <v>Transcript Link</v>
      </c>
    </row>
    <row r="2359" ht="180" spans="1:13">
      <c r="A2359" s="1" t="s">
        <v>10325</v>
      </c>
      <c r="B2359" s="1" t="s">
        <v>13</v>
      </c>
      <c r="C2359" s="4" t="s">
        <v>10326</v>
      </c>
      <c r="D2359" s="1" t="s">
        <v>10327</v>
      </c>
      <c r="E2359" s="1" t="s">
        <v>10328</v>
      </c>
      <c r="F2359" s="4" t="s">
        <v>17</v>
      </c>
      <c r="G2359" s="1" t="s">
        <v>18</v>
      </c>
      <c r="H2359" s="1" t="s">
        <v>19</v>
      </c>
      <c r="I2359" s="1" t="s">
        <v>20</v>
      </c>
      <c r="J2359" s="1" t="s">
        <v>10329</v>
      </c>
      <c r="K2359" s="1" t="s">
        <v>22</v>
      </c>
      <c r="L2359" s="1" t="str">
        <f>HYPERLINK("https://files.afu.se/Downloads/Transcripts/0%20-%20Government/USA%20-%20NASA%20Johnson/2013 04 18 - NASA Johnson - Middle School Students From Georgia Ask About Earth Science_0Dph7KLdQgQ - transcript (automated).pdf","Transcript Link")</f>
        <v>Transcript Link</v>
      </c>
      <c r="M2359" s="2" t="str">
        <f>HYPERLINK("https://files.afu.se/Downloads/Transcripts/0%20-%20Government/USA%20-%20NASA%20Johnson/2013 04 18 - NASA Johnson - Middle School Students From Georgia Ask About Earth Science_0Dph7KLdQgQ - transcript (automated).pdf","Transcript Link")</f>
        <v>Transcript Link</v>
      </c>
    </row>
    <row r="2360" ht="255" spans="1:13">
      <c r="A2360" s="1" t="s">
        <v>10325</v>
      </c>
      <c r="B2360" s="1" t="s">
        <v>13</v>
      </c>
      <c r="C2360" s="4" t="s">
        <v>10330</v>
      </c>
      <c r="D2360" s="1" t="s">
        <v>10331</v>
      </c>
      <c r="E2360" s="1" t="s">
        <v>10332</v>
      </c>
      <c r="F2360" s="4" t="s">
        <v>17</v>
      </c>
      <c r="G2360" s="1" t="s">
        <v>18</v>
      </c>
      <c r="H2360" s="1" t="s">
        <v>19</v>
      </c>
      <c r="I2360" s="1" t="s">
        <v>20</v>
      </c>
      <c r="J2360" s="1" t="s">
        <v>10333</v>
      </c>
      <c r="K2360" s="1" t="s">
        <v>22</v>
      </c>
      <c r="L2360" s="1" t="str">
        <f>HYPERLINK("https://files.afu.se/Downloads/Transcripts/0%20-%20Government/USA%20-%20NASA%20Johnson/2013 04 18 - NASA Johnson - Space Station Live  Antares Test Launch_pwJXfiohhUo - transcript (automated).pdf","Transcript Link")</f>
        <v>Transcript Link</v>
      </c>
      <c r="M2360" s="2" t="str">
        <f>HYPERLINK("https://files.afu.se/Downloads/Transcripts/0%20-%20Government/USA%20-%20NASA%20Johnson/2013 04 18 - NASA Johnson - Space Station Live  Antares Test Launch_pwJXfiohhUo - transcript (automated).pdf","Transcript Link")</f>
        <v>Transcript Link</v>
      </c>
    </row>
    <row r="2361" ht="180" spans="1:13">
      <c r="A2361" s="1" t="s">
        <v>10325</v>
      </c>
      <c r="B2361" s="1" t="s">
        <v>13</v>
      </c>
      <c r="C2361" s="4" t="s">
        <v>10334</v>
      </c>
      <c r="D2361" s="1" t="s">
        <v>10335</v>
      </c>
      <c r="E2361" s="1" t="s">
        <v>10336</v>
      </c>
      <c r="F2361" s="4" t="s">
        <v>17</v>
      </c>
      <c r="G2361" s="1" t="s">
        <v>18</v>
      </c>
      <c r="H2361" s="1" t="s">
        <v>19</v>
      </c>
      <c r="I2361" s="1" t="s">
        <v>20</v>
      </c>
      <c r="J2361" s="1" t="s">
        <v>10337</v>
      </c>
      <c r="K2361" s="1" t="s">
        <v>22</v>
      </c>
      <c r="L2361" s="1" t="str">
        <f>HYPERLINK("https://files.afu.se/Downloads/Transcripts/0%20-%20Government/USA%20-%20NASA%20Johnson/2013 04 18 - NASA Johnson - Space Station Live  April 18, 2013_u4BLIX-5Ods - transcript (automated).pdf","Transcript Link")</f>
        <v>Transcript Link</v>
      </c>
      <c r="M2361" s="2" t="str">
        <f>HYPERLINK("https://files.afu.se/Downloads/Transcripts/0%20-%20Government/USA%20-%20NASA%20Johnson/2013 04 18 - NASA Johnson - Space Station Live  April 18, 2013_u4BLIX-5Ods - transcript (automated).pdf","Transcript Link")</f>
        <v>Transcript Link</v>
      </c>
    </row>
    <row r="2362" ht="180" spans="1:13">
      <c r="A2362" s="1" t="s">
        <v>10338</v>
      </c>
      <c r="B2362" s="1" t="s">
        <v>13</v>
      </c>
      <c r="C2362" s="4" t="s">
        <v>10339</v>
      </c>
      <c r="D2362" s="1" t="s">
        <v>10340</v>
      </c>
      <c r="E2362" s="1" t="s">
        <v>10341</v>
      </c>
      <c r="F2362" s="4" t="s">
        <v>17</v>
      </c>
      <c r="G2362" s="1" t="s">
        <v>18</v>
      </c>
      <c r="H2362" s="1" t="s">
        <v>19</v>
      </c>
      <c r="I2362" s="1" t="s">
        <v>20</v>
      </c>
      <c r="J2362" s="1" t="s">
        <v>10342</v>
      </c>
      <c r="K2362" s="1" t="s">
        <v>22</v>
      </c>
      <c r="L2362" s="1" t="str">
        <f>HYPERLINK("https://files.afu.se/Downloads/Transcripts/0%20-%20Government/USA%20-%20NASA%20Johnson/2013 04 17 - NASA Johnson - Space Station Live  Bruce Manners Talks About the Antares Test Launch_ftPwwWHpIRk - transcript (automated).pdf","Transcript Link")</f>
        <v>Transcript Link</v>
      </c>
      <c r="M2362" s="2" t="str">
        <f>HYPERLINK("https://files.afu.se/Downloads/Transcripts/0%20-%20Government/USA%20-%20NASA%20Johnson/2013 04 17 - NASA Johnson - Space Station Live  Bruce Manners Talks About the Antares Test Launch_ftPwwWHpIRk - transcript (automated).pdf","Transcript Link")</f>
        <v>Transcript Link</v>
      </c>
    </row>
    <row r="2363" ht="180" spans="1:13">
      <c r="A2363" s="1" t="s">
        <v>10338</v>
      </c>
      <c r="B2363" s="1" t="s">
        <v>13</v>
      </c>
      <c r="C2363" s="4" t="s">
        <v>10343</v>
      </c>
      <c r="D2363" s="1" t="s">
        <v>10344</v>
      </c>
      <c r="E2363" s="1" t="s">
        <v>10345</v>
      </c>
      <c r="F2363" s="4" t="s">
        <v>17</v>
      </c>
      <c r="G2363" s="1" t="s">
        <v>18</v>
      </c>
      <c r="H2363" s="1" t="s">
        <v>19</v>
      </c>
      <c r="I2363" s="1" t="s">
        <v>20</v>
      </c>
      <c r="J2363" s="1" t="s">
        <v>10346</v>
      </c>
      <c r="K2363" s="1" t="s">
        <v>22</v>
      </c>
      <c r="L2363" s="1" t="str">
        <f>HYPERLINK("https://files.afu.se/Downloads/Transcripts/0%20-%20Government/USA%20-%20NASA%20Johnson/2013 04 17 - NASA Johnson - Space Station Live  Astronaut Mike Fossum Talks About Life on the Station_Am2Sj3zRb88 - transcript (automated).pdf","Transcript Link")</f>
        <v>Transcript Link</v>
      </c>
      <c r="M2363" s="2" t="str">
        <f>HYPERLINK("https://files.afu.se/Downloads/Transcripts/0%20-%20Government/USA%20-%20NASA%20Johnson/2013 04 17 - NASA Johnson - Space Station Live  Astronaut Mike Fossum Talks About Life on the Station_Am2Sj3zRb88 - transcript (automated).pdf","Transcript Link")</f>
        <v>Transcript Link</v>
      </c>
    </row>
    <row r="2364" ht="180" spans="1:13">
      <c r="A2364" s="1" t="s">
        <v>10338</v>
      </c>
      <c r="B2364" s="1" t="s">
        <v>13</v>
      </c>
      <c r="C2364" s="4" t="s">
        <v>10347</v>
      </c>
      <c r="D2364" s="1" t="s">
        <v>10348</v>
      </c>
      <c r="E2364" s="1" t="s">
        <v>10349</v>
      </c>
      <c r="F2364" s="4" t="s">
        <v>17</v>
      </c>
      <c r="G2364" s="1" t="s">
        <v>18</v>
      </c>
      <c r="H2364" s="1" t="s">
        <v>19</v>
      </c>
      <c r="I2364" s="1" t="s">
        <v>20</v>
      </c>
      <c r="J2364" s="1" t="s">
        <v>10350</v>
      </c>
      <c r="K2364" s="1" t="s">
        <v>22</v>
      </c>
      <c r="L2364" s="1" t="str">
        <f>HYPERLINK("https://files.afu.se/Downloads/Transcripts/0%20-%20Government/USA%20-%20NASA%20Johnson/2013 04 17 - NASA Johnson - Space Station Live  April 17, 2013_2AlmzF38xz8 - transcript (automated).pdf","Transcript Link")</f>
        <v>Transcript Link</v>
      </c>
      <c r="M2364" s="2" t="str">
        <f>HYPERLINK("https://files.afu.se/Downloads/Transcripts/0%20-%20Government/USA%20-%20NASA%20Johnson/2013 04 17 - NASA Johnson - Space Station Live  April 17, 2013_2AlmzF38xz8 - transcript (automated).pdf","Transcript Link")</f>
        <v>Transcript Link</v>
      </c>
    </row>
    <row r="2365" ht="180" spans="1:13">
      <c r="A2365" s="1" t="s">
        <v>10351</v>
      </c>
      <c r="B2365" s="1" t="s">
        <v>13</v>
      </c>
      <c r="C2365" s="4" t="s">
        <v>10352</v>
      </c>
      <c r="D2365" s="1" t="s">
        <v>10353</v>
      </c>
      <c r="E2365" s="1" t="s">
        <v>10354</v>
      </c>
      <c r="F2365" s="4" t="s">
        <v>17</v>
      </c>
      <c r="G2365" s="1" t="s">
        <v>18</v>
      </c>
      <c r="H2365" s="1" t="s">
        <v>19</v>
      </c>
      <c r="I2365" s="1" t="s">
        <v>20</v>
      </c>
      <c r="J2365" s="1" t="s">
        <v>10355</v>
      </c>
      <c r="K2365" s="1" t="s">
        <v>22</v>
      </c>
      <c r="L2365" s="1" t="str">
        <f>HYPERLINK("https://files.afu.se/Downloads/Transcripts/0%20-%20Government/USA%20-%20NASA%20Johnson/2013 04 16 - NASA Johnson - Space Station Live  April 16, 2013_VZhyp2bGAJE - transcript (automated).pdf","Transcript Link")</f>
        <v>Transcript Link</v>
      </c>
      <c r="M2365" s="2" t="str">
        <f>HYPERLINK("https://files.afu.se/Downloads/Transcripts/0%20-%20Government/USA%20-%20NASA%20Johnson/2013 04 16 - NASA Johnson - Space Station Live  April 16, 2013_VZhyp2bGAJE - transcript (automated).pdf","Transcript Link")</f>
        <v>Transcript Link</v>
      </c>
    </row>
    <row r="2366" ht="180" spans="1:13">
      <c r="A2366" s="1" t="s">
        <v>10356</v>
      </c>
      <c r="B2366" s="1" t="s">
        <v>13</v>
      </c>
      <c r="C2366" s="4" t="s">
        <v>10357</v>
      </c>
      <c r="D2366" s="1" t="s">
        <v>10358</v>
      </c>
      <c r="E2366" s="1" t="s">
        <v>10359</v>
      </c>
      <c r="F2366" s="4" t="s">
        <v>17</v>
      </c>
      <c r="G2366" s="1" t="s">
        <v>18</v>
      </c>
      <c r="H2366" s="1" t="s">
        <v>19</v>
      </c>
      <c r="I2366" s="1" t="s">
        <v>20</v>
      </c>
      <c r="J2366" s="1" t="s">
        <v>10360</v>
      </c>
      <c r="K2366" s="1" t="s">
        <v>22</v>
      </c>
      <c r="L2366" s="1" t="str">
        <f>HYPERLINK("https://files.afu.se/Downloads/Transcripts/0%20-%20Government/USA%20-%20NASA%20Johnson/2013 04 15 - NASA Johnson - Space Station Live  April 15, 2013_dCESddMJu2U - transcript (automated).pdf","Transcript Link")</f>
        <v>Transcript Link</v>
      </c>
      <c r="M2366" s="2" t="str">
        <f>HYPERLINK("https://files.afu.se/Downloads/Transcripts/0%20-%20Government/USA%20-%20NASA%20Johnson/2013 04 15 - NASA Johnson - Space Station Live  April 15, 2013_dCESddMJu2U - transcript (automated).pdf","Transcript Link")</f>
        <v>Transcript Link</v>
      </c>
    </row>
    <row r="2367" ht="270" spans="1:13">
      <c r="A2367" s="1" t="s">
        <v>10361</v>
      </c>
      <c r="B2367" s="1" t="s">
        <v>13</v>
      </c>
      <c r="C2367" s="4" t="s">
        <v>10362</v>
      </c>
      <c r="D2367" s="1" t="s">
        <v>10363</v>
      </c>
      <c r="E2367" s="1" t="s">
        <v>10364</v>
      </c>
      <c r="F2367" s="4" t="s">
        <v>17</v>
      </c>
      <c r="G2367" s="1" t="s">
        <v>18</v>
      </c>
      <c r="H2367" s="1" t="s">
        <v>19</v>
      </c>
      <c r="I2367" s="1" t="s">
        <v>20</v>
      </c>
      <c r="J2367" s="1" t="s">
        <v>10365</v>
      </c>
      <c r="K2367" s="1" t="s">
        <v>22</v>
      </c>
      <c r="L2367" s="1" t="str">
        <f>HYPERLINK("https://files.afu.se/Downloads/Transcripts/0%20-%20Government/USA%20-%20NASA%20Johnson/2013 04 12 - NASA Johnson - Space Station Live  Station Communications Upgrade_GnA-YbdhjoA - transcript (automated).pdf","Transcript Link")</f>
        <v>Transcript Link</v>
      </c>
      <c r="M2367" s="2" t="str">
        <f>HYPERLINK("https://files.afu.se/Downloads/Transcripts/0%20-%20Government/USA%20-%20NASA%20Johnson/2013 04 12 - NASA Johnson - Space Station Live  Station Communications Upgrade_GnA-YbdhjoA - transcript (automated).pdf","Transcript Link")</f>
        <v>Transcript Link</v>
      </c>
    </row>
    <row r="2368" ht="390" spans="1:13">
      <c r="A2368" s="1" t="s">
        <v>10361</v>
      </c>
      <c r="B2368" s="1" t="s">
        <v>13</v>
      </c>
      <c r="C2368" s="4" t="s">
        <v>10366</v>
      </c>
      <c r="D2368" s="1" t="s">
        <v>10367</v>
      </c>
      <c r="E2368" s="1" t="s">
        <v>10368</v>
      </c>
      <c r="F2368" s="4" t="s">
        <v>17</v>
      </c>
      <c r="G2368" s="1" t="s">
        <v>18</v>
      </c>
      <c r="H2368" s="1" t="s">
        <v>19</v>
      </c>
      <c r="I2368" s="1" t="s">
        <v>20</v>
      </c>
      <c r="J2368" s="1" t="s">
        <v>10369</v>
      </c>
      <c r="K2368" s="1" t="s">
        <v>22</v>
      </c>
      <c r="L2368" s="1" t="str">
        <f>HYPERLINK("https://files.afu.se/Downloads/Transcripts/0%20-%20Government/USA%20-%20NASA%20Johnson/2013 04 12 - NASA Johnson - Space Station Live  Astronaut Photos Highlight Earth Month_h9sDCJXTfbw - transcript (automated).pdf","Transcript Link")</f>
        <v>Transcript Link</v>
      </c>
      <c r="M2368" s="2" t="str">
        <f>HYPERLINK("https://files.afu.se/Downloads/Transcripts/0%20-%20Government/USA%20-%20NASA%20Johnson/2013 04 12 - NASA Johnson - Space Station Live  Astronaut Photos Highlight Earth Month_h9sDCJXTfbw - transcript (automated).pdf","Transcript Link")</f>
        <v>Transcript Link</v>
      </c>
    </row>
    <row r="2369" ht="180" spans="1:13">
      <c r="A2369" s="1" t="s">
        <v>10361</v>
      </c>
      <c r="B2369" s="1" t="s">
        <v>13</v>
      </c>
      <c r="C2369" s="4" t="s">
        <v>10370</v>
      </c>
      <c r="D2369" s="1" t="s">
        <v>10371</v>
      </c>
      <c r="E2369" s="1" t="s">
        <v>10372</v>
      </c>
      <c r="F2369" s="4" t="s">
        <v>17</v>
      </c>
      <c r="G2369" s="1" t="s">
        <v>18</v>
      </c>
      <c r="H2369" s="1" t="s">
        <v>19</v>
      </c>
      <c r="I2369" s="1" t="s">
        <v>20</v>
      </c>
      <c r="J2369" s="1" t="s">
        <v>10373</v>
      </c>
      <c r="K2369" s="1" t="s">
        <v>22</v>
      </c>
      <c r="L2369" s="1" t="str">
        <f>HYPERLINK("https://files.afu.se/Downloads/Transcripts/0%20-%20Government/USA%20-%20NASA%20Johnson/2013 04 12 - NASA Johnson - Space Station Live  Weekly Recap for April 12, 2013_gMwMfI5X1cw - transcript (automated).pdf","Transcript Link")</f>
        <v>Transcript Link</v>
      </c>
      <c r="M2369" s="2" t="str">
        <f>HYPERLINK("https://files.afu.se/Downloads/Transcripts/0%20-%20Government/USA%20-%20NASA%20Johnson/2013 04 12 - NASA Johnson - Space Station Live  Weekly Recap for April 12, 2013_gMwMfI5X1cw - transcript (automated).pdf","Transcript Link")</f>
        <v>Transcript Link</v>
      </c>
    </row>
    <row r="2370" ht="409.5" spans="1:13">
      <c r="A2370" s="1" t="s">
        <v>10374</v>
      </c>
      <c r="B2370" s="1" t="s">
        <v>13</v>
      </c>
      <c r="C2370" s="4" t="s">
        <v>10375</v>
      </c>
      <c r="D2370" s="1" t="s">
        <v>10376</v>
      </c>
      <c r="E2370" s="1" t="s">
        <v>10377</v>
      </c>
      <c r="F2370" s="4" t="s">
        <v>17</v>
      </c>
      <c r="G2370" s="1" t="s">
        <v>18</v>
      </c>
      <c r="H2370" s="1" t="s">
        <v>19</v>
      </c>
      <c r="I2370" s="1" t="s">
        <v>20</v>
      </c>
      <c r="J2370" s="1" t="s">
        <v>10378</v>
      </c>
      <c r="K2370" s="1" t="s">
        <v>22</v>
      </c>
      <c r="L2370" s="1" t="str">
        <f>HYPERLINK("https://files.afu.se/Downloads/Transcripts/0%20-%20Government/USA%20-%20NASA%20Johnson/2013 04 11 - NASA Johnson - Space Station Live  EarthKAM Recreating View From Gemini_Mu4yWaNWK80 - transcript (automated).pdf","Transcript Link")</f>
        <v>Transcript Link</v>
      </c>
      <c r="M2370" s="2" t="str">
        <f>HYPERLINK("https://files.afu.se/Downloads/Transcripts/0%20-%20Government/USA%20-%20NASA%20Johnson/2013 04 11 - NASA Johnson - Space Station Live  EarthKAM Recreating View From Gemini_Mu4yWaNWK80 - transcript (automated).pdf","Transcript Link")</f>
        <v>Transcript Link</v>
      </c>
    </row>
    <row r="2371" ht="405" spans="1:13">
      <c r="A2371" s="1" t="s">
        <v>10374</v>
      </c>
      <c r="B2371" s="1" t="s">
        <v>13</v>
      </c>
      <c r="C2371" s="4" t="s">
        <v>10379</v>
      </c>
      <c r="D2371" s="1" t="s">
        <v>10380</v>
      </c>
      <c r="E2371" s="1" t="s">
        <v>10381</v>
      </c>
      <c r="F2371" s="4" t="s">
        <v>17</v>
      </c>
      <c r="G2371" s="1" t="s">
        <v>18</v>
      </c>
      <c r="H2371" s="1" t="s">
        <v>19</v>
      </c>
      <c r="I2371" s="1" t="s">
        <v>20</v>
      </c>
      <c r="J2371" s="1" t="s">
        <v>10382</v>
      </c>
      <c r="K2371" s="1" t="s">
        <v>22</v>
      </c>
      <c r="L2371" s="1" t="str">
        <f>HYPERLINK("https://files.afu.se/Downloads/Transcripts/0%20-%20Government/USA%20-%20NASA%20Johnson/2013 04 11 - NASA Johnson - Space Station Live  Veteran Astronaut Talks Crew Orientation_xLxDlUdhs6s - transcript (automated).pdf","Transcript Link")</f>
        <v>Transcript Link</v>
      </c>
      <c r="M2371" s="2" t="str">
        <f>HYPERLINK("https://files.afu.se/Downloads/Transcripts/0%20-%20Government/USA%20-%20NASA%20Johnson/2013 04 11 - NASA Johnson - Space Station Live  Veteran Astronaut Talks Crew Orientation_xLxDlUdhs6s - transcript (automated).pdf","Transcript Link")</f>
        <v>Transcript Link</v>
      </c>
    </row>
    <row r="2372" ht="180" spans="1:13">
      <c r="A2372" s="1" t="s">
        <v>10374</v>
      </c>
      <c r="B2372" s="1" t="s">
        <v>13</v>
      </c>
      <c r="C2372" s="4" t="s">
        <v>10383</v>
      </c>
      <c r="D2372" s="1" t="s">
        <v>10384</v>
      </c>
      <c r="E2372" s="1" t="s">
        <v>10385</v>
      </c>
      <c r="F2372" s="4" t="s">
        <v>17</v>
      </c>
      <c r="G2372" s="1" t="s">
        <v>18</v>
      </c>
      <c r="H2372" s="1" t="s">
        <v>19</v>
      </c>
      <c r="I2372" s="1" t="s">
        <v>20</v>
      </c>
      <c r="J2372" s="1" t="s">
        <v>10386</v>
      </c>
      <c r="K2372" s="1" t="s">
        <v>22</v>
      </c>
      <c r="L2372" s="1" t="str">
        <f>HYPERLINK("https://files.afu.se/Downloads/Transcripts/0%20-%20Government/USA%20-%20NASA%20Johnson/2013 04 11 - NASA Johnson - Students Speak With Vacuum Chamber Project Manager Mary Cerimele_B2gt6EL9alU - transcript (automated).pdf","Transcript Link")</f>
        <v>Transcript Link</v>
      </c>
      <c r="M2372" s="2" t="str">
        <f>HYPERLINK("https://files.afu.se/Downloads/Transcripts/0%20-%20Government/USA%20-%20NASA%20Johnson/2013 04 11 - NASA Johnson - Students Speak With Vacuum Chamber Project Manager Mary Cerimele_B2gt6EL9alU - transcript (automated).pdf","Transcript Link")</f>
        <v>Transcript Link</v>
      </c>
    </row>
    <row r="2373" ht="180" spans="1:13">
      <c r="A2373" s="1" t="s">
        <v>10374</v>
      </c>
      <c r="B2373" s="1" t="s">
        <v>13</v>
      </c>
      <c r="C2373" s="4" t="s">
        <v>10387</v>
      </c>
      <c r="D2373" s="1" t="s">
        <v>10388</v>
      </c>
      <c r="E2373" s="1" t="s">
        <v>10389</v>
      </c>
      <c r="F2373" s="4" t="s">
        <v>17</v>
      </c>
      <c r="G2373" s="1" t="s">
        <v>18</v>
      </c>
      <c r="H2373" s="1" t="s">
        <v>19</v>
      </c>
      <c r="I2373" s="1" t="s">
        <v>20</v>
      </c>
      <c r="J2373" s="1" t="s">
        <v>10390</v>
      </c>
      <c r="K2373" s="1" t="s">
        <v>22</v>
      </c>
      <c r="L2373" s="1" t="str">
        <f>HYPERLINK("https://files.afu.se/Downloads/Transcripts/0%20-%20Government/USA%20-%20NASA%20Johnson/2013 04 11 - NASA Johnson - Space Station Live  April 11, 2013_9JgZWZOok6I - transcript (automated).pdf","Transcript Link")</f>
        <v>Transcript Link</v>
      </c>
      <c r="M2373" s="2" t="str">
        <f>HYPERLINK("https://files.afu.se/Downloads/Transcripts/0%20-%20Government/USA%20-%20NASA%20Johnson/2013 04 11 - NASA Johnson - Space Station Live  April 11, 2013_9JgZWZOok6I - transcript (automated).pdf","Transcript Link")</f>
        <v>Transcript Link</v>
      </c>
    </row>
    <row r="2374" ht="180" spans="1:13">
      <c r="A2374" s="1" t="s">
        <v>10391</v>
      </c>
      <c r="B2374" s="1" t="s">
        <v>13</v>
      </c>
      <c r="C2374" s="4" t="s">
        <v>10392</v>
      </c>
      <c r="D2374" s="1" t="s">
        <v>10393</v>
      </c>
      <c r="E2374" s="1" t="s">
        <v>10394</v>
      </c>
      <c r="F2374" s="4" t="s">
        <v>17</v>
      </c>
      <c r="G2374" s="1" t="s">
        <v>18</v>
      </c>
      <c r="H2374" s="1" t="s">
        <v>19</v>
      </c>
      <c r="I2374" s="1" t="s">
        <v>20</v>
      </c>
      <c r="J2374" s="1" t="s">
        <v>10395</v>
      </c>
      <c r="K2374" s="1" t="s">
        <v>22</v>
      </c>
      <c r="L2374" s="1" t="str">
        <f>HYPERLINK("https://files.afu.se/Downloads/Transcripts/0%20-%20Government/USA%20-%20NASA%20Johnson/2013 04 09 - NASA Johnson - Space Station Live  EarthKAM with Kelly McCormick_OlQmktfM_7o - transcript (automated).pdf","Transcript Link")</f>
        <v>Transcript Link</v>
      </c>
      <c r="M2374" s="2" t="str">
        <f>HYPERLINK("https://files.afu.se/Downloads/Transcripts/0%20-%20Government/USA%20-%20NASA%20Johnson/2013 04 09 - NASA Johnson - Space Station Live  EarthKAM with Kelly McCormick_OlQmktfM_7o - transcript (automated).pdf","Transcript Link")</f>
        <v>Transcript Link</v>
      </c>
    </row>
    <row r="2375" ht="180" spans="1:13">
      <c r="A2375" s="1" t="s">
        <v>10391</v>
      </c>
      <c r="B2375" s="1" t="s">
        <v>13</v>
      </c>
      <c r="C2375" s="4" t="s">
        <v>10396</v>
      </c>
      <c r="D2375" s="1" t="s">
        <v>10397</v>
      </c>
      <c r="E2375" s="1" t="s">
        <v>10398</v>
      </c>
      <c r="F2375" s="4" t="s">
        <v>17</v>
      </c>
      <c r="G2375" s="1" t="s">
        <v>18</v>
      </c>
      <c r="H2375" s="1" t="s">
        <v>19</v>
      </c>
      <c r="I2375" s="1" t="s">
        <v>20</v>
      </c>
      <c r="J2375" s="1" t="s">
        <v>10399</v>
      </c>
      <c r="K2375" s="1" t="s">
        <v>22</v>
      </c>
      <c r="L2375" s="1" t="str">
        <f>HYPERLINK("https://files.afu.se/Downloads/Transcripts/0%20-%20Government/USA%20-%20NASA%20Johnson/2013 04 09 - NASA Johnson - Space Station Live  April 9, 2013_tpCbJc6oR_0 - transcript (automated).pdf","Transcript Link")</f>
        <v>Transcript Link</v>
      </c>
      <c r="M2375" s="2" t="str">
        <f>HYPERLINK("https://files.afu.se/Downloads/Transcripts/0%20-%20Government/USA%20-%20NASA%20Johnson/2013 04 09 - NASA Johnson - Space Station Live  April 9, 2013_tpCbJc6oR_0 - transcript (automated).pdf","Transcript Link")</f>
        <v>Transcript Link</v>
      </c>
    </row>
    <row r="2376" ht="180" spans="1:13">
      <c r="A2376" s="1" t="s">
        <v>10400</v>
      </c>
      <c r="B2376" s="1" t="s">
        <v>13</v>
      </c>
      <c r="C2376" s="4" t="s">
        <v>10401</v>
      </c>
      <c r="D2376" s="1" t="s">
        <v>10402</v>
      </c>
      <c r="E2376" s="1" t="s">
        <v>10403</v>
      </c>
      <c r="F2376" s="4" t="s">
        <v>17</v>
      </c>
      <c r="G2376" s="1" t="s">
        <v>18</v>
      </c>
      <c r="H2376" s="1" t="s">
        <v>19</v>
      </c>
      <c r="I2376" s="1" t="s">
        <v>20</v>
      </c>
      <c r="J2376" s="1" t="s">
        <v>10404</v>
      </c>
      <c r="K2376" s="1" t="s">
        <v>22</v>
      </c>
      <c r="L2376" s="1" t="str">
        <f>HYPERLINK("https://files.afu.se/Downloads/Transcripts/0%20-%20Government/USA%20-%20NASA%20Johnson/2013 04 08 - NASA Johnson - Space Station Live  ISS Communications Unit Upgrade_KlsXaubo05E - transcript (automated).pdf","Transcript Link")</f>
        <v>Transcript Link</v>
      </c>
      <c r="M2376" s="2" t="str">
        <f>HYPERLINK("https://files.afu.se/Downloads/Transcripts/0%20-%20Government/USA%20-%20NASA%20Johnson/2013 04 08 - NASA Johnson - Space Station Live  ISS Communications Unit Upgrade_KlsXaubo05E - transcript (automated).pdf","Transcript Link")</f>
        <v>Transcript Link</v>
      </c>
    </row>
    <row r="2377" ht="180" spans="1:13">
      <c r="A2377" s="1" t="s">
        <v>10400</v>
      </c>
      <c r="B2377" s="1" t="s">
        <v>13</v>
      </c>
      <c r="C2377" s="4" t="s">
        <v>10405</v>
      </c>
      <c r="D2377" s="1" t="s">
        <v>10406</v>
      </c>
      <c r="E2377" s="1" t="s">
        <v>10407</v>
      </c>
      <c r="F2377" s="4" t="s">
        <v>17</v>
      </c>
      <c r="G2377" s="1" t="s">
        <v>18</v>
      </c>
      <c r="H2377" s="1" t="s">
        <v>19</v>
      </c>
      <c r="I2377" s="1" t="s">
        <v>20</v>
      </c>
      <c r="J2377" s="1" t="s">
        <v>10408</v>
      </c>
      <c r="K2377" s="1" t="s">
        <v>22</v>
      </c>
      <c r="L2377" s="1" t="str">
        <f>HYPERLINK("https://files.afu.se/Downloads/Transcripts/0%20-%20Government/USA%20-%20NASA%20Johnson/2013 04 08 - NASA Johnson - Space Station Live  April 8, 2013_yKiY2AduNJA - transcript (automated).pdf","Transcript Link")</f>
        <v>Transcript Link</v>
      </c>
      <c r="M2377" s="2" t="str">
        <f>HYPERLINK("https://files.afu.se/Downloads/Transcripts/0%20-%20Government/USA%20-%20NASA%20Johnson/2013 04 08 - NASA Johnson - Space Station Live  April 8, 2013_yKiY2AduNJA - transcript (automated).pdf","Transcript Link")</f>
        <v>Transcript Link</v>
      </c>
    </row>
    <row r="2378" ht="409.5" spans="1:13">
      <c r="A2378" s="1" t="s">
        <v>10409</v>
      </c>
      <c r="B2378" s="1" t="s">
        <v>13</v>
      </c>
      <c r="C2378" s="4" t="s">
        <v>10410</v>
      </c>
      <c r="D2378" s="1" t="s">
        <v>10411</v>
      </c>
      <c r="E2378" s="1" t="s">
        <v>10412</v>
      </c>
      <c r="F2378" s="4" t="s">
        <v>17</v>
      </c>
      <c r="G2378" s="1" t="s">
        <v>18</v>
      </c>
      <c r="H2378" s="1" t="s">
        <v>19</v>
      </c>
      <c r="I2378" s="1" t="s">
        <v>20</v>
      </c>
      <c r="J2378" s="1" t="s">
        <v>10413</v>
      </c>
      <c r="K2378" s="1" t="s">
        <v>22</v>
      </c>
      <c r="L2378" s="1" t="str">
        <f>HYPERLINK("https://files.afu.se/Downloads/Transcripts/0%20-%20Government/USA%20-%20NASA%20Johnson/2013 04 05 - NASA Johnson - Space Station Live  Historic Vacuum Chamber to Test Webb Telescope_-ZB3-6uR4nA - transcript (automated).pdf","Transcript Link")</f>
        <v>Transcript Link</v>
      </c>
      <c r="M2378" s="2" t="str">
        <f>HYPERLINK("https://files.afu.se/Downloads/Transcripts/0%20-%20Government/USA%20-%20NASA%20Johnson/2013 04 05 - NASA Johnson - Space Station Live  Historic Vacuum Chamber to Test Webb Telescope_-ZB3-6uR4nA - transcript (automated).pdf","Transcript Link")</f>
        <v>Transcript Link</v>
      </c>
    </row>
    <row r="2379" ht="180" spans="1:13">
      <c r="A2379" s="1" t="s">
        <v>10409</v>
      </c>
      <c r="B2379" s="1" t="s">
        <v>13</v>
      </c>
      <c r="C2379" s="4" t="s">
        <v>10414</v>
      </c>
      <c r="D2379" s="1" t="s">
        <v>10415</v>
      </c>
      <c r="E2379" s="1" t="s">
        <v>10416</v>
      </c>
      <c r="F2379" s="4" t="s">
        <v>17</v>
      </c>
      <c r="G2379" s="1" t="s">
        <v>18</v>
      </c>
      <c r="H2379" s="1" t="s">
        <v>19</v>
      </c>
      <c r="I2379" s="1" t="s">
        <v>20</v>
      </c>
      <c r="J2379" s="1" t="s">
        <v>10417</v>
      </c>
      <c r="K2379" s="1" t="s">
        <v>22</v>
      </c>
      <c r="L2379" s="1" t="str">
        <f>HYPERLINK("https://files.afu.se/Downloads/Transcripts/0%20-%20Government/USA%20-%20NASA%20Johnson/2013 04 05 - NASA Johnson - Space Station Live  Weekly Recap for April 5, 2013_wjahMmjb1b0 - transcript (automated).pdf","Transcript Link")</f>
        <v>Transcript Link</v>
      </c>
      <c r="M2379" s="2" t="str">
        <f>HYPERLINK("https://files.afu.se/Downloads/Transcripts/0%20-%20Government/USA%20-%20NASA%20Johnson/2013 04 05 - NASA Johnson - Space Station Live  Weekly Recap for April 5, 2013_wjahMmjb1b0 - transcript (automated).pdf","Transcript Link")</f>
        <v>Transcript Link</v>
      </c>
    </row>
    <row r="2380" ht="180" spans="1:13">
      <c r="A2380" s="1" t="s">
        <v>10409</v>
      </c>
      <c r="B2380" s="1" t="s">
        <v>13</v>
      </c>
      <c r="C2380" s="4" t="s">
        <v>10418</v>
      </c>
      <c r="D2380" s="1" t="s">
        <v>10419</v>
      </c>
      <c r="E2380" s="1" t="s">
        <v>10420</v>
      </c>
      <c r="F2380" s="4" t="s">
        <v>17</v>
      </c>
      <c r="G2380" s="1" t="s">
        <v>18</v>
      </c>
      <c r="H2380" s="1" t="s">
        <v>19</v>
      </c>
      <c r="I2380" s="1" t="s">
        <v>20</v>
      </c>
      <c r="J2380" s="1" t="s">
        <v>10421</v>
      </c>
      <c r="K2380" s="1" t="s">
        <v>22</v>
      </c>
      <c r="L2380" s="1" t="str">
        <f>HYPERLINK("https://files.afu.se/Downloads/Transcripts/0%20-%20Government/USA%20-%20NASA%20Johnson/2013 04 05 - NASA Johnson - Station Commander Praises AMS_wG1z7JRYMSQ - transcript (automated).pdf","Transcript Link")</f>
        <v>Transcript Link</v>
      </c>
      <c r="M2380" s="2" t="str">
        <f>HYPERLINK("https://files.afu.se/Downloads/Transcripts/0%20-%20Government/USA%20-%20NASA%20Johnson/2013 04 05 - NASA Johnson - Station Commander Praises AMS_wG1z7JRYMSQ - transcript (automated).pdf","Transcript Link")</f>
        <v>Transcript Link</v>
      </c>
    </row>
    <row r="2381" ht="180" spans="1:13">
      <c r="A2381" s="1" t="s">
        <v>10422</v>
      </c>
      <c r="B2381" s="1" t="s">
        <v>13</v>
      </c>
      <c r="C2381" s="4" t="s">
        <v>10423</v>
      </c>
      <c r="D2381" s="1" t="s">
        <v>10424</v>
      </c>
      <c r="E2381" s="1" t="s">
        <v>10425</v>
      </c>
      <c r="F2381" s="4" t="s">
        <v>17</v>
      </c>
      <c r="G2381" s="1" t="s">
        <v>18</v>
      </c>
      <c r="H2381" s="1" t="s">
        <v>19</v>
      </c>
      <c r="I2381" s="1" t="s">
        <v>20</v>
      </c>
      <c r="J2381" s="1" t="s">
        <v>10426</v>
      </c>
      <c r="K2381" s="1" t="s">
        <v>22</v>
      </c>
      <c r="L2381" s="1" t="str">
        <f>HYPERLINK("https://files.afu.se/Downloads/Transcripts/0%20-%20Government/USA%20-%20NASA%20Johnson/2013 04 04 - NASA Johnson - Space Station Live  Installing the AMS_hCVJrXVtrnM - transcript (automated).pdf","Transcript Link")</f>
        <v>Transcript Link</v>
      </c>
      <c r="M2381" s="2" t="str">
        <f>HYPERLINK("https://files.afu.se/Downloads/Transcripts/0%20-%20Government/USA%20-%20NASA%20Johnson/2013 04 04 - NASA Johnson - Space Station Live  Installing the AMS_hCVJrXVtrnM - transcript (automated).pdf","Transcript Link")</f>
        <v>Transcript Link</v>
      </c>
    </row>
    <row r="2382" ht="180" spans="1:13">
      <c r="A2382" s="1" t="s">
        <v>10422</v>
      </c>
      <c r="B2382" s="1" t="s">
        <v>13</v>
      </c>
      <c r="C2382" s="4" t="s">
        <v>10427</v>
      </c>
      <c r="D2382" s="1" t="s">
        <v>10428</v>
      </c>
      <c r="E2382" s="1" t="s">
        <v>10429</v>
      </c>
      <c r="F2382" s="4" t="s">
        <v>17</v>
      </c>
      <c r="G2382" s="1" t="s">
        <v>18</v>
      </c>
      <c r="H2382" s="1" t="s">
        <v>19</v>
      </c>
      <c r="I2382" s="1" t="s">
        <v>20</v>
      </c>
      <c r="J2382" s="1" t="s">
        <v>10430</v>
      </c>
      <c r="K2382" s="1" t="s">
        <v>22</v>
      </c>
      <c r="L2382" s="1" t="str">
        <f>HYPERLINK("https://files.afu.se/Downloads/Transcripts/0%20-%20Government/USA%20-%20NASA%20Johnson/2013 04 04 - NASA Johnson - Space Station Live  First Findings from the AMS_JS64JfzjtEk - transcript (automated).pdf","Transcript Link")</f>
        <v>Transcript Link</v>
      </c>
      <c r="M2382" s="2" t="str">
        <f>HYPERLINK("https://files.afu.se/Downloads/Transcripts/0%20-%20Government/USA%20-%20NASA%20Johnson/2013 04 04 - NASA Johnson - Space Station Live  First Findings from the AMS_JS64JfzjtEk - transcript (automated).pdf","Transcript Link")</f>
        <v>Transcript Link</v>
      </c>
    </row>
    <row r="2383" ht="180" spans="1:13">
      <c r="A2383" s="1" t="s">
        <v>10422</v>
      </c>
      <c r="B2383" s="1" t="s">
        <v>13</v>
      </c>
      <c r="C2383" s="4" t="s">
        <v>10431</v>
      </c>
      <c r="D2383" s="1" t="s">
        <v>10432</v>
      </c>
      <c r="E2383" s="1" t="s">
        <v>10433</v>
      </c>
      <c r="F2383" s="4" t="s">
        <v>17</v>
      </c>
      <c r="G2383" s="1" t="s">
        <v>18</v>
      </c>
      <c r="H2383" s="1" t="s">
        <v>19</v>
      </c>
      <c r="I2383" s="1" t="s">
        <v>20</v>
      </c>
      <c r="J2383" s="1" t="s">
        <v>10434</v>
      </c>
      <c r="K2383" s="1" t="s">
        <v>22</v>
      </c>
      <c r="L2383" s="1" t="str">
        <f>HYPERLINK("https://files.afu.se/Downloads/Transcripts/0%20-%20Government/USA%20-%20NASA%20Johnson/2013 04 04 - NASA Johnson - Space Station Live  April 4, 2013_LCY3UrxvBkY - transcript (automated).pdf","Transcript Link")</f>
        <v>Transcript Link</v>
      </c>
      <c r="M2383" s="2" t="str">
        <f>HYPERLINK("https://files.afu.se/Downloads/Transcripts/0%20-%20Government/USA%20-%20NASA%20Johnson/2013 04 04 - NASA Johnson - Space Station Live  April 4, 2013_LCY3UrxvBkY - transcript (automated).pdf","Transcript Link")</f>
        <v>Transcript Link</v>
      </c>
    </row>
    <row r="2384" ht="180" spans="1:13">
      <c r="A2384" s="1" t="s">
        <v>10435</v>
      </c>
      <c r="B2384" s="1" t="s">
        <v>13</v>
      </c>
      <c r="C2384" s="4" t="s">
        <v>10436</v>
      </c>
      <c r="D2384" s="1" t="s">
        <v>10437</v>
      </c>
      <c r="E2384" s="1" t="s">
        <v>10438</v>
      </c>
      <c r="F2384" s="4" t="s">
        <v>17</v>
      </c>
      <c r="G2384" s="1" t="s">
        <v>18</v>
      </c>
      <c r="H2384" s="1" t="s">
        <v>19</v>
      </c>
      <c r="I2384" s="1" t="s">
        <v>20</v>
      </c>
      <c r="J2384" s="1" t="s">
        <v>10439</v>
      </c>
      <c r="K2384" s="1" t="s">
        <v>22</v>
      </c>
      <c r="L2384" s="1" t="str">
        <f>HYPERLINK("https://files.afu.se/Downloads/Transcripts/0%20-%20Government/USA%20-%20NASA%20Johnson/2013 04 03 - NASA Johnson - Space Station Live  April 3, 2013_YFua31-_cVQ - transcript (automated).pdf","Transcript Link")</f>
        <v>Transcript Link</v>
      </c>
      <c r="M2384" s="2" t="str">
        <f>HYPERLINK("https://files.afu.se/Downloads/Transcripts/0%20-%20Government/USA%20-%20NASA%20Johnson/2013 04 03 - NASA Johnson - Space Station Live  April 3, 2013_YFua31-_cVQ - transcript (automated).pdf","Transcript Link")</f>
        <v>Transcript Link</v>
      </c>
    </row>
    <row r="2385" ht="180" spans="1:13">
      <c r="A2385" s="1" t="s">
        <v>10440</v>
      </c>
      <c r="B2385" s="1" t="s">
        <v>13</v>
      </c>
      <c r="C2385" s="4" t="s">
        <v>10441</v>
      </c>
      <c r="D2385" s="1" t="s">
        <v>10442</v>
      </c>
      <c r="E2385" s="1" t="s">
        <v>10443</v>
      </c>
      <c r="F2385" s="4" t="s">
        <v>17</v>
      </c>
      <c r="G2385" s="1" t="s">
        <v>18</v>
      </c>
      <c r="H2385" s="1" t="s">
        <v>19</v>
      </c>
      <c r="I2385" s="1" t="s">
        <v>20</v>
      </c>
      <c r="J2385" s="1" t="s">
        <v>10444</v>
      </c>
      <c r="K2385" s="1" t="s">
        <v>22</v>
      </c>
      <c r="L2385" s="1" t="str">
        <f>HYPERLINK("https://files.afu.se/Downloads/Transcripts/0%20-%20Government/USA%20-%20NASA%20Johnson/2013 04 02 - NASA Johnson - Space Station Live  April 2, 2013_cCJsw3INeic - transcript (automated).pdf","Transcript Link")</f>
        <v>Transcript Link</v>
      </c>
      <c r="M2385" s="2" t="str">
        <f>HYPERLINK("https://files.afu.se/Downloads/Transcripts/0%20-%20Government/USA%20-%20NASA%20Johnson/2013 04 02 - NASA Johnson - Space Station Live  April 2, 2013_cCJsw3INeic - transcript (automated).pdf","Transcript Link")</f>
        <v>Transcript Link</v>
      </c>
    </row>
    <row r="2386" ht="180" spans="1:13">
      <c r="A2386" s="1" t="s">
        <v>10445</v>
      </c>
      <c r="B2386" s="1" t="s">
        <v>13</v>
      </c>
      <c r="C2386" s="4" t="s">
        <v>10446</v>
      </c>
      <c r="D2386" s="1" t="s">
        <v>10447</v>
      </c>
      <c r="E2386" s="1" t="s">
        <v>10448</v>
      </c>
      <c r="F2386" s="4" t="s">
        <v>17</v>
      </c>
      <c r="G2386" s="1" t="s">
        <v>18</v>
      </c>
      <c r="H2386" s="1" t="s">
        <v>19</v>
      </c>
      <c r="I2386" s="1" t="s">
        <v>20</v>
      </c>
      <c r="J2386" s="1" t="s">
        <v>10449</v>
      </c>
      <c r="K2386" s="1" t="s">
        <v>22</v>
      </c>
      <c r="L2386" s="1" t="str">
        <f>HYPERLINK("https://files.afu.se/Downloads/Transcripts/0%20-%20Government/USA%20-%20NASA%20Johnson/2013 04 01 - NASA Johnson - Space Station Live  April 1, 2013_tclDxFY5kjU - transcript (automated).pdf","Transcript Link")</f>
        <v>Transcript Link</v>
      </c>
      <c r="M2386" s="2" t="str">
        <f>HYPERLINK("https://files.afu.se/Downloads/Transcripts/0%20-%20Government/USA%20-%20NASA%20Johnson/2013 04 01 - NASA Johnson - Space Station Live  April 1, 2013_tclDxFY5kjU - transcript (automated).pdf","Transcript Link")</f>
        <v>Transcript Link</v>
      </c>
    </row>
    <row r="2387" ht="180" spans="1:13">
      <c r="A2387" s="1" t="s">
        <v>10450</v>
      </c>
      <c r="B2387" s="1" t="s">
        <v>13</v>
      </c>
      <c r="C2387" s="4" t="s">
        <v>10451</v>
      </c>
      <c r="D2387" s="1" t="s">
        <v>10452</v>
      </c>
      <c r="E2387" s="1" t="s">
        <v>10453</v>
      </c>
      <c r="F2387" s="4" t="s">
        <v>17</v>
      </c>
      <c r="G2387" s="1" t="s">
        <v>18</v>
      </c>
      <c r="H2387" s="1" t="s">
        <v>19</v>
      </c>
      <c r="I2387" s="1" t="s">
        <v>20</v>
      </c>
      <c r="J2387" s="1" t="s">
        <v>10454</v>
      </c>
      <c r="K2387" s="1" t="s">
        <v>22</v>
      </c>
      <c r="L2387" s="1" t="str">
        <f>HYPERLINK("https://files.afu.se/Downloads/Transcripts/0%20-%20Government/USA%20-%20NASA%20Johnson/2013 03 29 - NASA Johnson - Space Station Live Recap  March 29, 2013_n2cDAxv0NT4 - transcript (automated).pdf","Transcript Link")</f>
        <v>Transcript Link</v>
      </c>
      <c r="M2387" s="2" t="str">
        <f>HYPERLINK("https://files.afu.se/Downloads/Transcripts/0%20-%20Government/USA%20-%20NASA%20Johnson/2013 03 29 - NASA Johnson - Space Station Live Recap  March 29, 2013_n2cDAxv0NT4 - transcript (automated).pdf","Transcript Link")</f>
        <v>Transcript Link</v>
      </c>
    </row>
    <row r="2388" ht="180" spans="1:13">
      <c r="A2388" s="1" t="s">
        <v>10450</v>
      </c>
      <c r="B2388" s="1" t="s">
        <v>13</v>
      </c>
      <c r="C2388" s="4" t="s">
        <v>10455</v>
      </c>
      <c r="D2388" s="1" t="s">
        <v>10456</v>
      </c>
      <c r="E2388" s="1" t="s">
        <v>10457</v>
      </c>
      <c r="F2388" s="4" t="s">
        <v>17</v>
      </c>
      <c r="G2388" s="1" t="s">
        <v>18</v>
      </c>
      <c r="H2388" s="1" t="s">
        <v>19</v>
      </c>
      <c r="I2388" s="1" t="s">
        <v>20</v>
      </c>
      <c r="J2388" s="1" t="s">
        <v>10458</v>
      </c>
      <c r="K2388" s="1" t="s">
        <v>22</v>
      </c>
      <c r="L2388" s="1" t="str">
        <f>HYPERLINK("https://files.afu.se/Downloads/Transcripts/0%20-%20Government/USA%20-%20NASA%20Johnson/2013 03 29 - NASA Johnson - New Crew on Station After Express Flight_zny8BLEfong - transcript (automated).pdf","Transcript Link")</f>
        <v>Transcript Link</v>
      </c>
      <c r="M2388" s="2" t="str">
        <f>HYPERLINK("https://files.afu.se/Downloads/Transcripts/0%20-%20Government/USA%20-%20NASA%20Johnson/2013 03 29 - NASA Johnson - New Crew on Station After Express Flight_zny8BLEfong - transcript (automated).pdf","Transcript Link")</f>
        <v>Transcript Link</v>
      </c>
    </row>
    <row r="2389" ht="180" spans="1:13">
      <c r="A2389" s="1" t="s">
        <v>10450</v>
      </c>
      <c r="B2389" s="1" t="s">
        <v>13</v>
      </c>
      <c r="C2389" s="4" t="s">
        <v>10459</v>
      </c>
      <c r="D2389" s="1" t="s">
        <v>10460</v>
      </c>
      <c r="E2389" s="1" t="s">
        <v>10461</v>
      </c>
      <c r="F2389" s="4" t="s">
        <v>17</v>
      </c>
      <c r="G2389" s="1" t="s">
        <v>18</v>
      </c>
      <c r="H2389" s="1" t="s">
        <v>19</v>
      </c>
      <c r="I2389" s="1" t="s">
        <v>20</v>
      </c>
      <c r="J2389" s="1" t="s">
        <v>10462</v>
      </c>
      <c r="K2389" s="1" t="s">
        <v>22</v>
      </c>
      <c r="L2389" s="1" t="str">
        <f>HYPERLINK("https://files.afu.se/Downloads/Transcripts/0%20-%20Government/USA%20-%20NASA%20Johnson/2013 03 29 - NASA Johnson - Fast-Tracked Soyuz Docks to Station_3UG8mYtSW2I - transcript (automated).pdf","Transcript Link")</f>
        <v>Transcript Link</v>
      </c>
      <c r="M2389" s="2" t="str">
        <f>HYPERLINK("https://files.afu.se/Downloads/Transcripts/0%20-%20Government/USA%20-%20NASA%20Johnson/2013 03 29 - NASA Johnson - Fast-Tracked Soyuz Docks to Station_3UG8mYtSW2I - transcript (automated).pdf","Transcript Link")</f>
        <v>Transcript Link</v>
      </c>
    </row>
    <row r="2390" ht="180" spans="1:13">
      <c r="A2390" s="1" t="s">
        <v>10463</v>
      </c>
      <c r="B2390" s="1" t="s">
        <v>13</v>
      </c>
      <c r="C2390" s="4" t="s">
        <v>10464</v>
      </c>
      <c r="D2390" s="1" t="s">
        <v>10465</v>
      </c>
      <c r="E2390" s="1" t="s">
        <v>10466</v>
      </c>
      <c r="F2390" s="4" t="s">
        <v>17</v>
      </c>
      <c r="G2390" s="1" t="s">
        <v>18</v>
      </c>
      <c r="H2390" s="1" t="s">
        <v>19</v>
      </c>
      <c r="I2390" s="1" t="s">
        <v>20</v>
      </c>
      <c r="J2390" s="1" t="s">
        <v>10467</v>
      </c>
      <c r="K2390" s="1" t="s">
        <v>22</v>
      </c>
      <c r="L2390" s="1" t="str">
        <f>HYPERLINK("https://files.afu.se/Downloads/Transcripts/0%20-%20Government/USA%20-%20NASA%20Johnson/2013 03 28 - NASA Johnson - The Soyuz TMA-08M Spacecraft Launches_DZLASbCEDKM - transcript (automated).pdf","Transcript Link")</f>
        <v>Transcript Link</v>
      </c>
      <c r="M2390" s="2" t="str">
        <f>HYPERLINK("https://files.afu.se/Downloads/Transcripts/0%20-%20Government/USA%20-%20NASA%20Johnson/2013 03 28 - NASA Johnson - The Soyuz TMA-08M Spacecraft Launches_DZLASbCEDKM - transcript (automated).pdf","Transcript Link")</f>
        <v>Transcript Link</v>
      </c>
    </row>
    <row r="2391" ht="180" spans="1:13">
      <c r="A2391" s="1" t="s">
        <v>10468</v>
      </c>
      <c r="B2391" s="1" t="s">
        <v>13</v>
      </c>
      <c r="C2391" s="4" t="s">
        <v>10469</v>
      </c>
      <c r="D2391" s="1" t="s">
        <v>10470</v>
      </c>
      <c r="E2391" s="1" t="s">
        <v>10471</v>
      </c>
      <c r="F2391" s="4" t="s">
        <v>17</v>
      </c>
      <c r="G2391" s="1" t="s">
        <v>18</v>
      </c>
      <c r="H2391" s="1" t="s">
        <v>19</v>
      </c>
      <c r="I2391" s="1" t="s">
        <v>20</v>
      </c>
      <c r="J2391" s="1" t="s">
        <v>10472</v>
      </c>
      <c r="K2391" s="1" t="s">
        <v>22</v>
      </c>
      <c r="L2391" s="1" t="str">
        <f>HYPERLINK("https://files.afu.se/Downloads/Transcripts/0%20-%20Government/USA%20-%20NASA%20Johnson/2013 03 27 - NASA Johnson - ISS Servir Environmental Research and Visualization System_ro0QTHD_wqc - transcript (automated).pdf","Transcript Link")</f>
        <v>Transcript Link</v>
      </c>
      <c r="M2391" s="2" t="str">
        <f>HYPERLINK("https://files.afu.se/Downloads/Transcripts/0%20-%20Government/USA%20-%20NASA%20Johnson/2013 03 27 - NASA Johnson - ISS Servir Environmental Research and Visualization System_ro0QTHD_wqc - transcript (automated).pdf","Transcript Link")</f>
        <v>Transcript Link</v>
      </c>
    </row>
    <row r="2392" ht="180" spans="1:13">
      <c r="A2392" s="1" t="s">
        <v>10468</v>
      </c>
      <c r="B2392" s="1" t="s">
        <v>13</v>
      </c>
      <c r="C2392" s="4" t="s">
        <v>10473</v>
      </c>
      <c r="D2392" s="1" t="s">
        <v>10474</v>
      </c>
      <c r="E2392" s="1" t="s">
        <v>10475</v>
      </c>
      <c r="F2392" s="4" t="s">
        <v>17</v>
      </c>
      <c r="G2392" s="1" t="s">
        <v>18</v>
      </c>
      <c r="H2392" s="1" t="s">
        <v>19</v>
      </c>
      <c r="I2392" s="1" t="s">
        <v>20</v>
      </c>
      <c r="J2392" s="1" t="s">
        <v>10476</v>
      </c>
      <c r="K2392" s="1" t="s">
        <v>22</v>
      </c>
      <c r="L2392" s="1" t="str">
        <f>HYPERLINK("https://files.afu.se/Downloads/Transcripts/0%20-%20Government/USA%20-%20NASA%20Johnson/2013 03 27 - NASA Johnson - ISS Update - March 27, 2013_V5K1CKuMH94 - transcript (automated).pdf","Transcript Link")</f>
        <v>Transcript Link</v>
      </c>
      <c r="M2392" s="2" t="str">
        <f>HYPERLINK("https://files.afu.se/Downloads/Transcripts/0%20-%20Government/USA%20-%20NASA%20Johnson/2013 03 27 - NASA Johnson - ISS Update - March 27, 2013_V5K1CKuMH94 - transcript (automated).pdf","Transcript Link")</f>
        <v>Transcript Link</v>
      </c>
    </row>
    <row r="2393" ht="180" spans="1:13">
      <c r="A2393" s="1" t="s">
        <v>10477</v>
      </c>
      <c r="B2393" s="1" t="s">
        <v>13</v>
      </c>
      <c r="C2393" s="4" t="s">
        <v>10478</v>
      </c>
      <c r="D2393" s="1" t="s">
        <v>10479</v>
      </c>
      <c r="E2393" s="1" t="s">
        <v>10480</v>
      </c>
      <c r="F2393" s="4" t="s">
        <v>17</v>
      </c>
      <c r="G2393" s="1" t="s">
        <v>18</v>
      </c>
      <c r="H2393" s="1" t="s">
        <v>19</v>
      </c>
      <c r="I2393" s="1" t="s">
        <v>20</v>
      </c>
      <c r="J2393" s="1" t="s">
        <v>10481</v>
      </c>
      <c r="K2393" s="1" t="s">
        <v>22</v>
      </c>
      <c r="L2393" s="1" t="str">
        <f>HYPERLINK("https://files.afu.se/Downloads/Transcripts/0%20-%20Government/USA%20-%20NASA%20Johnson/2013 03 26 - NASA Johnson - ISS Update - March 26, 2013_8PL0vLwjraE - transcript (automated).pdf","Transcript Link")</f>
        <v>Transcript Link</v>
      </c>
      <c r="M2393" s="2" t="str">
        <f>HYPERLINK("https://files.afu.se/Downloads/Transcripts/0%20-%20Government/USA%20-%20NASA%20Johnson/2013 03 26 - NASA Johnson - ISS Update - March 26, 2013_8PL0vLwjraE - transcript (automated).pdf","Transcript Link")</f>
        <v>Transcript Link</v>
      </c>
    </row>
    <row r="2394" ht="180" spans="1:13">
      <c r="A2394" s="1" t="s">
        <v>10477</v>
      </c>
      <c r="B2394" s="1" t="s">
        <v>13</v>
      </c>
      <c r="C2394" s="4" t="s">
        <v>10482</v>
      </c>
      <c r="D2394" s="1" t="s">
        <v>10483</v>
      </c>
      <c r="E2394" s="1" t="s">
        <v>10484</v>
      </c>
      <c r="F2394" s="4" t="s">
        <v>17</v>
      </c>
      <c r="G2394" s="1" t="s">
        <v>18</v>
      </c>
      <c r="H2394" s="1" t="s">
        <v>19</v>
      </c>
      <c r="I2394" s="1" t="s">
        <v>20</v>
      </c>
      <c r="J2394" s="1" t="s">
        <v>10485</v>
      </c>
      <c r="K2394" s="1" t="s">
        <v>22</v>
      </c>
      <c r="L2394" s="1" t="str">
        <f>HYPERLINK("https://files.afu.se/Downloads/Transcripts/0%20-%20Government/USA%20-%20NASA%20Johnson/2013 03 26 - NASA Johnson - Dragon Released for Departure, Prepares for Splashdown_aYPvBVVGe9w - transcript (automated).pdf","Transcript Link")</f>
        <v>Transcript Link</v>
      </c>
      <c r="M2394" s="2" t="str">
        <f>HYPERLINK("https://files.afu.se/Downloads/Transcripts/0%20-%20Government/USA%20-%20NASA%20Johnson/2013 03 26 - NASA Johnson - Dragon Released for Departure, Prepares for Splashdown_aYPvBVVGe9w - transcript (automated).pdf","Transcript Link")</f>
        <v>Transcript Link</v>
      </c>
    </row>
    <row r="2395" ht="180" spans="1:13">
      <c r="A2395" s="1" t="s">
        <v>10477</v>
      </c>
      <c r="B2395" s="1" t="s">
        <v>13</v>
      </c>
      <c r="C2395" s="4" t="s">
        <v>10486</v>
      </c>
      <c r="D2395" s="1" t="s">
        <v>10487</v>
      </c>
      <c r="E2395" s="1" t="s">
        <v>10488</v>
      </c>
      <c r="F2395" s="4" t="s">
        <v>17</v>
      </c>
      <c r="G2395" s="1" t="s">
        <v>18</v>
      </c>
      <c r="H2395" s="1" t="s">
        <v>19</v>
      </c>
      <c r="I2395" s="1" t="s">
        <v>20</v>
      </c>
      <c r="J2395" s="1" t="s">
        <v>10489</v>
      </c>
      <c r="K2395" s="1" t="s">
        <v>22</v>
      </c>
      <c r="L2395" s="1" t="str">
        <f>HYPERLINK("https://files.afu.se/Downloads/Transcripts/0%20-%20Government/USA%20-%20NASA%20Johnson/2013 03 26 - NASA Johnson - Soyuz Rolled to Launch Pad in Kazakhstan_vVDzGF5Z4AY - transcript (automated).pdf","Transcript Link")</f>
        <v>Transcript Link</v>
      </c>
      <c r="M2395" s="2" t="str">
        <f>HYPERLINK("https://files.afu.se/Downloads/Transcripts/0%20-%20Government/USA%20-%20NASA%20Johnson/2013 03 26 - NASA Johnson - Soyuz Rolled to Launch Pad in Kazakhstan_vVDzGF5Z4AY - transcript (automated).pdf","Transcript Link")</f>
        <v>Transcript Link</v>
      </c>
    </row>
    <row r="2396" ht="180" spans="1:13">
      <c r="A2396" s="1" t="s">
        <v>10490</v>
      </c>
      <c r="B2396" s="1" t="s">
        <v>13</v>
      </c>
      <c r="C2396" s="4" t="s">
        <v>10491</v>
      </c>
      <c r="D2396" s="1" t="s">
        <v>10492</v>
      </c>
      <c r="E2396" s="1" t="s">
        <v>10493</v>
      </c>
      <c r="F2396" s="4" t="s">
        <v>17</v>
      </c>
      <c r="G2396" s="1" t="s">
        <v>18</v>
      </c>
      <c r="H2396" s="1" t="s">
        <v>19</v>
      </c>
      <c r="I2396" s="1" t="s">
        <v>20</v>
      </c>
      <c r="J2396" s="1" t="s">
        <v>10494</v>
      </c>
      <c r="K2396" s="1" t="s">
        <v>22</v>
      </c>
      <c r="L2396" s="1" t="str">
        <f>HYPERLINK("https://files.afu.se/Downloads/Transcripts/0%20-%20Government/USA%20-%20NASA%20Johnson/2013 03 25 - NASA Johnson - ISS Update - March 25, 2013_KjnTZiYYIzg - transcript (automated).pdf","Transcript Link")</f>
        <v>Transcript Link</v>
      </c>
      <c r="M2396" s="2" t="str">
        <f>HYPERLINK("https://files.afu.se/Downloads/Transcripts/0%20-%20Government/USA%20-%20NASA%20Johnson/2013 03 25 - NASA Johnson - ISS Update - March 25, 2013_KjnTZiYYIzg - transcript (automated).pdf","Transcript Link")</f>
        <v>Transcript Link</v>
      </c>
    </row>
    <row r="2397" ht="180" spans="1:13">
      <c r="A2397" s="1" t="s">
        <v>10490</v>
      </c>
      <c r="B2397" s="1" t="s">
        <v>13</v>
      </c>
      <c r="C2397" s="4" t="s">
        <v>10495</v>
      </c>
      <c r="D2397" s="1" t="s">
        <v>10496</v>
      </c>
      <c r="E2397" s="1" t="s">
        <v>10497</v>
      </c>
      <c r="F2397" s="4" t="s">
        <v>17</v>
      </c>
      <c r="G2397" s="1" t="s">
        <v>18</v>
      </c>
      <c r="H2397" s="1" t="s">
        <v>19</v>
      </c>
      <c r="I2397" s="1" t="s">
        <v>20</v>
      </c>
      <c r="J2397" s="1" t="s">
        <v>10498</v>
      </c>
      <c r="K2397" s="1" t="s">
        <v>22</v>
      </c>
      <c r="L2397" s="1" t="str">
        <f>HYPERLINK("https://files.afu.se/Downloads/Transcripts/0%20-%20Government/USA%20-%20NASA%20Johnson/2013 03 25 - NASA Johnson - New Expedition 35 Trio Checks out Soyuz_ILG9Xkiv5Y8 - transcript (automated).pdf","Transcript Link")</f>
        <v>Transcript Link</v>
      </c>
      <c r="M2397" s="2" t="str">
        <f>HYPERLINK("https://files.afu.se/Downloads/Transcripts/0%20-%20Government/USA%20-%20NASA%20Johnson/2013 03 25 - NASA Johnson - New Expedition 35 Trio Checks out Soyuz_ILG9Xkiv5Y8 - transcript (automated).pdf","Transcript Link")</f>
        <v>Transcript Link</v>
      </c>
    </row>
    <row r="2398" ht="180" spans="1:13">
      <c r="A2398" s="1" t="s">
        <v>10499</v>
      </c>
      <c r="B2398" s="1" t="s">
        <v>13</v>
      </c>
      <c r="C2398" s="4" t="s">
        <v>10500</v>
      </c>
      <c r="D2398" s="1" t="s">
        <v>10501</v>
      </c>
      <c r="E2398" s="1" t="s">
        <v>10502</v>
      </c>
      <c r="F2398" s="4" t="s">
        <v>17</v>
      </c>
      <c r="G2398" s="1" t="s">
        <v>18</v>
      </c>
      <c r="H2398" s="1" t="s">
        <v>19</v>
      </c>
      <c r="I2398" s="1" t="s">
        <v>20</v>
      </c>
      <c r="J2398" s="1" t="s">
        <v>10503</v>
      </c>
      <c r="K2398" s="1" t="s">
        <v>22</v>
      </c>
      <c r="L2398" s="1" t="str">
        <f>HYPERLINK("https://files.afu.se/Downloads/Transcripts/0%20-%20Government/USA%20-%20NASA%20Johnson/2013 03 22 - NASA Johnson - ISS Update  CASIS Award Recipient Jud Ready on Materials Science_54pvHhahPxg - transcript (automated).pdf","Transcript Link")</f>
        <v>Transcript Link</v>
      </c>
      <c r="M2398" s="2" t="str">
        <f>HYPERLINK("https://files.afu.se/Downloads/Transcripts/0%20-%20Government/USA%20-%20NASA%20Johnson/2013 03 22 - NASA Johnson - ISS Update  CASIS Award Recipient Jud Ready on Materials Science_54pvHhahPxg - transcript (automated).pdf","Transcript Link")</f>
        <v>Transcript Link</v>
      </c>
    </row>
    <row r="2399" ht="180" spans="1:13">
      <c r="A2399" s="1" t="s">
        <v>10499</v>
      </c>
      <c r="B2399" s="1" t="s">
        <v>13</v>
      </c>
      <c r="C2399" s="4" t="s">
        <v>10504</v>
      </c>
      <c r="D2399" s="1" t="s">
        <v>10505</v>
      </c>
      <c r="E2399" s="1" t="s">
        <v>10506</v>
      </c>
      <c r="F2399" s="4" t="s">
        <v>17</v>
      </c>
      <c r="G2399" s="1" t="s">
        <v>18</v>
      </c>
      <c r="H2399" s="1" t="s">
        <v>19</v>
      </c>
      <c r="I2399" s="1" t="s">
        <v>20</v>
      </c>
      <c r="J2399" s="1" t="s">
        <v>10507</v>
      </c>
      <c r="K2399" s="1" t="s">
        <v>22</v>
      </c>
      <c r="L2399" s="1" t="str">
        <f>HYPERLINK("https://files.afu.se/Downloads/Transcripts/0%20-%20Government/USA%20-%20NASA%20Johnson/2013 03 22 - NASA Johnson - ISS Update  Weekly Recap for March 22, 2013_Rqxt5sQWgDc - transcript (automated).pdf","Transcript Link")</f>
        <v>Transcript Link</v>
      </c>
      <c r="M2399" s="2" t="str">
        <f>HYPERLINK("https://files.afu.se/Downloads/Transcripts/0%20-%20Government/USA%20-%20NASA%20Johnson/2013 03 22 - NASA Johnson - ISS Update  Weekly Recap for March 22, 2013_Rqxt5sQWgDc - transcript (automated).pdf","Transcript Link")</f>
        <v>Transcript Link</v>
      </c>
    </row>
    <row r="2400" ht="180" spans="1:13">
      <c r="A2400" s="1" t="s">
        <v>10508</v>
      </c>
      <c r="B2400" s="1" t="s">
        <v>13</v>
      </c>
      <c r="C2400" s="4" t="s">
        <v>10509</v>
      </c>
      <c r="D2400" s="1" t="s">
        <v>10510</v>
      </c>
      <c r="E2400" s="1" t="s">
        <v>10511</v>
      </c>
      <c r="F2400" s="4" t="s">
        <v>17</v>
      </c>
      <c r="G2400" s="1" t="s">
        <v>18</v>
      </c>
      <c r="H2400" s="1" t="s">
        <v>19</v>
      </c>
      <c r="I2400" s="1" t="s">
        <v>20</v>
      </c>
      <c r="J2400" s="1" t="s">
        <v>10512</v>
      </c>
      <c r="K2400" s="1" t="s">
        <v>22</v>
      </c>
      <c r="L2400" s="1" t="str">
        <f>HYPERLINK("https://files.afu.se/Downloads/Transcripts/0%20-%20Government/USA%20-%20NASA%20Johnson/2013 03 21 - NASA Johnson - Next Station Crew in Kazakhstan for Soyuz Launch_R588TXrn_nc - transcript (automated).pdf","Transcript Link")</f>
        <v>Transcript Link</v>
      </c>
      <c r="M2400" s="2" t="str">
        <f>HYPERLINK("https://files.afu.se/Downloads/Transcripts/0%20-%20Government/USA%20-%20NASA%20Johnson/2013 03 21 - NASA Johnson - Next Station Crew in Kazakhstan for Soyuz Launch_R588TXrn_nc - transcript (automated).pdf","Transcript Link")</f>
        <v>Transcript Link</v>
      </c>
    </row>
    <row r="2401" ht="180" spans="1:13">
      <c r="A2401" s="1" t="s">
        <v>10508</v>
      </c>
      <c r="B2401" s="1" t="s">
        <v>13</v>
      </c>
      <c r="C2401" s="4" t="s">
        <v>10513</v>
      </c>
      <c r="D2401" s="1" t="s">
        <v>10514</v>
      </c>
      <c r="E2401" s="1" t="s">
        <v>10515</v>
      </c>
      <c r="F2401" s="4" t="s">
        <v>17</v>
      </c>
      <c r="G2401" s="1" t="s">
        <v>18</v>
      </c>
      <c r="H2401" s="1" t="s">
        <v>19</v>
      </c>
      <c r="I2401" s="1" t="s">
        <v>20</v>
      </c>
      <c r="J2401" s="1" t="s">
        <v>10516</v>
      </c>
      <c r="K2401" s="1" t="s">
        <v>22</v>
      </c>
      <c r="L2401" s="1" t="str">
        <f>HYPERLINK("https://files.afu.se/Downloads/Transcripts/0%20-%20Government/USA%20-%20NASA%20Johnson/2013 03 21 - NASA Johnson - ISS Update - March 21, 2013_fvvIg7ttoLA - transcript (automated).pdf","Transcript Link")</f>
        <v>Transcript Link</v>
      </c>
      <c r="M2401" s="2" t="str">
        <f>HYPERLINK("https://files.afu.se/Downloads/Transcripts/0%20-%20Government/USA%20-%20NASA%20Johnson/2013 03 21 - NASA Johnson - ISS Update - March 21, 2013_fvvIg7ttoLA - transcript (automated).pdf","Transcript Link")</f>
        <v>Transcript Link</v>
      </c>
    </row>
    <row r="2402" ht="180" spans="1:13">
      <c r="A2402" s="1" t="s">
        <v>10517</v>
      </c>
      <c r="B2402" s="1" t="s">
        <v>13</v>
      </c>
      <c r="C2402" s="4" t="s">
        <v>10518</v>
      </c>
      <c r="D2402" s="1" t="s">
        <v>10519</v>
      </c>
      <c r="E2402" s="1" t="s">
        <v>10520</v>
      </c>
      <c r="F2402" s="4" t="s">
        <v>17</v>
      </c>
      <c r="G2402" s="1" t="s">
        <v>18</v>
      </c>
      <c r="H2402" s="1" t="s">
        <v>19</v>
      </c>
      <c r="I2402" s="1" t="s">
        <v>20</v>
      </c>
      <c r="J2402" s="1" t="s">
        <v>10521</v>
      </c>
      <c r="K2402" s="1" t="s">
        <v>22</v>
      </c>
      <c r="L2402" s="1" t="str">
        <f>HYPERLINK("https://files.afu.se/Downloads/Transcripts/0%20-%20Government/USA%20-%20NASA%20Johnson/2013 03 20 - NASA Johnson - Students in Austin, Texas Learn About Space Exploration and Science_Ky1mQfAmXsc - transcript (automated).pdf","Transcript Link")</f>
        <v>Transcript Link</v>
      </c>
      <c r="M2402" s="2" t="str">
        <f>HYPERLINK("https://files.afu.se/Downloads/Transcripts/0%20-%20Government/USA%20-%20NASA%20Johnson/2013 03 20 - NASA Johnson - Students in Austin, Texas Learn About Space Exploration and Science_Ky1mQfAmXsc - transcript (automated).pdf","Transcript Link")</f>
        <v>Transcript Link</v>
      </c>
    </row>
    <row r="2403" ht="180" spans="1:13">
      <c r="A2403" s="1" t="s">
        <v>10517</v>
      </c>
      <c r="B2403" s="1" t="s">
        <v>13</v>
      </c>
      <c r="C2403" s="4" t="s">
        <v>10522</v>
      </c>
      <c r="D2403" s="1" t="s">
        <v>10523</v>
      </c>
      <c r="E2403" s="1" t="s">
        <v>10524</v>
      </c>
      <c r="F2403" s="4" t="s">
        <v>17</v>
      </c>
      <c r="G2403" s="1" t="s">
        <v>18</v>
      </c>
      <c r="H2403" s="1" t="s">
        <v>19</v>
      </c>
      <c r="I2403" s="1" t="s">
        <v>20</v>
      </c>
      <c r="J2403" s="1" t="s">
        <v>10525</v>
      </c>
      <c r="K2403" s="1" t="s">
        <v>22</v>
      </c>
      <c r="L2403" s="1" t="str">
        <f>HYPERLINK("https://files.afu.se/Downloads/Transcripts/0%20-%20Government/USA%20-%20NASA%20Johnson/2013 03 20 - NASA Johnson - ISS Update  Human Research Aboard Station_R8J5xfc661w - transcript (automated).pdf","Transcript Link")</f>
        <v>Transcript Link</v>
      </c>
      <c r="M2403" s="2" t="str">
        <f>HYPERLINK("https://files.afu.se/Downloads/Transcripts/0%20-%20Government/USA%20-%20NASA%20Johnson/2013 03 20 - NASA Johnson - ISS Update  Human Research Aboard Station_R8J5xfc661w - transcript (automated).pdf","Transcript Link")</f>
        <v>Transcript Link</v>
      </c>
    </row>
    <row r="2404" ht="180" spans="1:13">
      <c r="A2404" s="1" t="s">
        <v>10517</v>
      </c>
      <c r="B2404" s="1" t="s">
        <v>13</v>
      </c>
      <c r="C2404" s="4" t="s">
        <v>10526</v>
      </c>
      <c r="D2404" s="1" t="s">
        <v>10527</v>
      </c>
      <c r="E2404" s="1" t="s">
        <v>10528</v>
      </c>
      <c r="F2404" s="4" t="s">
        <v>17</v>
      </c>
      <c r="G2404" s="1" t="s">
        <v>18</v>
      </c>
      <c r="H2404" s="1" t="s">
        <v>19</v>
      </c>
      <c r="I2404" s="1" t="s">
        <v>20</v>
      </c>
      <c r="J2404" s="1" t="s">
        <v>10529</v>
      </c>
      <c r="K2404" s="1" t="s">
        <v>22</v>
      </c>
      <c r="L2404" s="1" t="str">
        <f>HYPERLINK("https://files.afu.se/Downloads/Transcripts/0%20-%20Government/USA%20-%20NASA%20Johnson/2013 03 20 - NASA Johnson - ISS Update - March 20, 2013_NOwnd2JOuD4 - transcript (automated).pdf","Transcript Link")</f>
        <v>Transcript Link</v>
      </c>
      <c r="M2404" s="2" t="str">
        <f>HYPERLINK("https://files.afu.se/Downloads/Transcripts/0%20-%20Government/USA%20-%20NASA%20Johnson/2013 03 20 - NASA Johnson - ISS Update - March 20, 2013_NOwnd2JOuD4 - transcript (automated).pdf","Transcript Link")</f>
        <v>Transcript Link</v>
      </c>
    </row>
    <row r="2405" ht="180" spans="1:13">
      <c r="A2405" s="1" t="s">
        <v>10530</v>
      </c>
      <c r="B2405" s="1" t="s">
        <v>13</v>
      </c>
      <c r="C2405" s="4" t="s">
        <v>10531</v>
      </c>
      <c r="D2405" s="1" t="s">
        <v>10532</v>
      </c>
      <c r="E2405" s="1" t="s">
        <v>10533</v>
      </c>
      <c r="F2405" s="4" t="s">
        <v>17</v>
      </c>
      <c r="G2405" s="1" t="s">
        <v>18</v>
      </c>
      <c r="H2405" s="1" t="s">
        <v>19</v>
      </c>
      <c r="I2405" s="1" t="s">
        <v>20</v>
      </c>
      <c r="J2405" s="1" t="s">
        <v>10534</v>
      </c>
      <c r="K2405" s="1" t="s">
        <v>22</v>
      </c>
      <c r="L2405" s="1" t="str">
        <f>HYPERLINK("https://files.afu.se/Downloads/Transcripts/0%20-%20Government/USA%20-%20NASA%20Johnson/2013 03 19 - NASA Johnson - ISS Update  Coarsening in Solid Liquid Mixtures-3 Experiment_8RVfoKS0XCA - transcript (automated).pdf","Transcript Link")</f>
        <v>Transcript Link</v>
      </c>
      <c r="M2405" s="2" t="str">
        <f>HYPERLINK("https://files.afu.se/Downloads/Transcripts/0%20-%20Government/USA%20-%20NASA%20Johnson/2013 03 19 - NASA Johnson - ISS Update  Coarsening in Solid Liquid Mixtures-3 Experiment_8RVfoKS0XCA - transcript (automated).pdf","Transcript Link")</f>
        <v>Transcript Link</v>
      </c>
    </row>
    <row r="2406" ht="180" spans="1:13">
      <c r="A2406" s="1" t="s">
        <v>10530</v>
      </c>
      <c r="B2406" s="1" t="s">
        <v>13</v>
      </c>
      <c r="C2406" s="4" t="s">
        <v>10535</v>
      </c>
      <c r="D2406" s="1" t="s">
        <v>10536</v>
      </c>
      <c r="E2406" s="1" t="s">
        <v>10537</v>
      </c>
      <c r="F2406" s="4" t="s">
        <v>17</v>
      </c>
      <c r="G2406" s="1" t="s">
        <v>18</v>
      </c>
      <c r="H2406" s="1" t="s">
        <v>19</v>
      </c>
      <c r="I2406" s="1" t="s">
        <v>20</v>
      </c>
      <c r="J2406" s="1" t="s">
        <v>10538</v>
      </c>
      <c r="K2406" s="1" t="s">
        <v>22</v>
      </c>
      <c r="L2406" s="1" t="str">
        <f>HYPERLINK("https://files.afu.se/Downloads/Transcripts/0%20-%20Government/USA%20-%20NASA%20Johnson/2013 03 19 - NASA Johnson - ISS Update - March 19, 2013_hy-kKBHkO9s - transcript (automated).pdf","Transcript Link")</f>
        <v>Transcript Link</v>
      </c>
      <c r="M2406" s="2" t="str">
        <f>HYPERLINK("https://files.afu.se/Downloads/Transcripts/0%20-%20Government/USA%20-%20NASA%20Johnson/2013 03 19 - NASA Johnson - ISS Update - March 19, 2013_hy-kKBHkO9s - transcript (automated).pdf","Transcript Link")</f>
        <v>Transcript Link</v>
      </c>
    </row>
    <row r="2407" ht="180" spans="1:13">
      <c r="A2407" s="1" t="s">
        <v>10530</v>
      </c>
      <c r="B2407" s="1" t="s">
        <v>13</v>
      </c>
      <c r="C2407" s="4" t="s">
        <v>10539</v>
      </c>
      <c r="D2407" s="1" t="s">
        <v>10540</v>
      </c>
      <c r="E2407" s="1" t="s">
        <v>10541</v>
      </c>
      <c r="F2407" s="4" t="s">
        <v>17</v>
      </c>
      <c r="G2407" s="1" t="s">
        <v>18</v>
      </c>
      <c r="H2407" s="1" t="s">
        <v>19</v>
      </c>
      <c r="I2407" s="1" t="s">
        <v>20</v>
      </c>
      <c r="J2407" s="1" t="s">
        <v>10542</v>
      </c>
      <c r="K2407" s="1" t="s">
        <v>22</v>
      </c>
      <c r="L2407" s="1" t="str">
        <f>HYPERLINK("https://files.afu.se/Downloads/Transcripts/0%20-%20Government/USA%20-%20NASA%20Johnson/2013 03 19 - NASA Johnson - Tom Marshburn Talks to Thirty Seconds to Mars_d4fGW2pm3AI - transcript (automated).pdf","Transcript Link")</f>
        <v>Transcript Link</v>
      </c>
      <c r="M2407" s="2" t="str">
        <f>HYPERLINK("https://files.afu.se/Downloads/Transcripts/0%20-%20Government/USA%20-%20NASA%20Johnson/2013 03 19 - NASA Johnson - Tom Marshburn Talks to Thirty Seconds to Mars_d4fGW2pm3AI - transcript (automated).pdf","Transcript Link")</f>
        <v>Transcript Link</v>
      </c>
    </row>
    <row r="2408" ht="180" spans="1:13">
      <c r="A2408" s="1" t="s">
        <v>10543</v>
      </c>
      <c r="B2408" s="1" t="s">
        <v>13</v>
      </c>
      <c r="C2408" s="4" t="s">
        <v>10544</v>
      </c>
      <c r="D2408" s="1" t="s">
        <v>10545</v>
      </c>
      <c r="E2408" s="1" t="s">
        <v>10546</v>
      </c>
      <c r="F2408" s="4" t="s">
        <v>17</v>
      </c>
      <c r="G2408" s="1" t="s">
        <v>18</v>
      </c>
      <c r="H2408" s="1" t="s">
        <v>19</v>
      </c>
      <c r="I2408" s="1" t="s">
        <v>20</v>
      </c>
      <c r="J2408" s="1" t="s">
        <v>10547</v>
      </c>
      <c r="K2408" s="1" t="s">
        <v>22</v>
      </c>
      <c r="L2408" s="1" t="str">
        <f>HYPERLINK("https://files.afu.se/Downloads/Transcripts/0%20-%20Government/USA%20-%20NASA%20Johnson/2013 03 18 - NASA Johnson - ISS Update - March 18, 2013_enR1xA5VM5w - transcript (automated).pdf","Transcript Link")</f>
        <v>Transcript Link</v>
      </c>
      <c r="M2408" s="2" t="str">
        <f>HYPERLINK("https://files.afu.se/Downloads/Transcripts/0%20-%20Government/USA%20-%20NASA%20Johnson/2013 03 18 - NASA Johnson - ISS Update - March 18, 2013_enR1xA5VM5w - transcript (automated).pdf","Transcript Link")</f>
        <v>Transcript Link</v>
      </c>
    </row>
    <row r="2409" ht="180" spans="1:13">
      <c r="A2409" s="1" t="s">
        <v>10543</v>
      </c>
      <c r="B2409" s="1" t="s">
        <v>13</v>
      </c>
      <c r="C2409" s="4" t="s">
        <v>10548</v>
      </c>
      <c r="D2409" s="1" t="s">
        <v>10549</v>
      </c>
      <c r="E2409" s="1" t="s">
        <v>10550</v>
      </c>
      <c r="F2409" s="4" t="s">
        <v>17</v>
      </c>
      <c r="G2409" s="1" t="s">
        <v>18</v>
      </c>
      <c r="H2409" s="1" t="s">
        <v>19</v>
      </c>
      <c r="I2409" s="1" t="s">
        <v>20</v>
      </c>
      <c r="J2409" s="1" t="s">
        <v>10551</v>
      </c>
      <c r="K2409" s="1" t="s">
        <v>22</v>
      </c>
      <c r="L2409" s="1" t="str">
        <f>HYPERLINK("https://files.afu.se/Downloads/Transcripts/0%20-%20Government/USA%20-%20NASA%20Johnson/2013 03 18 - NASA Johnson - The Expedition 34 Crew Lands in Kazakhstan_PBZ4a-dvf0w - transcript (automated).pdf","Transcript Link")</f>
        <v>Transcript Link</v>
      </c>
      <c r="M2409" s="2" t="str">
        <f>HYPERLINK("https://files.afu.se/Downloads/Transcripts/0%20-%20Government/USA%20-%20NASA%20Johnson/2013 03 18 - NASA Johnson - The Expedition 34 Crew Lands in Kazakhstan_PBZ4a-dvf0w - transcript (automated).pdf","Transcript Link")</f>
        <v>Transcript Link</v>
      </c>
    </row>
    <row r="2410" ht="180" spans="1:13">
      <c r="A2410" s="1" t="s">
        <v>10543</v>
      </c>
      <c r="B2410" s="1" t="s">
        <v>13</v>
      </c>
      <c r="C2410" s="4" t="s">
        <v>10552</v>
      </c>
      <c r="D2410" s="1" t="s">
        <v>10553</v>
      </c>
      <c r="E2410" s="1" t="s">
        <v>10554</v>
      </c>
      <c r="F2410" s="4" t="s">
        <v>17</v>
      </c>
      <c r="G2410" s="1" t="s">
        <v>18</v>
      </c>
      <c r="H2410" s="1" t="s">
        <v>19</v>
      </c>
      <c r="I2410" s="1" t="s">
        <v>20</v>
      </c>
      <c r="J2410" s="1" t="s">
        <v>10555</v>
      </c>
      <c r="K2410" s="1" t="s">
        <v>22</v>
      </c>
      <c r="L2410" s="1" t="str">
        <f>HYPERLINK("https://files.afu.se/Downloads/Transcripts/0%20-%20Government/USA%20-%20NASA%20Johnson/2013 03 18 - NASA Johnson - Expedition 35 36 Crew Departs Star City_THCL6ByyWzs - transcript (automated).pdf","Transcript Link")</f>
        <v>Transcript Link</v>
      </c>
      <c r="M2410" s="2" t="str">
        <f>HYPERLINK("https://files.afu.se/Downloads/Transcripts/0%20-%20Government/USA%20-%20NASA%20Johnson/2013 03 18 - NASA Johnson - Expedition 35 36 Crew Departs Star City_THCL6ByyWzs - transcript (automated).pdf","Transcript Link")</f>
        <v>Transcript Link</v>
      </c>
    </row>
    <row r="2411" ht="180" spans="1:13">
      <c r="A2411" s="1" t="s">
        <v>10556</v>
      </c>
      <c r="B2411" s="1" t="s">
        <v>13</v>
      </c>
      <c r="C2411" s="4" t="s">
        <v>10557</v>
      </c>
      <c r="D2411" s="1" t="s">
        <v>10558</v>
      </c>
      <c r="E2411" s="1" t="s">
        <v>10559</v>
      </c>
      <c r="F2411" s="4" t="s">
        <v>17</v>
      </c>
      <c r="G2411" s="1" t="s">
        <v>18</v>
      </c>
      <c r="H2411" s="1" t="s">
        <v>19</v>
      </c>
      <c r="I2411" s="1" t="s">
        <v>20</v>
      </c>
      <c r="J2411" s="1" t="s">
        <v>10560</v>
      </c>
      <c r="K2411" s="1" t="s">
        <v>22</v>
      </c>
      <c r="L2411" s="1" t="str">
        <f>HYPERLINK("https://files.afu.se/Downloads/Transcripts/0%20-%20Government/USA%20-%20NASA%20Johnson/2013 03 16 - NASA Johnson - Expedition 34 Says Goodbye and Undocks_VyaMw0dmfGM - transcript (automated).pdf","Transcript Link")</f>
        <v>Transcript Link</v>
      </c>
      <c r="M2411" s="2" t="str">
        <f>HYPERLINK("https://files.afu.se/Downloads/Transcripts/0%20-%20Government/USA%20-%20NASA%20Johnson/2013 03 16 - NASA Johnson - Expedition 34 Says Goodbye and Undocks_VyaMw0dmfGM - transcript (automated).pdf","Transcript Link")</f>
        <v>Transcript Link</v>
      </c>
    </row>
    <row r="2412" ht="180" spans="1:13">
      <c r="A2412" s="1" t="s">
        <v>10561</v>
      </c>
      <c r="B2412" s="1" t="s">
        <v>13</v>
      </c>
      <c r="C2412" s="4" t="s">
        <v>10562</v>
      </c>
      <c r="D2412" s="1" t="s">
        <v>10563</v>
      </c>
      <c r="E2412" s="1" t="s">
        <v>10564</v>
      </c>
      <c r="F2412" s="4" t="s">
        <v>17</v>
      </c>
      <c r="G2412" s="1" t="s">
        <v>18</v>
      </c>
      <c r="H2412" s="1" t="s">
        <v>19</v>
      </c>
      <c r="I2412" s="1" t="s">
        <v>20</v>
      </c>
      <c r="J2412" s="1" t="s">
        <v>10565</v>
      </c>
      <c r="K2412" s="1" t="s">
        <v>22</v>
      </c>
      <c r="L2412" s="1" t="str">
        <f>HYPERLINK("https://files.afu.se/Downloads/Transcripts/0%20-%20Government/USA%20-%20NASA%20Johnson/2013 03 15 - NASA Johnson - ISS Update  Weekly Recap for March 15, 2013_ofbbTf7Ihtc - transcript (automated).pdf","Transcript Link")</f>
        <v>Transcript Link</v>
      </c>
      <c r="M2412" s="2" t="str">
        <f>HYPERLINK("https://files.afu.se/Downloads/Transcripts/0%20-%20Government/USA%20-%20NASA%20Johnson/2013 03 15 - NASA Johnson - ISS Update  Weekly Recap for March 15, 2013_ofbbTf7Ihtc - transcript (automated).pdf","Transcript Link")</f>
        <v>Transcript Link</v>
      </c>
    </row>
    <row r="2413" ht="285" spans="1:13">
      <c r="A2413" s="1" t="s">
        <v>10566</v>
      </c>
      <c r="B2413" s="1" t="s">
        <v>13</v>
      </c>
      <c r="C2413" s="4" t="s">
        <v>10567</v>
      </c>
      <c r="D2413" s="1" t="s">
        <v>10568</v>
      </c>
      <c r="E2413" s="1" t="s">
        <v>10569</v>
      </c>
      <c r="F2413" s="4" t="s">
        <v>17</v>
      </c>
      <c r="G2413" s="1" t="s">
        <v>18</v>
      </c>
      <c r="H2413" s="1" t="s">
        <v>19</v>
      </c>
      <c r="I2413" s="1" t="s">
        <v>20</v>
      </c>
      <c r="J2413" s="1" t="s">
        <v>10570</v>
      </c>
      <c r="K2413" s="1" t="s">
        <v>22</v>
      </c>
      <c r="L2413" s="1" t="str">
        <f>HYPERLINK("https://files.afu.se/Downloads/Transcripts/0%20-%20Government/USA%20-%20NASA%20Johnson/2013 03 14 - NASA Johnson - ISS Update  Keeping Track of Station Inventory -- 03 14 13_149ij147DCo - transcript (automated).pdf","Transcript Link")</f>
        <v>Transcript Link</v>
      </c>
      <c r="M2413" s="2" t="str">
        <f>HYPERLINK("https://files.afu.se/Downloads/Transcripts/0%20-%20Government/USA%20-%20NASA%20Johnson/2013 03 14 - NASA Johnson - ISS Update  Keeping Track of Station Inventory -- 03 14 13_149ij147DCo - transcript (automated).pdf","Transcript Link")</f>
        <v>Transcript Link</v>
      </c>
    </row>
    <row r="2414" ht="180" spans="1:13">
      <c r="A2414" s="1" t="s">
        <v>10566</v>
      </c>
      <c r="B2414" s="1" t="s">
        <v>13</v>
      </c>
      <c r="C2414" s="4" t="s">
        <v>10571</v>
      </c>
      <c r="D2414" s="1" t="s">
        <v>10572</v>
      </c>
      <c r="E2414" s="1" t="s">
        <v>10573</v>
      </c>
      <c r="F2414" s="4" t="s">
        <v>17</v>
      </c>
      <c r="G2414" s="1" t="s">
        <v>18</v>
      </c>
      <c r="H2414" s="1" t="s">
        <v>19</v>
      </c>
      <c r="I2414" s="1" t="s">
        <v>20</v>
      </c>
      <c r="J2414" s="1" t="s">
        <v>10574</v>
      </c>
      <c r="K2414" s="1" t="s">
        <v>22</v>
      </c>
      <c r="L2414" s="1" t="str">
        <f>HYPERLINK("https://files.afu.se/Downloads/Transcripts/0%20-%20Government/USA%20-%20NASA%20Johnson/2013 03 14 - NASA Johnson - ISS Update - March 14, 2013_sr9kMfLQnys - transcript (automated).pdf","Transcript Link")</f>
        <v>Transcript Link</v>
      </c>
      <c r="M2414" s="2" t="str">
        <f>HYPERLINK("https://files.afu.se/Downloads/Transcripts/0%20-%20Government/USA%20-%20NASA%20Johnson/2013 03 14 - NASA Johnson - ISS Update - March 14, 2013_sr9kMfLQnys - transcript (automated).pdf","Transcript Link")</f>
        <v>Transcript Link</v>
      </c>
    </row>
    <row r="2415" ht="180" spans="1:13">
      <c r="A2415" s="1" t="s">
        <v>10575</v>
      </c>
      <c r="B2415" s="1" t="s">
        <v>13</v>
      </c>
      <c r="C2415" s="4" t="s">
        <v>10576</v>
      </c>
      <c r="D2415" s="1" t="s">
        <v>10577</v>
      </c>
      <c r="E2415" s="1" t="s">
        <v>10578</v>
      </c>
      <c r="F2415" s="4" t="s">
        <v>17</v>
      </c>
      <c r="G2415" s="1" t="s">
        <v>18</v>
      </c>
      <c r="H2415" s="1" t="s">
        <v>19</v>
      </c>
      <c r="I2415" s="1" t="s">
        <v>20</v>
      </c>
      <c r="J2415" s="1" t="s">
        <v>10579</v>
      </c>
      <c r="K2415" s="1" t="s">
        <v>22</v>
      </c>
      <c r="L2415" s="1" t="str">
        <f>HYPERLINK("https://files.afu.se/Downloads/Transcripts/0%20-%20Government/USA%20-%20NASA%20Johnson/2013 03 13 - NASA Johnson - Expedition 34 35 Change of Command Ceremony_K8H6Uk2UDh0 - transcript (automated).pdf","Transcript Link")</f>
        <v>Transcript Link</v>
      </c>
      <c r="M2415" s="2" t="str">
        <f>HYPERLINK("https://files.afu.se/Downloads/Transcripts/0%20-%20Government/USA%20-%20NASA%20Johnson/2013 03 13 - NASA Johnson - Expedition 34 35 Change of Command Ceremony_K8H6Uk2UDh0 - transcript (automated).pdf","Transcript Link")</f>
        <v>Transcript Link</v>
      </c>
    </row>
    <row r="2416" ht="330" spans="1:13">
      <c r="A2416" s="1" t="s">
        <v>10575</v>
      </c>
      <c r="B2416" s="1" t="s">
        <v>13</v>
      </c>
      <c r="C2416" s="4" t="s">
        <v>10580</v>
      </c>
      <c r="D2416" s="1" t="s">
        <v>10581</v>
      </c>
      <c r="E2416" s="1" t="s">
        <v>10582</v>
      </c>
      <c r="F2416" s="4" t="s">
        <v>17</v>
      </c>
      <c r="G2416" s="1" t="s">
        <v>18</v>
      </c>
      <c r="H2416" s="1" t="s">
        <v>19</v>
      </c>
      <c r="I2416" s="1" t="s">
        <v>20</v>
      </c>
      <c r="J2416" s="1" t="s">
        <v>10583</v>
      </c>
      <c r="K2416" s="1" t="s">
        <v>22</v>
      </c>
      <c r="L2416" s="1" t="str">
        <f>HYPERLINK("https://files.afu.se/Downloads/Transcripts/0%20-%20Government/USA%20-%20NASA%20Johnson/2013 03 13 - NASA Johnson - ISS Update  Materials Science Aboard Station_ejZmvJQwy0c - transcript (automated).pdf","Transcript Link")</f>
        <v>Transcript Link</v>
      </c>
      <c r="M2416" s="2" t="str">
        <f>HYPERLINK("https://files.afu.se/Downloads/Transcripts/0%20-%20Government/USA%20-%20NASA%20Johnson/2013 03 13 - NASA Johnson - ISS Update  Materials Science Aboard Station_ejZmvJQwy0c - transcript (automated).pdf","Transcript Link")</f>
        <v>Transcript Link</v>
      </c>
    </row>
    <row r="2417" ht="180" spans="1:13">
      <c r="A2417" s="1" t="s">
        <v>10575</v>
      </c>
      <c r="B2417" s="1" t="s">
        <v>13</v>
      </c>
      <c r="C2417" s="4" t="s">
        <v>10584</v>
      </c>
      <c r="D2417" s="1" t="s">
        <v>10585</v>
      </c>
      <c r="E2417" s="1" t="s">
        <v>10586</v>
      </c>
      <c r="F2417" s="4" t="s">
        <v>17</v>
      </c>
      <c r="G2417" s="1" t="s">
        <v>18</v>
      </c>
      <c r="H2417" s="1" t="s">
        <v>19</v>
      </c>
      <c r="I2417" s="1" t="s">
        <v>20</v>
      </c>
      <c r="J2417" s="1" t="s">
        <v>10587</v>
      </c>
      <c r="K2417" s="1" t="s">
        <v>22</v>
      </c>
      <c r="L2417" s="1" t="str">
        <f>HYPERLINK("https://files.afu.se/Downloads/Transcripts/0%20-%20Government/USA%20-%20NASA%20Johnson/2013 03 13 - NASA Johnson - ISS Update - March 13, 2013_YdwHrdzRhrk - transcript (automated).pdf","Transcript Link")</f>
        <v>Transcript Link</v>
      </c>
      <c r="M2417" s="2" t="str">
        <f>HYPERLINK("https://files.afu.se/Downloads/Transcripts/0%20-%20Government/USA%20-%20NASA%20Johnson/2013 03 13 - NASA Johnson - ISS Update - March 13, 2013_YdwHrdzRhrk - transcript (automated).pdf","Transcript Link")</f>
        <v>Transcript Link</v>
      </c>
    </row>
    <row r="2418" ht="180" spans="1:13">
      <c r="A2418" s="1" t="s">
        <v>10588</v>
      </c>
      <c r="B2418" s="1" t="s">
        <v>13</v>
      </c>
      <c r="C2418" s="4" t="s">
        <v>10589</v>
      </c>
      <c r="D2418" s="1" t="s">
        <v>10590</v>
      </c>
      <c r="E2418" s="1" t="s">
        <v>10591</v>
      </c>
      <c r="F2418" s="4" t="s">
        <v>17</v>
      </c>
      <c r="G2418" s="1" t="s">
        <v>18</v>
      </c>
      <c r="H2418" s="1" t="s">
        <v>19</v>
      </c>
      <c r="I2418" s="1" t="s">
        <v>20</v>
      </c>
      <c r="J2418" s="1" t="s">
        <v>10592</v>
      </c>
      <c r="K2418" s="1" t="s">
        <v>22</v>
      </c>
      <c r="L2418" s="1" t="str">
        <f>HYPERLINK("https://files.afu.se/Downloads/Transcripts/0%20-%20Government/USA%20-%20NASA%20Johnson/2013 03 12 - NASA Johnson - Australian Students Contact Space Station_h7P6vL5vIsA - transcript (automated).pdf","Transcript Link")</f>
        <v>Transcript Link</v>
      </c>
      <c r="M2418" s="2" t="str">
        <f>HYPERLINK("https://files.afu.se/Downloads/Transcripts/0%20-%20Government/USA%20-%20NASA%20Johnson/2013 03 12 - NASA Johnson - Australian Students Contact Space Station_h7P6vL5vIsA - transcript (automated).pdf","Transcript Link")</f>
        <v>Transcript Link</v>
      </c>
    </row>
    <row r="2419" ht="180" spans="1:13">
      <c r="A2419" s="1" t="s">
        <v>10588</v>
      </c>
      <c r="B2419" s="1" t="s">
        <v>13</v>
      </c>
      <c r="C2419" s="4" t="s">
        <v>10593</v>
      </c>
      <c r="D2419" s="1" t="s">
        <v>10594</v>
      </c>
      <c r="E2419" s="1" t="s">
        <v>10595</v>
      </c>
      <c r="F2419" s="4" t="s">
        <v>17</v>
      </c>
      <c r="G2419" s="1" t="s">
        <v>18</v>
      </c>
      <c r="H2419" s="1" t="s">
        <v>19</v>
      </c>
      <c r="I2419" s="1" t="s">
        <v>20</v>
      </c>
      <c r="J2419" s="1" t="s">
        <v>10596</v>
      </c>
      <c r="K2419" s="1" t="s">
        <v>22</v>
      </c>
      <c r="L2419" s="1" t="str">
        <f>HYPERLINK("https://files.afu.se/Downloads/Transcripts/0%20-%20Government/USA%20-%20NASA%20Johnson/2013 03 12 - NASA Johnson - ISS Update - March 12, 2013_bGBSQMTiaa4 - transcript (automated).pdf","Transcript Link")</f>
        <v>Transcript Link</v>
      </c>
      <c r="M2419" s="2" t="str">
        <f>HYPERLINK("https://files.afu.se/Downloads/Transcripts/0%20-%20Government/USA%20-%20NASA%20Johnson/2013 03 12 - NASA Johnson - ISS Update - March 12, 2013_bGBSQMTiaa4 - transcript (automated).pdf","Transcript Link")</f>
        <v>Transcript Link</v>
      </c>
    </row>
    <row r="2420" ht="180" spans="1:13">
      <c r="A2420" s="1" t="s">
        <v>10597</v>
      </c>
      <c r="B2420" s="1" t="s">
        <v>13</v>
      </c>
      <c r="C2420" s="4" t="s">
        <v>10598</v>
      </c>
      <c r="D2420" s="1" t="s">
        <v>10599</v>
      </c>
      <c r="E2420" s="1" t="s">
        <v>10600</v>
      </c>
      <c r="F2420" s="4" t="s">
        <v>17</v>
      </c>
      <c r="G2420" s="1" t="s">
        <v>18</v>
      </c>
      <c r="H2420" s="1" t="s">
        <v>19</v>
      </c>
      <c r="I2420" s="1" t="s">
        <v>20</v>
      </c>
      <c r="J2420" s="1" t="s">
        <v>10601</v>
      </c>
      <c r="K2420" s="1" t="s">
        <v>22</v>
      </c>
      <c r="L2420" s="1" t="str">
        <f>HYPERLINK("https://files.afu.se/Downloads/Transcripts/0%20-%20Government/USA%20-%20NASA%20Johnson/2013 03 08 - NASA Johnson - Expedition 35 Crew Profile_oNLxqvYkgik - transcript (automated).pdf","Transcript Link")</f>
        <v>Transcript Link</v>
      </c>
      <c r="M2420" s="2" t="str">
        <f>HYPERLINK("https://files.afu.se/Downloads/Transcripts/0%20-%20Government/USA%20-%20NASA%20Johnson/2013 03 08 - NASA Johnson - Expedition 35 Crew Profile_oNLxqvYkgik - transcript (automated).pdf","Transcript Link")</f>
        <v>Transcript Link</v>
      </c>
    </row>
    <row r="2421" ht="180" spans="1:13">
      <c r="A2421" s="1" t="s">
        <v>10597</v>
      </c>
      <c r="B2421" s="1" t="s">
        <v>13</v>
      </c>
      <c r="C2421" s="4" t="s">
        <v>10602</v>
      </c>
      <c r="D2421" s="1" t="s">
        <v>10603</v>
      </c>
      <c r="E2421" s="1" t="s">
        <v>10604</v>
      </c>
      <c r="F2421" s="4" t="s">
        <v>17</v>
      </c>
      <c r="G2421" s="1" t="s">
        <v>18</v>
      </c>
      <c r="H2421" s="1" t="s">
        <v>19</v>
      </c>
      <c r="I2421" s="1" t="s">
        <v>20</v>
      </c>
      <c r="J2421" s="1" t="s">
        <v>10605</v>
      </c>
      <c r="K2421" s="1" t="s">
        <v>22</v>
      </c>
      <c r="L2421" s="1" t="str">
        <f>HYPERLINK("https://files.afu.se/Downloads/Transcripts/0%20-%20Government/USA%20-%20NASA%20Johnson/2013 03 08 - NASA Johnson - ISS Update  Weekly Recap for March 8, 2013_PB10DQmRFAE - transcript (automated).pdf","Transcript Link")</f>
        <v>Transcript Link</v>
      </c>
      <c r="M2421" s="2" t="str">
        <f>HYPERLINK("https://files.afu.se/Downloads/Transcripts/0%20-%20Government/USA%20-%20NASA%20Johnson/2013 03 08 - NASA Johnson - ISS Update  Weekly Recap for March 8, 2013_PB10DQmRFAE - transcript (automated).pdf","Transcript Link")</f>
        <v>Transcript Link</v>
      </c>
    </row>
    <row r="2422" ht="409.5" spans="1:13">
      <c r="A2422" s="1" t="s">
        <v>10606</v>
      </c>
      <c r="B2422" s="1" t="s">
        <v>13</v>
      </c>
      <c r="C2422" s="4" t="s">
        <v>10607</v>
      </c>
      <c r="D2422" s="1" t="s">
        <v>10608</v>
      </c>
      <c r="E2422" s="1" t="s">
        <v>10609</v>
      </c>
      <c r="F2422" s="4" t="s">
        <v>17</v>
      </c>
      <c r="G2422" s="1" t="s">
        <v>18</v>
      </c>
      <c r="H2422" s="1" t="s">
        <v>19</v>
      </c>
      <c r="I2422" s="1" t="s">
        <v>20</v>
      </c>
      <c r="J2422" s="1" t="s">
        <v>10610</v>
      </c>
      <c r="K2422" s="1" t="s">
        <v>22</v>
      </c>
      <c r="L2422" s="1" t="str">
        <f>HYPERLINK("https://files.afu.se/Downloads/Transcripts/0%20-%20Government/USA%20-%20NASA%20Johnson/2013 03 07 - NASA Johnson - ISS Update  Huntsville Control Center Celebrates 12 Years -- 03 07 13_Sv0XiI6qJH4 - transcript (automated).pdf","Transcript Link")</f>
        <v>Transcript Link</v>
      </c>
      <c r="M2422" s="2" t="str">
        <f>HYPERLINK("https://files.afu.se/Downloads/Transcripts/0%20-%20Government/USA%20-%20NASA%20Johnson/2013 03 07 - NASA Johnson - ISS Update  Huntsville Control Center Celebrates 12 Years -- 03 07 13_Sv0XiI6qJH4 - transcript (automated).pdf","Transcript Link")</f>
        <v>Transcript Link</v>
      </c>
    </row>
    <row r="2423" ht="180" spans="1:13">
      <c r="A2423" s="1" t="s">
        <v>10606</v>
      </c>
      <c r="B2423" s="1" t="s">
        <v>13</v>
      </c>
      <c r="C2423" s="4" t="s">
        <v>10611</v>
      </c>
      <c r="D2423" s="1" t="s">
        <v>10612</v>
      </c>
      <c r="E2423" s="1" t="s">
        <v>10613</v>
      </c>
      <c r="F2423" s="4" t="s">
        <v>17</v>
      </c>
      <c r="G2423" s="1" t="s">
        <v>18</v>
      </c>
      <c r="H2423" s="1" t="s">
        <v>19</v>
      </c>
      <c r="I2423" s="1" t="s">
        <v>20</v>
      </c>
      <c r="J2423" s="1" t="s">
        <v>10614</v>
      </c>
      <c r="K2423" s="1" t="s">
        <v>22</v>
      </c>
      <c r="L2423" s="1" t="str">
        <f>HYPERLINK("https://files.afu.se/Downloads/Transcripts/0%20-%20Government/USA%20-%20NASA%20Johnson/2013 03 07 - NASA Johnson - Astronaut Doug Wheelock Speaks with Students_c9qH3c-0vzU - transcript (automated).pdf","Transcript Link")</f>
        <v>Transcript Link</v>
      </c>
      <c r="M2423" s="2" t="str">
        <f>HYPERLINK("https://files.afu.se/Downloads/Transcripts/0%20-%20Government/USA%20-%20NASA%20Johnson/2013 03 07 - NASA Johnson - Astronaut Doug Wheelock Speaks with Students_c9qH3c-0vzU - transcript (automated).pdf","Transcript Link")</f>
        <v>Transcript Link</v>
      </c>
    </row>
    <row r="2424" ht="180" spans="1:13">
      <c r="A2424" s="1" t="s">
        <v>10606</v>
      </c>
      <c r="B2424" s="1" t="s">
        <v>13</v>
      </c>
      <c r="C2424" s="4" t="s">
        <v>10615</v>
      </c>
      <c r="D2424" s="1" t="s">
        <v>10616</v>
      </c>
      <c r="E2424" s="1" t="s">
        <v>10617</v>
      </c>
      <c r="F2424" s="4" t="s">
        <v>17</v>
      </c>
      <c r="G2424" s="1" t="s">
        <v>18</v>
      </c>
      <c r="H2424" s="1" t="s">
        <v>19</v>
      </c>
      <c r="I2424" s="1" t="s">
        <v>20</v>
      </c>
      <c r="J2424" s="1" t="s">
        <v>10618</v>
      </c>
      <c r="K2424" s="1" t="s">
        <v>22</v>
      </c>
      <c r="L2424" s="1" t="str">
        <f>HYPERLINK("https://files.afu.se/Downloads/Transcripts/0%20-%20Government/USA%20-%20NASA%20Johnson/2013 03 07 - NASA Johnson - Expedition 35 News Conference and Prelaunch Activities__lXuGTJO6C0 - transcript (automated).pdf","Transcript Link")</f>
        <v>Transcript Link</v>
      </c>
      <c r="M2424" s="2" t="str">
        <f>HYPERLINK("https://files.afu.se/Downloads/Transcripts/0%20-%20Government/USA%20-%20NASA%20Johnson/2013 03 07 - NASA Johnson - Expedition 35 News Conference and Prelaunch Activities__lXuGTJO6C0 - transcript (automated).pdf","Transcript Link")</f>
        <v>Transcript Link</v>
      </c>
    </row>
    <row r="2425" ht="180" spans="1:13">
      <c r="A2425" s="1" t="s">
        <v>10606</v>
      </c>
      <c r="B2425" s="1" t="s">
        <v>13</v>
      </c>
      <c r="C2425" s="4" t="s">
        <v>10619</v>
      </c>
      <c r="D2425" s="1" t="s">
        <v>10620</v>
      </c>
      <c r="E2425" s="1" t="s">
        <v>10621</v>
      </c>
      <c r="F2425" s="4" t="s">
        <v>17</v>
      </c>
      <c r="G2425" s="1" t="s">
        <v>18</v>
      </c>
      <c r="H2425" s="1" t="s">
        <v>19</v>
      </c>
      <c r="I2425" s="1" t="s">
        <v>20</v>
      </c>
      <c r="J2425" s="1" t="s">
        <v>10622</v>
      </c>
      <c r="K2425" s="1" t="s">
        <v>22</v>
      </c>
      <c r="L2425" s="1" t="str">
        <f>HYPERLINK("https://files.afu.se/Downloads/Transcripts/0%20-%20Government/USA%20-%20NASA%20Johnson/2013 03 07 - NASA Johnson - ISS Update - March 7, 2013_2jbgzU6n_r0 - transcript (automated).pdf","Transcript Link")</f>
        <v>Transcript Link</v>
      </c>
      <c r="M2425" s="2" t="str">
        <f>HYPERLINK("https://files.afu.se/Downloads/Transcripts/0%20-%20Government/USA%20-%20NASA%20Johnson/2013 03 07 - NASA Johnson - ISS Update - March 7, 2013_2jbgzU6n_r0 - transcript (automated).pdf","Transcript Link")</f>
        <v>Transcript Link</v>
      </c>
    </row>
    <row r="2426" ht="360" spans="1:13">
      <c r="A2426" s="1" t="s">
        <v>10623</v>
      </c>
      <c r="B2426" s="1" t="s">
        <v>13</v>
      </c>
      <c r="C2426" s="4" t="s">
        <v>10624</v>
      </c>
      <c r="D2426" s="1" t="s">
        <v>10625</v>
      </c>
      <c r="E2426" s="1" t="s">
        <v>10626</v>
      </c>
      <c r="F2426" s="4" t="s">
        <v>17</v>
      </c>
      <c r="G2426" s="1" t="s">
        <v>18</v>
      </c>
      <c r="H2426" s="1" t="s">
        <v>19</v>
      </c>
      <c r="I2426" s="1" t="s">
        <v>20</v>
      </c>
      <c r="J2426" s="1" t="s">
        <v>10627</v>
      </c>
      <c r="K2426" s="1" t="s">
        <v>22</v>
      </c>
      <c r="L2426" s="1" t="str">
        <f>HYPERLINK("https://files.afu.se/Downloads/Transcripts/0%20-%20Government/USA%20-%20NASA%20Johnson/2013 03 06 - NASA Johnson - ISS Update  Optical Communications_efgtXVjKzuw - transcript (automated).pdf","Transcript Link")</f>
        <v>Transcript Link</v>
      </c>
      <c r="M2426" s="2" t="str">
        <f>HYPERLINK("https://files.afu.se/Downloads/Transcripts/0%20-%20Government/USA%20-%20NASA%20Johnson/2013 03 06 - NASA Johnson - ISS Update  Optical Communications_efgtXVjKzuw - transcript (automated).pdf","Transcript Link")</f>
        <v>Transcript Link</v>
      </c>
    </row>
    <row r="2427" ht="285" spans="1:13">
      <c r="A2427" s="1" t="s">
        <v>10623</v>
      </c>
      <c r="B2427" s="1" t="s">
        <v>13</v>
      </c>
      <c r="C2427" s="4" t="s">
        <v>10628</v>
      </c>
      <c r="D2427" s="1" t="s">
        <v>10629</v>
      </c>
      <c r="E2427" s="1" t="s">
        <v>10630</v>
      </c>
      <c r="F2427" s="4" t="s">
        <v>17</v>
      </c>
      <c r="G2427" s="1" t="s">
        <v>18</v>
      </c>
      <c r="H2427" s="1" t="s">
        <v>19</v>
      </c>
      <c r="I2427" s="1" t="s">
        <v>20</v>
      </c>
      <c r="J2427" s="1" t="s">
        <v>10631</v>
      </c>
      <c r="K2427" s="1" t="s">
        <v>22</v>
      </c>
      <c r="L2427" s="1" t="str">
        <f>HYPERLINK("https://files.afu.se/Downloads/Transcripts/0%20-%20Government/USA%20-%20NASA%20Johnson/2013 03 06 - NASA Johnson - ISS Update  Expedition 34 Flight Director Describes Station Science Operations_9yJD1VjtJgc - transcript (automated).pdf","Transcript Link")</f>
        <v>Transcript Link</v>
      </c>
      <c r="M2427" s="2" t="str">
        <f>HYPERLINK("https://files.afu.se/Downloads/Transcripts/0%20-%20Government/USA%20-%20NASA%20Johnson/2013 03 06 - NASA Johnson - ISS Update  Expedition 34 Flight Director Describes Station Science Operations_9yJD1VjtJgc - transcript (automated).pdf","Transcript Link")</f>
        <v>Transcript Link</v>
      </c>
    </row>
    <row r="2428" ht="180" spans="1:13">
      <c r="A2428" s="1" t="s">
        <v>10623</v>
      </c>
      <c r="B2428" s="1" t="s">
        <v>13</v>
      </c>
      <c r="C2428" s="4" t="s">
        <v>10632</v>
      </c>
      <c r="D2428" s="1" t="s">
        <v>10633</v>
      </c>
      <c r="E2428" s="1" t="s">
        <v>10634</v>
      </c>
      <c r="F2428" s="4" t="s">
        <v>17</v>
      </c>
      <c r="G2428" s="1" t="s">
        <v>18</v>
      </c>
      <c r="H2428" s="1" t="s">
        <v>19</v>
      </c>
      <c r="I2428" s="1" t="s">
        <v>20</v>
      </c>
      <c r="J2428" s="1" t="s">
        <v>10635</v>
      </c>
      <c r="K2428" s="1" t="s">
        <v>22</v>
      </c>
      <c r="L2428" s="1" t="str">
        <f>HYPERLINK("https://files.afu.se/Downloads/Transcripts/0%20-%20Government/USA%20-%20NASA%20Johnson/2013 03 06 - NASA Johnson - ISS Update - March 6, 2013_wtG78LgX-NE - transcript (automated).pdf","Transcript Link")</f>
        <v>Transcript Link</v>
      </c>
      <c r="M2428" s="2" t="str">
        <f>HYPERLINK("https://files.afu.se/Downloads/Transcripts/0%20-%20Government/USA%20-%20NASA%20Johnson/2013 03 06 - NASA Johnson - ISS Update - March 6, 2013_wtG78LgX-NE - transcript (automated).pdf","Transcript Link")</f>
        <v>Transcript Link</v>
      </c>
    </row>
    <row r="2429" ht="180" spans="1:13">
      <c r="A2429" s="1" t="s">
        <v>10636</v>
      </c>
      <c r="B2429" s="1" t="s">
        <v>13</v>
      </c>
      <c r="C2429" s="4" t="s">
        <v>10637</v>
      </c>
      <c r="D2429" s="1" t="s">
        <v>10638</v>
      </c>
      <c r="E2429" s="1" t="s">
        <v>10639</v>
      </c>
      <c r="F2429" s="4" t="s">
        <v>17</v>
      </c>
      <c r="G2429" s="1" t="s">
        <v>18</v>
      </c>
      <c r="H2429" s="1" t="s">
        <v>19</v>
      </c>
      <c r="I2429" s="1" t="s">
        <v>20</v>
      </c>
      <c r="J2429" s="1" t="s">
        <v>10640</v>
      </c>
      <c r="K2429" s="1" t="s">
        <v>22</v>
      </c>
      <c r="L2429" s="1" t="str">
        <f>HYPERLINK("https://files.afu.se/Downloads/Transcripts/0%20-%20Government/USA%20-%20NASA%20Johnson/2013 03 05 - NASA Johnson - Expedition 35 36 Final Exams_CZMEMoxrjKY - transcript (automated).pdf","Transcript Link")</f>
        <v>Transcript Link</v>
      </c>
      <c r="M2429" s="2" t="str">
        <f>HYPERLINK("https://files.afu.se/Downloads/Transcripts/0%20-%20Government/USA%20-%20NASA%20Johnson/2013 03 05 - NASA Johnson - Expedition 35 36 Final Exams_CZMEMoxrjKY - transcript (automated).pdf","Transcript Link")</f>
        <v>Transcript Link</v>
      </c>
    </row>
    <row r="2430" ht="180" spans="1:13">
      <c r="A2430" s="1" t="s">
        <v>10636</v>
      </c>
      <c r="B2430" s="1" t="s">
        <v>13</v>
      </c>
      <c r="C2430" s="4" t="s">
        <v>10641</v>
      </c>
      <c r="D2430" s="1" t="s">
        <v>10642</v>
      </c>
      <c r="E2430" s="1" t="s">
        <v>10643</v>
      </c>
      <c r="F2430" s="4" t="s">
        <v>17</v>
      </c>
      <c r="G2430" s="1" t="s">
        <v>18</v>
      </c>
      <c r="H2430" s="1" t="s">
        <v>19</v>
      </c>
      <c r="I2430" s="1" t="s">
        <v>20</v>
      </c>
      <c r="J2430" s="1" t="s">
        <v>10644</v>
      </c>
      <c r="K2430" s="1" t="s">
        <v>22</v>
      </c>
      <c r="L2430" s="1" t="str">
        <f>HYPERLINK("https://files.afu.se/Downloads/Transcripts/0%20-%20Government/USA%20-%20NASA%20Johnson/2013 03 05 - NASA Johnson - ISS Update - March 5, 2013_rxE_EkaGbDg - transcript (automated).pdf","Transcript Link")</f>
        <v>Transcript Link</v>
      </c>
      <c r="M2430" s="2" t="str">
        <f>HYPERLINK("https://files.afu.se/Downloads/Transcripts/0%20-%20Government/USA%20-%20NASA%20Johnson/2013 03 05 - NASA Johnson - ISS Update - March 5, 2013_rxE_EkaGbDg - transcript (automated).pdf","Transcript Link")</f>
        <v>Transcript Link</v>
      </c>
    </row>
    <row r="2431" ht="180" spans="1:13">
      <c r="A2431" s="1" t="s">
        <v>10645</v>
      </c>
      <c r="B2431" s="1" t="s">
        <v>13</v>
      </c>
      <c r="C2431" s="4" t="s">
        <v>10646</v>
      </c>
      <c r="D2431" s="1" t="s">
        <v>10647</v>
      </c>
      <c r="E2431" s="1" t="s">
        <v>10648</v>
      </c>
      <c r="F2431" s="4" t="s">
        <v>17</v>
      </c>
      <c r="G2431" s="1" t="s">
        <v>18</v>
      </c>
      <c r="H2431" s="1" t="s">
        <v>19</v>
      </c>
      <c r="I2431" s="1" t="s">
        <v>20</v>
      </c>
      <c r="J2431" s="1" t="s">
        <v>10649</v>
      </c>
      <c r="K2431" s="1" t="s">
        <v>22</v>
      </c>
      <c r="L2431" s="1" t="str">
        <f>HYPERLINK("https://files.afu.se/Downloads/Transcripts/0%20-%20Government/USA%20-%20NASA%20Johnson/2013 03 04 - NASA Johnson - ISS Update - March 4, 2013_0bOC00wkBmY - transcript (automated).pdf","Transcript Link")</f>
        <v>Transcript Link</v>
      </c>
      <c r="M2431" s="2" t="str">
        <f>HYPERLINK("https://files.afu.se/Downloads/Transcripts/0%20-%20Government/USA%20-%20NASA%20Johnson/2013 03 04 - NASA Johnson - ISS Update - March 4, 2013_0bOC00wkBmY - transcript (automated).pdf","Transcript Link")</f>
        <v>Transcript Link</v>
      </c>
    </row>
    <row r="2432" ht="180" spans="1:13">
      <c r="A2432" s="1" t="s">
        <v>10645</v>
      </c>
      <c r="B2432" s="1" t="s">
        <v>13</v>
      </c>
      <c r="C2432" s="4" t="s">
        <v>10650</v>
      </c>
      <c r="D2432" s="1" t="s">
        <v>10651</v>
      </c>
      <c r="E2432" s="1" t="s">
        <v>10652</v>
      </c>
      <c r="F2432" s="4" t="s">
        <v>17</v>
      </c>
      <c r="G2432" s="1" t="s">
        <v>18</v>
      </c>
      <c r="H2432" s="1" t="s">
        <v>19</v>
      </c>
      <c r="I2432" s="1" t="s">
        <v>20</v>
      </c>
      <c r="J2432" s="1" t="s">
        <v>10653</v>
      </c>
      <c r="K2432" s="1" t="s">
        <v>22</v>
      </c>
      <c r="L2432" s="1" t="str">
        <f>HYPERLINK("https://files.afu.se/Downloads/Transcripts/0%20-%20Government/USA%20-%20NASA%20Johnson/2013 03 04 - NASA Johnson - Dragon Grapple and Berthing to Station_Im2hEma_a1E - transcript (automated).pdf","Transcript Link")</f>
        <v>Transcript Link</v>
      </c>
      <c r="M2432" s="2" t="str">
        <f>HYPERLINK("https://files.afu.se/Downloads/Transcripts/0%20-%20Government/USA%20-%20NASA%20Johnson/2013 03 04 - NASA Johnson - Dragon Grapple and Berthing to Station_Im2hEma_a1E - transcript (automated).pdf","Transcript Link")</f>
        <v>Transcript Link</v>
      </c>
    </row>
    <row r="2433" ht="180" spans="1:13">
      <c r="A2433" s="1" t="s">
        <v>10654</v>
      </c>
      <c r="B2433" s="1" t="s">
        <v>13</v>
      </c>
      <c r="C2433" s="4" t="s">
        <v>10655</v>
      </c>
      <c r="D2433" s="1" t="s">
        <v>10656</v>
      </c>
      <c r="E2433" s="1" t="s">
        <v>10657</v>
      </c>
      <c r="F2433" s="4" t="s">
        <v>17</v>
      </c>
      <c r="G2433" s="1" t="s">
        <v>18</v>
      </c>
      <c r="H2433" s="1" t="s">
        <v>19</v>
      </c>
      <c r="I2433" s="1" t="s">
        <v>20</v>
      </c>
      <c r="J2433" s="1" t="s">
        <v>10658</v>
      </c>
      <c r="K2433" s="1" t="s">
        <v>22</v>
      </c>
      <c r="L2433" s="1" t="str">
        <f>HYPERLINK("https://files.afu.se/Downloads/Transcripts/0%20-%20Government/USA%20-%20NASA%20Johnson/2013 03 01 - NASA Johnson - ISS Update  Weekly Recap for March 1, 2013_mscH1UEXsdg - transcript (automated).pdf","Transcript Link")</f>
        <v>Transcript Link</v>
      </c>
      <c r="M2433" s="2" t="str">
        <f>HYPERLINK("https://files.afu.se/Downloads/Transcripts/0%20-%20Government/USA%20-%20NASA%20Johnson/2013 03 01 - NASA Johnson - ISS Update  Weekly Recap for March 1, 2013_mscH1UEXsdg - transcript (automated).pdf","Transcript Link")</f>
        <v>Transcript Link</v>
      </c>
    </row>
    <row r="2434" ht="180" spans="1:13">
      <c r="A2434" s="1" t="s">
        <v>10654</v>
      </c>
      <c r="B2434" s="1" t="s">
        <v>13</v>
      </c>
      <c r="C2434" s="4" t="s">
        <v>10659</v>
      </c>
      <c r="D2434" s="1" t="s">
        <v>10660</v>
      </c>
      <c r="E2434" s="1" t="s">
        <v>10661</v>
      </c>
      <c r="F2434" s="4" t="s">
        <v>17</v>
      </c>
      <c r="G2434" s="1" t="s">
        <v>18</v>
      </c>
      <c r="H2434" s="1" t="s">
        <v>19</v>
      </c>
      <c r="I2434" s="1" t="s">
        <v>20</v>
      </c>
      <c r="J2434" s="1" t="s">
        <v>10662</v>
      </c>
      <c r="K2434" s="1" t="s">
        <v>22</v>
      </c>
      <c r="L2434" s="1" t="str">
        <f>HYPERLINK("https://files.afu.se/Downloads/Transcripts/0%20-%20Government/USA%20-%20NASA%20Johnson/2013 03 01 - NASA Johnson - SpaceX Dragon Launches_FIfrN698g0Y - transcript (automated).pdf","Transcript Link")</f>
        <v>Transcript Link</v>
      </c>
      <c r="M2434" s="2" t="str">
        <f>HYPERLINK("https://files.afu.se/Downloads/Transcripts/0%20-%20Government/USA%20-%20NASA%20Johnson/2013 03 01 - NASA Johnson - SpaceX Dragon Launches_FIfrN698g0Y - transcript (automated).pdf","Transcript Link")</f>
        <v>Transcript Link</v>
      </c>
    </row>
    <row r="2435" ht="180" spans="1:13">
      <c r="A2435" s="1" t="s">
        <v>10663</v>
      </c>
      <c r="B2435" s="1" t="s">
        <v>13</v>
      </c>
      <c r="C2435" s="4" t="s">
        <v>10664</v>
      </c>
      <c r="D2435" s="1" t="s">
        <v>10665</v>
      </c>
      <c r="E2435" s="1" t="s">
        <v>10666</v>
      </c>
      <c r="F2435" s="4" t="s">
        <v>17</v>
      </c>
      <c r="G2435" s="1" t="s">
        <v>18</v>
      </c>
      <c r="H2435" s="1" t="s">
        <v>19</v>
      </c>
      <c r="I2435" s="1" t="s">
        <v>20</v>
      </c>
      <c r="J2435" s="1" t="s">
        <v>10667</v>
      </c>
      <c r="K2435" s="1" t="s">
        <v>22</v>
      </c>
      <c r="L2435" s="1" t="str">
        <f>HYPERLINK("https://files.afu.se/Downloads/Transcripts/0%20-%20Government/USA%20-%20NASA%20Johnson/2013 02 28 - NASA Johnson - ISS Update - Feb. 28, 2013_flDAxWxK984 - transcript (automated).pdf","Transcript Link")</f>
        <v>Transcript Link</v>
      </c>
      <c r="M2435" s="2" t="str">
        <f>HYPERLINK("https://files.afu.se/Downloads/Transcripts/0%20-%20Government/USA%20-%20NASA%20Johnson/2013 02 28 - NASA Johnson - ISS Update - Feb. 28, 2013_flDAxWxK984 - transcript (automated).pdf","Transcript Link")</f>
        <v>Transcript Link</v>
      </c>
    </row>
    <row r="2436" ht="180" spans="1:13">
      <c r="A2436" s="1" t="s">
        <v>10663</v>
      </c>
      <c r="B2436" s="1" t="s">
        <v>13</v>
      </c>
      <c r="C2436" s="4" t="s">
        <v>10668</v>
      </c>
      <c r="D2436" s="1" t="s">
        <v>10669</v>
      </c>
      <c r="E2436" s="1" t="s">
        <v>10670</v>
      </c>
      <c r="F2436" s="4" t="s">
        <v>17</v>
      </c>
      <c r="G2436" s="1" t="s">
        <v>18</v>
      </c>
      <c r="H2436" s="1" t="s">
        <v>19</v>
      </c>
      <c r="I2436" s="1" t="s">
        <v>20</v>
      </c>
      <c r="J2436" s="1" t="s">
        <v>10671</v>
      </c>
      <c r="K2436" s="1" t="s">
        <v>22</v>
      </c>
      <c r="L2436" s="1" t="str">
        <f>HYPERLINK("https://files.afu.se/Downloads/Transcripts/0%20-%20Government/USA%20-%20NASA%20Johnson/2013 02 28 - NASA Johnson - Astronaut Connects With Phoenix Students_gPxEyWFIoj4 - transcript (automated).pdf","Transcript Link")</f>
        <v>Transcript Link</v>
      </c>
      <c r="M2436" s="2" t="str">
        <f>HYPERLINK("https://files.afu.se/Downloads/Transcripts/0%20-%20Government/USA%20-%20NASA%20Johnson/2013 02 28 - NASA Johnson - Astronaut Connects With Phoenix Students_gPxEyWFIoj4 - transcript (automated).pdf","Transcript Link")</f>
        <v>Transcript Link</v>
      </c>
    </row>
    <row r="2437" ht="180" spans="1:13">
      <c r="A2437" s="1" t="s">
        <v>10672</v>
      </c>
      <c r="B2437" s="1" t="s">
        <v>13</v>
      </c>
      <c r="C2437" s="4" t="s">
        <v>10673</v>
      </c>
      <c r="D2437" s="1" t="s">
        <v>10674</v>
      </c>
      <c r="E2437" s="1" t="s">
        <v>10675</v>
      </c>
      <c r="F2437" s="4" t="s">
        <v>17</v>
      </c>
      <c r="G2437" s="1" t="s">
        <v>18</v>
      </c>
      <c r="H2437" s="1" t="s">
        <v>19</v>
      </c>
      <c r="I2437" s="1" t="s">
        <v>20</v>
      </c>
      <c r="J2437" s="1" t="s">
        <v>10676</v>
      </c>
      <c r="K2437" s="1" t="s">
        <v>22</v>
      </c>
      <c r="L2437" s="1" t="str">
        <f>HYPERLINK("https://files.afu.se/Downloads/Transcripts/0%20-%20Government/USA%20-%20NASA%20Johnson/2013 02 27 - NASA Johnson - Preparing America for Deep Space Exploration  Episode 1_oES7QpePqMo - transcript (automated).pdf","Transcript Link")</f>
        <v>Transcript Link</v>
      </c>
      <c r="M2437" s="2" t="str">
        <f>HYPERLINK("https://files.afu.se/Downloads/Transcripts/0%20-%20Government/USA%20-%20NASA%20Johnson/2013 02 27 - NASA Johnson - Preparing America for Deep Space Exploration  Episode 1_oES7QpePqMo - transcript (automated).pdf","Transcript Link")</f>
        <v>Transcript Link</v>
      </c>
    </row>
    <row r="2438" ht="180" spans="1:13">
      <c r="A2438" s="1" t="s">
        <v>10672</v>
      </c>
      <c r="B2438" s="1" t="s">
        <v>13</v>
      </c>
      <c r="C2438" s="4" t="s">
        <v>10677</v>
      </c>
      <c r="D2438" s="1" t="s">
        <v>10678</v>
      </c>
      <c r="E2438" s="1" t="s">
        <v>10679</v>
      </c>
      <c r="F2438" s="4" t="s">
        <v>17</v>
      </c>
      <c r="G2438" s="1" t="s">
        <v>18</v>
      </c>
      <c r="H2438" s="1" t="s">
        <v>19</v>
      </c>
      <c r="I2438" s="1" t="s">
        <v>20</v>
      </c>
      <c r="J2438" s="1" t="s">
        <v>10680</v>
      </c>
      <c r="K2438" s="1" t="s">
        <v>22</v>
      </c>
      <c r="L2438" s="1" t="str">
        <f>HYPERLINK("https://files.afu.se/Downloads/Transcripts/0%20-%20Government/USA%20-%20NASA%20Johnson/2013 02 27 - NASA Johnson - ISS Update  Improving Crews' Efficiency With CRUISE_Y1bDwYWpLPI - transcript (automated).pdf","Transcript Link")</f>
        <v>Transcript Link</v>
      </c>
      <c r="M2438" s="2" t="str">
        <f>HYPERLINK("https://files.afu.se/Downloads/Transcripts/0%20-%20Government/USA%20-%20NASA%20Johnson/2013 02 27 - NASA Johnson - ISS Update  Improving Crews' Efficiency With CRUISE_Y1bDwYWpLPI - transcript (automated).pdf","Transcript Link")</f>
        <v>Transcript Link</v>
      </c>
    </row>
    <row r="2439" ht="180" spans="1:13">
      <c r="A2439" s="1" t="s">
        <v>10672</v>
      </c>
      <c r="B2439" s="1" t="s">
        <v>13</v>
      </c>
      <c r="C2439" s="4" t="s">
        <v>10681</v>
      </c>
      <c r="D2439" s="1" t="s">
        <v>10682</v>
      </c>
      <c r="E2439" s="1" t="s">
        <v>10683</v>
      </c>
      <c r="F2439" s="4" t="s">
        <v>17</v>
      </c>
      <c r="G2439" s="1" t="s">
        <v>18</v>
      </c>
      <c r="H2439" s="1" t="s">
        <v>19</v>
      </c>
      <c r="I2439" s="1" t="s">
        <v>20</v>
      </c>
      <c r="J2439" s="1" t="s">
        <v>10684</v>
      </c>
      <c r="K2439" s="1" t="s">
        <v>22</v>
      </c>
      <c r="L2439" s="1" t="str">
        <f>HYPERLINK("https://files.afu.se/Downloads/Transcripts/0%20-%20Government/USA%20-%20NASA%20Johnson/2013 02 27 - NASA Johnson - ISS Update - Feb. 27, 2013_ZVErKaF6J30 - transcript (automated).pdf","Transcript Link")</f>
        <v>Transcript Link</v>
      </c>
      <c r="M2439" s="2" t="str">
        <f>HYPERLINK("https://files.afu.se/Downloads/Transcripts/0%20-%20Government/USA%20-%20NASA%20Johnson/2013 02 27 - NASA Johnson - ISS Update - Feb. 27, 2013_ZVErKaF6J30 - transcript (automated).pdf","Transcript Link")</f>
        <v>Transcript Link</v>
      </c>
    </row>
    <row r="2440" ht="390" spans="1:13">
      <c r="A2440" s="1" t="s">
        <v>10685</v>
      </c>
      <c r="B2440" s="1" t="s">
        <v>13</v>
      </c>
      <c r="C2440" s="4" t="s">
        <v>10686</v>
      </c>
      <c r="D2440" s="1" t="s">
        <v>10687</v>
      </c>
      <c r="E2440" s="1" t="s">
        <v>10688</v>
      </c>
      <c r="F2440" s="4" t="s">
        <v>17</v>
      </c>
      <c r="G2440" s="1" t="s">
        <v>18</v>
      </c>
      <c r="H2440" s="1" t="s">
        <v>19</v>
      </c>
      <c r="I2440" s="1" t="s">
        <v>20</v>
      </c>
      <c r="J2440" s="1" t="s">
        <v>10689</v>
      </c>
      <c r="K2440" s="1" t="s">
        <v>22</v>
      </c>
      <c r="L2440" s="1" t="str">
        <f>HYPERLINK("https://files.afu.se/Downloads/Transcripts/0%20-%20Government/USA%20-%20NASA%20Johnson/2013 02 26 - NASA Johnson - ISS Update  SPHERES-VERTIGO_nNnDR_sQdsA - transcript (automated).pdf","Transcript Link")</f>
        <v>Transcript Link</v>
      </c>
      <c r="M2440" s="2" t="str">
        <f>HYPERLINK("https://files.afu.se/Downloads/Transcripts/0%20-%20Government/USA%20-%20NASA%20Johnson/2013 02 26 - NASA Johnson - ISS Update  SPHERES-VERTIGO_nNnDR_sQdsA - transcript (automated).pdf","Transcript Link")</f>
        <v>Transcript Link</v>
      </c>
    </row>
    <row r="2441" ht="180" spans="1:13">
      <c r="A2441" s="1" t="s">
        <v>10685</v>
      </c>
      <c r="B2441" s="1" t="s">
        <v>13</v>
      </c>
      <c r="C2441" s="4" t="s">
        <v>10690</v>
      </c>
      <c r="D2441" s="1" t="s">
        <v>10691</v>
      </c>
      <c r="E2441" s="1" t="s">
        <v>10692</v>
      </c>
      <c r="F2441" s="4" t="s">
        <v>17</v>
      </c>
      <c r="G2441" s="1" t="s">
        <v>18</v>
      </c>
      <c r="H2441" s="1" t="s">
        <v>19</v>
      </c>
      <c r="I2441" s="1" t="s">
        <v>20</v>
      </c>
      <c r="J2441" s="1" t="s">
        <v>10693</v>
      </c>
      <c r="K2441" s="1" t="s">
        <v>22</v>
      </c>
      <c r="L2441" s="1" t="str">
        <f>HYPERLINK("https://files.afu.se/Downloads/Transcripts/0%20-%20Government/USA%20-%20NASA%20Johnson/2013 02 26 - NASA Johnson - ISS Update - Feb. 26, 2013_qsDHbxhufO8 - transcript (automated).pdf","Transcript Link")</f>
        <v>Transcript Link</v>
      </c>
      <c r="M2441" s="2" t="str">
        <f>HYPERLINK("https://files.afu.se/Downloads/Transcripts/0%20-%20Government/USA%20-%20NASA%20Johnson/2013 02 26 - NASA Johnson - ISS Update - Feb. 26, 2013_qsDHbxhufO8 - transcript (automated).pdf","Transcript Link")</f>
        <v>Transcript Link</v>
      </c>
    </row>
    <row r="2442" ht="180" spans="1:13">
      <c r="A2442" s="1" t="s">
        <v>10694</v>
      </c>
      <c r="B2442" s="1" t="s">
        <v>13</v>
      </c>
      <c r="C2442" s="4" t="s">
        <v>10695</v>
      </c>
      <c r="D2442" s="1" t="s">
        <v>10696</v>
      </c>
      <c r="E2442" s="1" t="s">
        <v>10697</v>
      </c>
      <c r="F2442" s="4" t="s">
        <v>17</v>
      </c>
      <c r="G2442" s="1" t="s">
        <v>18</v>
      </c>
      <c r="H2442" s="1" t="s">
        <v>19</v>
      </c>
      <c r="I2442" s="1" t="s">
        <v>20</v>
      </c>
      <c r="J2442" s="1" t="s">
        <v>10698</v>
      </c>
      <c r="K2442" s="1" t="s">
        <v>22</v>
      </c>
      <c r="L2442" s="1" t="str">
        <f>HYPERLINK("https://files.afu.se/Downloads/Transcripts/0%20-%20Government/USA%20-%20NASA%20Johnson/2013 02 25 - NASA Johnson - Tom Marshburn Talks Life Onboard Station_ZdMRoMi8F0I - transcript (automated).pdf","Transcript Link")</f>
        <v>Transcript Link</v>
      </c>
      <c r="M2442" s="2" t="str">
        <f>HYPERLINK("https://files.afu.se/Downloads/Transcripts/0%20-%20Government/USA%20-%20NASA%20Johnson/2013 02 25 - NASA Johnson - Tom Marshburn Talks Life Onboard Station_ZdMRoMi8F0I - transcript (automated).pdf","Transcript Link")</f>
        <v>Transcript Link</v>
      </c>
    </row>
    <row r="2443" ht="180" spans="1:13">
      <c r="A2443" s="1" t="s">
        <v>10694</v>
      </c>
      <c r="B2443" s="1" t="s">
        <v>13</v>
      </c>
      <c r="C2443" s="4" t="s">
        <v>10699</v>
      </c>
      <c r="D2443" s="1" t="s">
        <v>10700</v>
      </c>
      <c r="E2443" s="1" t="s">
        <v>10666</v>
      </c>
      <c r="F2443" s="4" t="s">
        <v>17</v>
      </c>
      <c r="G2443" s="1" t="s">
        <v>18</v>
      </c>
      <c r="H2443" s="1" t="s">
        <v>19</v>
      </c>
      <c r="I2443" s="1" t="s">
        <v>20</v>
      </c>
      <c r="J2443" s="1" t="s">
        <v>10701</v>
      </c>
      <c r="K2443" s="1" t="s">
        <v>22</v>
      </c>
      <c r="L2443" s="1" t="str">
        <f>HYPERLINK("https://files.afu.se/Downloads/Transcripts/0%20-%20Government/USA%20-%20NASA%20Johnson/2013 02 25 - NASA Johnson - ISS Update - Feb. 25, 2013_sQ0IsRY1XPY - transcript (automated).pdf","Transcript Link")</f>
        <v>Transcript Link</v>
      </c>
      <c r="M2443" s="2" t="str">
        <f>HYPERLINK("https://files.afu.se/Downloads/Transcripts/0%20-%20Government/USA%20-%20NASA%20Johnson/2013 02 25 - NASA Johnson - ISS Update - Feb. 25, 2013_sQ0IsRY1XPY - transcript (automated).pdf","Transcript Link")</f>
        <v>Transcript Link</v>
      </c>
    </row>
    <row r="2444" ht="180" spans="1:13">
      <c r="A2444" s="1" t="s">
        <v>10702</v>
      </c>
      <c r="B2444" s="1" t="s">
        <v>13</v>
      </c>
      <c r="C2444" s="4" t="s">
        <v>10703</v>
      </c>
      <c r="D2444" s="1" t="s">
        <v>10704</v>
      </c>
      <c r="E2444" s="1" t="s">
        <v>10705</v>
      </c>
      <c r="F2444" s="4" t="s">
        <v>17</v>
      </c>
      <c r="G2444" s="1" t="s">
        <v>18</v>
      </c>
      <c r="H2444" s="1" t="s">
        <v>19</v>
      </c>
      <c r="I2444" s="1" t="s">
        <v>20</v>
      </c>
      <c r="J2444" s="1" t="s">
        <v>10706</v>
      </c>
      <c r="K2444" s="1" t="s">
        <v>22</v>
      </c>
      <c r="L2444" s="1" t="str">
        <f>HYPERLINK("https://files.afu.se/Downloads/Transcripts/0%20-%20Government/USA%20-%20NASA%20Johnson/2013 02 22 - NASA Johnson - ISS Update  Weekly Recap for Feb. 22, 2013_eP36uID1_FY - transcript (automated).pdf","Transcript Link")</f>
        <v>Transcript Link</v>
      </c>
      <c r="M2444" s="2" t="str">
        <f>HYPERLINK("https://files.afu.se/Downloads/Transcripts/0%20-%20Government/USA%20-%20NASA%20Johnson/2013 02 22 - NASA Johnson - ISS Update  Weekly Recap for Feb. 22, 2013_eP36uID1_FY - transcript (automated).pdf","Transcript Link")</f>
        <v>Transcript Link</v>
      </c>
    </row>
    <row r="2445" ht="180" spans="1:13">
      <c r="A2445" s="1" t="s">
        <v>10707</v>
      </c>
      <c r="B2445" s="1" t="s">
        <v>13</v>
      </c>
      <c r="C2445" s="4" t="s">
        <v>10708</v>
      </c>
      <c r="D2445" s="1" t="s">
        <v>10709</v>
      </c>
      <c r="E2445" s="1" t="s">
        <v>10710</v>
      </c>
      <c r="F2445" s="4" t="s">
        <v>17</v>
      </c>
      <c r="G2445" s="1" t="s">
        <v>18</v>
      </c>
      <c r="H2445" s="1" t="s">
        <v>19</v>
      </c>
      <c r="I2445" s="1" t="s">
        <v>20</v>
      </c>
      <c r="J2445" s="1" t="s">
        <v>10711</v>
      </c>
      <c r="K2445" s="1" t="s">
        <v>22</v>
      </c>
      <c r="L2445" s="1" t="str">
        <f>HYPERLINK("https://files.afu.se/Downloads/Transcripts/0%20-%20Government/USA%20-%20NASA%20Johnson/2013 02 21 - NASA Johnson - Students Learn About SpaceX-2_fmo_K4Ztq6M - transcript (automated).pdf","Transcript Link")</f>
        <v>Transcript Link</v>
      </c>
      <c r="M2445" s="2" t="str">
        <f>HYPERLINK("https://files.afu.se/Downloads/Transcripts/0%20-%20Government/USA%20-%20NASA%20Johnson/2013 02 21 - NASA Johnson - Students Learn About SpaceX-2_fmo_K4Ztq6M - transcript (automated).pdf","Transcript Link")</f>
        <v>Transcript Link</v>
      </c>
    </row>
    <row r="2446" ht="180" spans="1:13">
      <c r="A2446" s="1" t="s">
        <v>10707</v>
      </c>
      <c r="B2446" s="1" t="s">
        <v>13</v>
      </c>
      <c r="C2446" s="4" t="s">
        <v>10712</v>
      </c>
      <c r="D2446" s="1" t="s">
        <v>10713</v>
      </c>
      <c r="E2446" s="1" t="s">
        <v>10714</v>
      </c>
      <c r="F2446" s="4" t="s">
        <v>17</v>
      </c>
      <c r="G2446" s="1" t="s">
        <v>18</v>
      </c>
      <c r="H2446" s="1" t="s">
        <v>19</v>
      </c>
      <c r="I2446" s="1" t="s">
        <v>20</v>
      </c>
      <c r="J2446" s="1" t="s">
        <v>10715</v>
      </c>
      <c r="K2446" s="1" t="s">
        <v>22</v>
      </c>
      <c r="L2446" s="1" t="str">
        <f>HYPERLINK("https://files.afu.se/Downloads/Transcripts/0%20-%20Government/USA%20-%20NASA%20Johnson/2013 02 21 - NASA Johnson - ISS Update  SpaceX 2 Lead Visiting Vehicle Officer Dorrie Tomayko_Vaa3Qm9PBj8 - transcript (automated).pdf","Transcript Link")</f>
        <v>Transcript Link</v>
      </c>
      <c r="M2446" s="2" t="str">
        <f>HYPERLINK("https://files.afu.se/Downloads/Transcripts/0%20-%20Government/USA%20-%20NASA%20Johnson/2013 02 21 - NASA Johnson - ISS Update  SpaceX 2 Lead Visiting Vehicle Officer Dorrie Tomayko_Vaa3Qm9PBj8 - transcript (automated).pdf","Transcript Link")</f>
        <v>Transcript Link</v>
      </c>
    </row>
    <row r="2447" ht="180" spans="1:13">
      <c r="A2447" s="1" t="s">
        <v>10707</v>
      </c>
      <c r="B2447" s="1" t="s">
        <v>13</v>
      </c>
      <c r="C2447" s="4" t="s">
        <v>10716</v>
      </c>
      <c r="D2447" s="1" t="s">
        <v>10717</v>
      </c>
      <c r="E2447" s="1" t="s">
        <v>10718</v>
      </c>
      <c r="F2447" s="4" t="s">
        <v>17</v>
      </c>
      <c r="G2447" s="1" t="s">
        <v>18</v>
      </c>
      <c r="H2447" s="1" t="s">
        <v>19</v>
      </c>
      <c r="I2447" s="1" t="s">
        <v>20</v>
      </c>
      <c r="J2447" s="1" t="s">
        <v>10719</v>
      </c>
      <c r="K2447" s="1" t="s">
        <v>22</v>
      </c>
      <c r="L2447" s="1" t="str">
        <f>HYPERLINK("https://files.afu.se/Downloads/Transcripts/0%20-%20Government/USA%20-%20NASA%20Johnson/2013 02 21 - NASA Johnson - Peter Gabriel Talks With Space Station Crew_I8xCyURa7K0 - transcript (automated).pdf","Transcript Link")</f>
        <v>Transcript Link</v>
      </c>
      <c r="M2447" s="2" t="str">
        <f>HYPERLINK("https://files.afu.se/Downloads/Transcripts/0%20-%20Government/USA%20-%20NASA%20Johnson/2013 02 21 - NASA Johnson - Peter Gabriel Talks With Space Station Crew_I8xCyURa7K0 - transcript (automated).pdf","Transcript Link")</f>
        <v>Transcript Link</v>
      </c>
    </row>
    <row r="2448" ht="180" spans="1:13">
      <c r="A2448" s="1" t="s">
        <v>10707</v>
      </c>
      <c r="B2448" s="1" t="s">
        <v>13</v>
      </c>
      <c r="C2448" s="4" t="s">
        <v>10720</v>
      </c>
      <c r="D2448" s="1" t="s">
        <v>10721</v>
      </c>
      <c r="E2448" s="1" t="s">
        <v>10722</v>
      </c>
      <c r="F2448" s="4" t="s">
        <v>17</v>
      </c>
      <c r="G2448" s="1" t="s">
        <v>18</v>
      </c>
      <c r="H2448" s="1" t="s">
        <v>19</v>
      </c>
      <c r="I2448" s="1" t="s">
        <v>20</v>
      </c>
      <c r="J2448" s="1" t="s">
        <v>10723</v>
      </c>
      <c r="K2448" s="1" t="s">
        <v>22</v>
      </c>
      <c r="L2448" s="1" t="str">
        <f>HYPERLINK("https://files.afu.se/Downloads/Transcripts/0%20-%20Government/USA%20-%20NASA%20Johnson/2013 02 21 - NASA Johnson - ISS Update - Feb. 21, 2013_rkP9n_Me3eY - transcript (automated).pdf","Transcript Link")</f>
        <v>Transcript Link</v>
      </c>
      <c r="M2448" s="2" t="str">
        <f>HYPERLINK("https://files.afu.se/Downloads/Transcripts/0%20-%20Government/USA%20-%20NASA%20Johnson/2013 02 21 - NASA Johnson - ISS Update - Feb. 21, 2013_rkP9n_Me3eY - transcript (automated).pdf","Transcript Link")</f>
        <v>Transcript Link</v>
      </c>
    </row>
    <row r="2449" ht="409.5" spans="1:13">
      <c r="A2449" s="1" t="s">
        <v>10724</v>
      </c>
      <c r="B2449" s="1" t="s">
        <v>13</v>
      </c>
      <c r="C2449" s="4" t="s">
        <v>10725</v>
      </c>
      <c r="D2449" s="1" t="s">
        <v>10726</v>
      </c>
      <c r="E2449" s="1" t="s">
        <v>10727</v>
      </c>
      <c r="F2449" s="4" t="s">
        <v>17</v>
      </c>
      <c r="G2449" s="1" t="s">
        <v>18</v>
      </c>
      <c r="H2449" s="1" t="s">
        <v>19</v>
      </c>
      <c r="I2449" s="1" t="s">
        <v>20</v>
      </c>
      <c r="J2449" s="1" t="s">
        <v>10728</v>
      </c>
      <c r="K2449" s="1" t="s">
        <v>22</v>
      </c>
      <c r="L2449" s="1" t="str">
        <f>HYPERLINK("https://files.afu.se/Downloads/Transcripts/0%20-%20Government/USA%20-%20NASA%20Johnson/2013 02 20 - NASA Johnson - ISS Update  Meteorite and Asteroid Flyby_hxSXcIAFymA - transcript (automated).pdf","Transcript Link")</f>
        <v>Transcript Link</v>
      </c>
      <c r="M2449" s="2" t="str">
        <f>HYPERLINK("https://files.afu.se/Downloads/Transcripts/0%20-%20Government/USA%20-%20NASA%20Johnson/2013 02 20 - NASA Johnson - ISS Update  Meteorite and Asteroid Flyby_hxSXcIAFymA - transcript (automated).pdf","Transcript Link")</f>
        <v>Transcript Link</v>
      </c>
    </row>
    <row r="2450" ht="180" spans="1:13">
      <c r="A2450" s="1" t="s">
        <v>10724</v>
      </c>
      <c r="B2450" s="1" t="s">
        <v>13</v>
      </c>
      <c r="C2450" s="4" t="s">
        <v>10729</v>
      </c>
      <c r="D2450" s="1" t="s">
        <v>10730</v>
      </c>
      <c r="E2450" s="1" t="s">
        <v>10731</v>
      </c>
      <c r="F2450" s="4" t="s">
        <v>17</v>
      </c>
      <c r="G2450" s="1" t="s">
        <v>18</v>
      </c>
      <c r="H2450" s="1" t="s">
        <v>19</v>
      </c>
      <c r="I2450" s="1" t="s">
        <v>20</v>
      </c>
      <c r="J2450" s="1" t="s">
        <v>10732</v>
      </c>
      <c r="K2450" s="1" t="s">
        <v>22</v>
      </c>
      <c r="L2450" s="1" t="str">
        <f>HYPERLINK("https://files.afu.se/Downloads/Transcripts/0%20-%20Government/USA%20-%20NASA%20Johnson/2013 02 20 - NASA Johnson - ISS Update - Feb. 20, 2013_92uMIgfcs5Q - transcript (automated).pdf","Transcript Link")</f>
        <v>Transcript Link</v>
      </c>
      <c r="M2450" s="2" t="str">
        <f>HYPERLINK("https://files.afu.se/Downloads/Transcripts/0%20-%20Government/USA%20-%20NASA%20Johnson/2013 02 20 - NASA Johnson - ISS Update - Feb. 20, 2013_92uMIgfcs5Q - transcript (automated).pdf","Transcript Link")</f>
        <v>Transcript Link</v>
      </c>
    </row>
    <row r="2451" ht="180" spans="1:13">
      <c r="A2451" s="1" t="s">
        <v>10733</v>
      </c>
      <c r="B2451" s="1" t="s">
        <v>13</v>
      </c>
      <c r="C2451" s="4" t="s">
        <v>10734</v>
      </c>
      <c r="D2451" s="1" t="s">
        <v>10735</v>
      </c>
      <c r="E2451" s="1" t="s">
        <v>10736</v>
      </c>
      <c r="F2451" s="4" t="s">
        <v>17</v>
      </c>
      <c r="G2451" s="1" t="s">
        <v>18</v>
      </c>
      <c r="H2451" s="1" t="s">
        <v>19</v>
      </c>
      <c r="I2451" s="1" t="s">
        <v>20</v>
      </c>
      <c r="J2451" s="1" t="s">
        <v>10737</v>
      </c>
      <c r="K2451" s="1" t="s">
        <v>22</v>
      </c>
      <c r="L2451" s="1" t="str">
        <f>HYPERLINK("https://files.afu.se/Downloads/Transcripts/0%20-%20Government/USA%20-%20NASA%20Johnson/2013 02 19 - NASA Johnson - ISS Update - Feb. 19, 2013_ghR2TxhnDb4 - transcript (automated).pdf","Transcript Link")</f>
        <v>Transcript Link</v>
      </c>
      <c r="M2451" s="2" t="str">
        <f>HYPERLINK("https://files.afu.se/Downloads/Transcripts/0%20-%20Government/USA%20-%20NASA%20Johnson/2013 02 19 - NASA Johnson - ISS Update - Feb. 19, 2013_ghR2TxhnDb4 - transcript (automated).pdf","Transcript Link")</f>
        <v>Transcript Link</v>
      </c>
    </row>
    <row r="2452" ht="180" spans="1:13">
      <c r="A2452" s="1" t="s">
        <v>10738</v>
      </c>
      <c r="B2452" s="1" t="s">
        <v>13</v>
      </c>
      <c r="C2452" s="4" t="s">
        <v>10739</v>
      </c>
      <c r="D2452" s="1" t="s">
        <v>10740</v>
      </c>
      <c r="E2452" s="1" t="s">
        <v>10741</v>
      </c>
      <c r="F2452" s="4" t="s">
        <v>17</v>
      </c>
      <c r="G2452" s="1" t="s">
        <v>18</v>
      </c>
      <c r="H2452" s="1" t="s">
        <v>19</v>
      </c>
      <c r="I2452" s="1" t="s">
        <v>20</v>
      </c>
      <c r="J2452" s="1" t="s">
        <v>10742</v>
      </c>
      <c r="K2452" s="1" t="s">
        <v>22</v>
      </c>
      <c r="L2452" s="1" t="str">
        <f>HYPERLINK("https://files.afu.se/Downloads/Transcripts/0%20-%20Government/USA%20-%20NASA%20Johnson/2013 02 15 - NASA Johnson - ISS Update  Weekly Recap for Feb. 15, 2013_6J27cK4-KMY - transcript (automated).pdf","Transcript Link")</f>
        <v>Transcript Link</v>
      </c>
      <c r="M2452" s="2" t="str">
        <f>HYPERLINK("https://files.afu.se/Downloads/Transcripts/0%20-%20Government/USA%20-%20NASA%20Johnson/2013 02 15 - NASA Johnson - ISS Update  Weekly Recap for Feb. 15, 2013_6J27cK4-KMY - transcript (automated).pdf","Transcript Link")</f>
        <v>Transcript Link</v>
      </c>
    </row>
    <row r="2453" ht="180" spans="1:13">
      <c r="A2453" s="1" t="s">
        <v>10743</v>
      </c>
      <c r="B2453" s="1" t="s">
        <v>13</v>
      </c>
      <c r="C2453" s="4" t="s">
        <v>10744</v>
      </c>
      <c r="D2453" s="1" t="s">
        <v>10745</v>
      </c>
      <c r="E2453" s="1" t="s">
        <v>10746</v>
      </c>
      <c r="F2453" s="4" t="s">
        <v>17</v>
      </c>
      <c r="G2453" s="1" t="s">
        <v>18</v>
      </c>
      <c r="H2453" s="1" t="s">
        <v>19</v>
      </c>
      <c r="I2453" s="1" t="s">
        <v>20</v>
      </c>
      <c r="J2453" s="1" t="s">
        <v>10747</v>
      </c>
      <c r="K2453" s="1" t="s">
        <v>22</v>
      </c>
      <c r="L2453" s="1" t="str">
        <f>HYPERLINK("https://files.afu.se/Downloads/Transcripts/0%20-%20Government/USA%20-%20NASA%20Johnson/2013 02 14 - NASA Johnson - Lead Capcom Hal Getzelman Talks With Students_WfOt8EFXO9M - transcript (automated).pdf","Transcript Link")</f>
        <v>Transcript Link</v>
      </c>
      <c r="M2453" s="2" t="str">
        <f>HYPERLINK("https://files.afu.se/Downloads/Transcripts/0%20-%20Government/USA%20-%20NASA%20Johnson/2013 02 14 - NASA Johnson - Lead Capcom Hal Getzelman Talks With Students_WfOt8EFXO9M - transcript (automated).pdf","Transcript Link")</f>
        <v>Transcript Link</v>
      </c>
    </row>
    <row r="2454" ht="180" spans="1:13">
      <c r="A2454" s="1" t="s">
        <v>10743</v>
      </c>
      <c r="B2454" s="1" t="s">
        <v>13</v>
      </c>
      <c r="C2454" s="4" t="s">
        <v>10748</v>
      </c>
      <c r="D2454" s="1" t="s">
        <v>10749</v>
      </c>
      <c r="E2454" s="1" t="s">
        <v>10750</v>
      </c>
      <c r="F2454" s="4" t="s">
        <v>17</v>
      </c>
      <c r="G2454" s="1" t="s">
        <v>18</v>
      </c>
      <c r="H2454" s="1" t="s">
        <v>19</v>
      </c>
      <c r="I2454" s="1" t="s">
        <v>20</v>
      </c>
      <c r="J2454" s="1" t="s">
        <v>10751</v>
      </c>
      <c r="K2454" s="1" t="s">
        <v>22</v>
      </c>
      <c r="L2454" s="1" t="str">
        <f>HYPERLINK("https://files.afu.se/Downloads/Transcripts/0%20-%20Government/USA%20-%20NASA%20Johnson/2013 02 14 - NASA Johnson - ISS Update  Capcom Chief Engineer Hal Getzeiman_gIKb_rT_sV8 - transcript (automated).pdf","Transcript Link")</f>
        <v>Transcript Link</v>
      </c>
      <c r="M2454" s="2" t="str">
        <f>HYPERLINK("https://files.afu.se/Downloads/Transcripts/0%20-%20Government/USA%20-%20NASA%20Johnson/2013 02 14 - NASA Johnson - ISS Update  Capcom Chief Engineer Hal Getzeiman_gIKb_rT_sV8 - transcript (automated).pdf","Transcript Link")</f>
        <v>Transcript Link</v>
      </c>
    </row>
    <row r="2455" ht="180" spans="1:13">
      <c r="A2455" s="1" t="s">
        <v>10743</v>
      </c>
      <c r="B2455" s="1" t="s">
        <v>13</v>
      </c>
      <c r="C2455" s="4" t="s">
        <v>10752</v>
      </c>
      <c r="D2455" s="1" t="s">
        <v>10753</v>
      </c>
      <c r="E2455" s="1" t="s">
        <v>10754</v>
      </c>
      <c r="F2455" s="4" t="s">
        <v>17</v>
      </c>
      <c r="G2455" s="1" t="s">
        <v>18</v>
      </c>
      <c r="H2455" s="1" t="s">
        <v>19</v>
      </c>
      <c r="I2455" s="1" t="s">
        <v>20</v>
      </c>
      <c r="J2455" s="1" t="s">
        <v>10755</v>
      </c>
      <c r="K2455" s="1" t="s">
        <v>22</v>
      </c>
      <c r="L2455" s="1" t="str">
        <f>HYPERLINK("https://files.afu.se/Downloads/Transcripts/0%20-%20Government/USA%20-%20NASA%20Johnson/2013 02 14 - NASA Johnson - ISS Update - Feb. 14, 2013_h-r1cMDhoKc - transcript (automated).pdf","Transcript Link")</f>
        <v>Transcript Link</v>
      </c>
      <c r="M2455" s="2" t="str">
        <f>HYPERLINK("https://files.afu.se/Downloads/Transcripts/0%20-%20Government/USA%20-%20NASA%20Johnson/2013 02 14 - NASA Johnson - ISS Update - Feb. 14, 2013_h-r1cMDhoKc - transcript (automated).pdf","Transcript Link")</f>
        <v>Transcript Link</v>
      </c>
    </row>
    <row r="2456" ht="405" spans="1:13">
      <c r="A2456" s="1" t="s">
        <v>10756</v>
      </c>
      <c r="B2456" s="1" t="s">
        <v>13</v>
      </c>
      <c r="C2456" s="4" t="s">
        <v>10757</v>
      </c>
      <c r="D2456" s="1" t="s">
        <v>10758</v>
      </c>
      <c r="E2456" s="1" t="s">
        <v>10759</v>
      </c>
      <c r="F2456" s="4" t="s">
        <v>17</v>
      </c>
      <c r="G2456" s="1" t="s">
        <v>18</v>
      </c>
      <c r="H2456" s="1" t="s">
        <v>19</v>
      </c>
      <c r="I2456" s="1" t="s">
        <v>20</v>
      </c>
      <c r="J2456" s="1" t="s">
        <v>10760</v>
      </c>
      <c r="K2456" s="1" t="s">
        <v>22</v>
      </c>
      <c r="L2456" s="1" t="str">
        <f>HYPERLINK("https://files.afu.se/Downloads/Transcripts/0%20-%20Government/USA%20-%20NASA%20Johnson/2013 02 13 - NASA Johnson - SPHERES Smartphone Workbench_B_R48zlvCwA - transcript (automated).pdf","Transcript Link")</f>
        <v>Transcript Link</v>
      </c>
      <c r="M2456" s="2" t="str">
        <f>HYPERLINK("https://files.afu.se/Downloads/Transcripts/0%20-%20Government/USA%20-%20NASA%20Johnson/2013 02 13 - NASA Johnson - SPHERES Smartphone Workbench_B_R48zlvCwA - transcript (automated).pdf","Transcript Link")</f>
        <v>Transcript Link</v>
      </c>
    </row>
    <row r="2457" ht="180" spans="1:13">
      <c r="A2457" s="1" t="s">
        <v>10756</v>
      </c>
      <c r="B2457" s="1" t="s">
        <v>13</v>
      </c>
      <c r="C2457" s="4" t="s">
        <v>10761</v>
      </c>
      <c r="D2457" s="1" t="s">
        <v>10762</v>
      </c>
      <c r="E2457" s="1" t="s">
        <v>10763</v>
      </c>
      <c r="F2457" s="4" t="s">
        <v>17</v>
      </c>
      <c r="G2457" s="1" t="s">
        <v>18</v>
      </c>
      <c r="H2457" s="1" t="s">
        <v>19</v>
      </c>
      <c r="I2457" s="1" t="s">
        <v>20</v>
      </c>
      <c r="J2457" s="1" t="s">
        <v>10764</v>
      </c>
      <c r="K2457" s="1" t="s">
        <v>22</v>
      </c>
      <c r="L2457" s="1" t="str">
        <f>HYPERLINK("https://files.afu.se/Downloads/Transcripts/0%20-%20Government/USA%20-%20NASA%20Johnson/2013 02 13 - NASA Johnson - ISS Update - Feb. 13, 2013_ta1uPWcFpT0 - transcript (automated).pdf","Transcript Link")</f>
        <v>Transcript Link</v>
      </c>
      <c r="M2457" s="2" t="str">
        <f>HYPERLINK("https://files.afu.se/Downloads/Transcripts/0%20-%20Government/USA%20-%20NASA%20Johnson/2013 02 13 - NASA Johnson - ISS Update - Feb. 13, 2013_ta1uPWcFpT0 - transcript (automated).pdf","Transcript Link")</f>
        <v>Transcript Link</v>
      </c>
    </row>
    <row r="2458" ht="180" spans="1:13">
      <c r="A2458" s="1" t="s">
        <v>10765</v>
      </c>
      <c r="B2458" s="1" t="s">
        <v>13</v>
      </c>
      <c r="C2458" s="4" t="s">
        <v>10766</v>
      </c>
      <c r="D2458" s="1" t="s">
        <v>10767</v>
      </c>
      <c r="E2458" s="1" t="s">
        <v>10768</v>
      </c>
      <c r="F2458" s="4" t="s">
        <v>17</v>
      </c>
      <c r="G2458" s="1" t="s">
        <v>18</v>
      </c>
      <c r="H2458" s="1" t="s">
        <v>19</v>
      </c>
      <c r="I2458" s="1" t="s">
        <v>20</v>
      </c>
      <c r="J2458" s="1" t="s">
        <v>10769</v>
      </c>
      <c r="K2458" s="1" t="s">
        <v>22</v>
      </c>
      <c r="L2458" s="1" t="str">
        <f>HYPERLINK("https://files.afu.se/Downloads/Transcripts/0%20-%20Government/USA%20-%20NASA%20Johnson/2013 02 12 - NASA Johnson - ISS Update - Feb. 12, 2013_TQEWlZRQQcM - transcript (automated).pdf","Transcript Link")</f>
        <v>Transcript Link</v>
      </c>
      <c r="M2458" s="2" t="str">
        <f>HYPERLINK("https://files.afu.se/Downloads/Transcripts/0%20-%20Government/USA%20-%20NASA%20Johnson/2013 02 12 - NASA Johnson - ISS Update - Feb. 12, 2013_TQEWlZRQQcM - transcript (automated).pdf","Transcript Link")</f>
        <v>Transcript Link</v>
      </c>
    </row>
    <row r="2459" ht="180" spans="1:13">
      <c r="A2459" s="1" t="s">
        <v>10770</v>
      </c>
      <c r="B2459" s="1" t="s">
        <v>13</v>
      </c>
      <c r="C2459" s="4" t="s">
        <v>10771</v>
      </c>
      <c r="D2459" s="1" t="s">
        <v>10772</v>
      </c>
      <c r="E2459" s="1" t="s">
        <v>10773</v>
      </c>
      <c r="F2459" s="4" t="s">
        <v>17</v>
      </c>
      <c r="G2459" s="1" t="s">
        <v>18</v>
      </c>
      <c r="H2459" s="1" t="s">
        <v>19</v>
      </c>
      <c r="I2459" s="1" t="s">
        <v>20</v>
      </c>
      <c r="J2459" s="1" t="s">
        <v>10774</v>
      </c>
      <c r="K2459" s="1" t="s">
        <v>22</v>
      </c>
      <c r="L2459" s="1" t="str">
        <f>HYPERLINK("https://files.afu.se/Downloads/Transcripts/0%20-%20Government/USA%20-%20NASA%20Johnson/2013 02 11 - NASA Johnson - ISS Update  Progress 50 Launch and Docking with Tom Erkenswick_wliA3ZGv9Ic - transcript (automated).pdf","Transcript Link")</f>
        <v>Transcript Link</v>
      </c>
      <c r="M2459" s="2" t="str">
        <f>HYPERLINK("https://files.afu.se/Downloads/Transcripts/0%20-%20Government/USA%20-%20NASA%20Johnson/2013 02 11 - NASA Johnson - ISS Update  Progress 50 Launch and Docking with Tom Erkenswick_wliA3ZGv9Ic - transcript (automated).pdf","Transcript Link")</f>
        <v>Transcript Link</v>
      </c>
    </row>
    <row r="2460" ht="180" spans="1:13">
      <c r="A2460" s="1" t="s">
        <v>10770</v>
      </c>
      <c r="B2460" s="1" t="s">
        <v>13</v>
      </c>
      <c r="C2460" s="4" t="s">
        <v>10775</v>
      </c>
      <c r="D2460" s="1" t="s">
        <v>10776</v>
      </c>
      <c r="E2460" s="1" t="s">
        <v>10777</v>
      </c>
      <c r="F2460" s="4" t="s">
        <v>17</v>
      </c>
      <c r="G2460" s="1" t="s">
        <v>18</v>
      </c>
      <c r="H2460" s="1" t="s">
        <v>19</v>
      </c>
      <c r="I2460" s="1" t="s">
        <v>20</v>
      </c>
      <c r="J2460" s="1" t="s">
        <v>10778</v>
      </c>
      <c r="K2460" s="1" t="s">
        <v>22</v>
      </c>
      <c r="L2460" s="1" t="str">
        <f>HYPERLINK("https://files.afu.se/Downloads/Transcripts/0%20-%20Government/USA%20-%20NASA%20Johnson/2013 02 11 - NASA Johnson - Station Cargo Craft Docks Six Hours After Launch_qjyGnv8rYrA - transcript (automated).pdf","Transcript Link")</f>
        <v>Transcript Link</v>
      </c>
      <c r="M2460" s="2" t="str">
        <f>HYPERLINK("https://files.afu.se/Downloads/Transcripts/0%20-%20Government/USA%20-%20NASA%20Johnson/2013 02 11 - NASA Johnson - Station Cargo Craft Docks Six Hours After Launch_qjyGnv8rYrA - transcript (automated).pdf","Transcript Link")</f>
        <v>Transcript Link</v>
      </c>
    </row>
    <row r="2461" ht="180" spans="1:13">
      <c r="A2461" s="1" t="s">
        <v>10770</v>
      </c>
      <c r="B2461" s="1" t="s">
        <v>13</v>
      </c>
      <c r="C2461" s="4" t="s">
        <v>10779</v>
      </c>
      <c r="D2461" s="1" t="s">
        <v>10780</v>
      </c>
      <c r="E2461" s="1" t="s">
        <v>10781</v>
      </c>
      <c r="F2461" s="4" t="s">
        <v>17</v>
      </c>
      <c r="G2461" s="1" t="s">
        <v>18</v>
      </c>
      <c r="H2461" s="1" t="s">
        <v>19</v>
      </c>
      <c r="I2461" s="1" t="s">
        <v>20</v>
      </c>
      <c r="J2461" s="1" t="s">
        <v>10782</v>
      </c>
      <c r="K2461" s="1" t="s">
        <v>22</v>
      </c>
      <c r="L2461" s="1" t="str">
        <f>HYPERLINK("https://files.afu.se/Downloads/Transcripts/0%20-%20Government/USA%20-%20NASA%20Johnson/2013 02 11 - NASA Johnson - ISS Update - Feb. 11, 2013_c1zdm7DipQs - transcript (automated).pdf","Transcript Link")</f>
        <v>Transcript Link</v>
      </c>
      <c r="M2461" s="2" t="str">
        <f>HYPERLINK("https://files.afu.se/Downloads/Transcripts/0%20-%20Government/USA%20-%20NASA%20Johnson/2013 02 11 - NASA Johnson - ISS Update - Feb. 11, 2013_c1zdm7DipQs - transcript (automated).pdf","Transcript Link")</f>
        <v>Transcript Link</v>
      </c>
    </row>
    <row r="2462" ht="180" spans="1:13">
      <c r="A2462" s="1" t="s">
        <v>10770</v>
      </c>
      <c r="B2462" s="1" t="s">
        <v>13</v>
      </c>
      <c r="C2462" s="4" t="s">
        <v>10783</v>
      </c>
      <c r="D2462" s="1" t="s">
        <v>10784</v>
      </c>
      <c r="E2462" s="1" t="s">
        <v>10785</v>
      </c>
      <c r="F2462" s="4" t="s">
        <v>17</v>
      </c>
      <c r="G2462" s="1" t="s">
        <v>18</v>
      </c>
      <c r="H2462" s="1" t="s">
        <v>19</v>
      </c>
      <c r="I2462" s="1" t="s">
        <v>20</v>
      </c>
      <c r="J2462" s="1" t="s">
        <v>10786</v>
      </c>
      <c r="K2462" s="1" t="s">
        <v>22</v>
      </c>
      <c r="L2462" s="1" t="str">
        <f>HYPERLINK("https://files.afu.se/Downloads/Transcripts/0%20-%20Government/USA%20-%20NASA%20Johnson/2013 02 11 - NASA Johnson - Russian Cargo Ship Heads to Station_UnacW5KV2I4 - transcript (automated).pdf","Transcript Link")</f>
        <v>Transcript Link</v>
      </c>
      <c r="M2462" s="2" t="str">
        <f>HYPERLINK("https://files.afu.se/Downloads/Transcripts/0%20-%20Government/USA%20-%20NASA%20Johnson/2013 02 11 - NASA Johnson - Russian Cargo Ship Heads to Station_UnacW5KV2I4 - transcript (automated).pdf","Transcript Link")</f>
        <v>Transcript Link</v>
      </c>
    </row>
    <row r="2463" ht="180" spans="1:13">
      <c r="A2463" s="1" t="s">
        <v>10787</v>
      </c>
      <c r="B2463" s="1" t="s">
        <v>13</v>
      </c>
      <c r="C2463" s="4" t="s">
        <v>10788</v>
      </c>
      <c r="D2463" s="1" t="s">
        <v>10789</v>
      </c>
      <c r="E2463" s="1" t="s">
        <v>10790</v>
      </c>
      <c r="F2463" s="4" t="s">
        <v>17</v>
      </c>
      <c r="G2463" s="1" t="s">
        <v>18</v>
      </c>
      <c r="H2463" s="1" t="s">
        <v>19</v>
      </c>
      <c r="I2463" s="1" t="s">
        <v>20</v>
      </c>
      <c r="J2463" s="1" t="s">
        <v>10791</v>
      </c>
      <c r="K2463" s="1" t="s">
        <v>22</v>
      </c>
      <c r="L2463" s="1" t="str">
        <f>HYPERLINK("https://files.afu.se/Downloads/Transcripts/0%20-%20Government/USA%20-%20NASA%20Johnson/2013 02 09 - NASA Johnson - Russian Cargo Ship Departs Station_8uy1-26JIj4 - transcript (automated).pdf","Transcript Link")</f>
        <v>Transcript Link</v>
      </c>
      <c r="M2463" s="2" t="str">
        <f>HYPERLINK("https://files.afu.se/Downloads/Transcripts/0%20-%20Government/USA%20-%20NASA%20Johnson/2013 02 09 - NASA Johnson - Russian Cargo Ship Departs Station_8uy1-26JIj4 - transcript (automated).pdf","Transcript Link")</f>
        <v>Transcript Link</v>
      </c>
    </row>
    <row r="2464" ht="180" spans="1:13">
      <c r="A2464" s="1" t="s">
        <v>10792</v>
      </c>
      <c r="B2464" s="1" t="s">
        <v>13</v>
      </c>
      <c r="C2464" s="4" t="s">
        <v>10793</v>
      </c>
      <c r="D2464" s="1" t="s">
        <v>10794</v>
      </c>
      <c r="E2464" s="1" t="s">
        <v>10795</v>
      </c>
      <c r="F2464" s="4" t="s">
        <v>17</v>
      </c>
      <c r="G2464" s="1" t="s">
        <v>18</v>
      </c>
      <c r="H2464" s="1" t="s">
        <v>19</v>
      </c>
      <c r="I2464" s="1" t="s">
        <v>20</v>
      </c>
      <c r="J2464" s="1" t="s">
        <v>10796</v>
      </c>
      <c r="K2464" s="1" t="s">
        <v>22</v>
      </c>
      <c r="L2464" s="1" t="str">
        <f>HYPERLINK("https://files.afu.se/Downloads/Transcripts/0%20-%20Government/USA%20-%20NASA%20Johnson/2013 02 08 - NASA Johnson - ISS Update  Weekly Recap for Feb. 8, 2013_SgGYBOjlny4 - transcript (automated).pdf","Transcript Link")</f>
        <v>Transcript Link</v>
      </c>
      <c r="M2464" s="2" t="str">
        <f>HYPERLINK("https://files.afu.se/Downloads/Transcripts/0%20-%20Government/USA%20-%20NASA%20Johnson/2013 02 08 - NASA Johnson - ISS Update  Weekly Recap for Feb. 8, 2013_SgGYBOjlny4 - transcript (automated).pdf","Transcript Link")</f>
        <v>Transcript Link</v>
      </c>
    </row>
    <row r="2465" ht="180" spans="1:13">
      <c r="A2465" s="1" t="s">
        <v>10797</v>
      </c>
      <c r="B2465" s="1" t="s">
        <v>13</v>
      </c>
      <c r="C2465" s="4" t="s">
        <v>10798</v>
      </c>
      <c r="D2465" s="1" t="s">
        <v>10799</v>
      </c>
      <c r="E2465" s="1" t="s">
        <v>10800</v>
      </c>
      <c r="F2465" s="4" t="s">
        <v>17</v>
      </c>
      <c r="G2465" s="1" t="s">
        <v>18</v>
      </c>
      <c r="H2465" s="1" t="s">
        <v>19</v>
      </c>
      <c r="I2465" s="1" t="s">
        <v>20</v>
      </c>
      <c r="J2465" s="1" t="s">
        <v>10801</v>
      </c>
      <c r="K2465" s="1" t="s">
        <v>22</v>
      </c>
      <c r="L2465" s="1" t="str">
        <f>HYPERLINK("https://files.afu.se/Downloads/Transcripts/0%20-%20Government/USA%20-%20NASA%20Johnson/2013 02 07 - NASA Johnson - ISS Update - Feb. 7, 2013_yCqh_fc3lQk - transcript (automated).pdf","Transcript Link")</f>
        <v>Transcript Link</v>
      </c>
      <c r="M2465" s="2" t="str">
        <f>HYPERLINK("https://files.afu.se/Downloads/Transcripts/0%20-%20Government/USA%20-%20NASA%20Johnson/2013 02 07 - NASA Johnson - ISS Update - Feb. 7, 2013_yCqh_fc3lQk - transcript (automated).pdf","Transcript Link")</f>
        <v>Transcript Link</v>
      </c>
    </row>
    <row r="2466" ht="180" spans="1:13">
      <c r="A2466" s="1" t="s">
        <v>10802</v>
      </c>
      <c r="B2466" s="1" t="s">
        <v>13</v>
      </c>
      <c r="C2466" s="4" t="s">
        <v>10803</v>
      </c>
      <c r="D2466" s="1" t="s">
        <v>10804</v>
      </c>
      <c r="E2466" s="1" t="s">
        <v>10805</v>
      </c>
      <c r="F2466" s="4" t="s">
        <v>17</v>
      </c>
      <c r="G2466" s="1" t="s">
        <v>18</v>
      </c>
      <c r="H2466" s="1" t="s">
        <v>19</v>
      </c>
      <c r="I2466" s="1" t="s">
        <v>20</v>
      </c>
      <c r="J2466" s="1" t="s">
        <v>10806</v>
      </c>
      <c r="K2466" s="1" t="s">
        <v>22</v>
      </c>
      <c r="L2466" s="1" t="str">
        <f>HYPERLINK("https://files.afu.se/Downloads/Transcripts/0%20-%20Government/USA%20-%20NASA%20Johnson/2013 02 06 - NASA Johnson - Orion Heats Up_dWi0Y1lfNBg - transcript (automated).pdf","Transcript Link")</f>
        <v>Transcript Link</v>
      </c>
      <c r="M2466" s="2" t="str">
        <f>HYPERLINK("https://files.afu.se/Downloads/Transcripts/0%20-%20Government/USA%20-%20NASA%20Johnson/2013 02 06 - NASA Johnson - Orion Heats Up_dWi0Y1lfNBg - transcript (automated).pdf","Transcript Link")</f>
        <v>Transcript Link</v>
      </c>
    </row>
    <row r="2467" ht="180" spans="1:13">
      <c r="A2467" s="1" t="s">
        <v>10802</v>
      </c>
      <c r="B2467" s="1" t="s">
        <v>13</v>
      </c>
      <c r="C2467" s="4" t="s">
        <v>10807</v>
      </c>
      <c r="D2467" s="1" t="s">
        <v>10808</v>
      </c>
      <c r="E2467" s="1" t="s">
        <v>10809</v>
      </c>
      <c r="F2467" s="4" t="s">
        <v>17</v>
      </c>
      <c r="G2467" s="1" t="s">
        <v>18</v>
      </c>
      <c r="H2467" s="1" t="s">
        <v>19</v>
      </c>
      <c r="I2467" s="1" t="s">
        <v>20</v>
      </c>
      <c r="J2467" s="1" t="s">
        <v>10810</v>
      </c>
      <c r="K2467" s="1" t="s">
        <v>22</v>
      </c>
      <c r="L2467" s="1" t="str">
        <f>HYPERLINK("https://files.afu.se/Downloads/Transcripts/0%20-%20Government/USA%20-%20NASA%20Johnson/2013 02 06 - NASA Johnson - NASA Astronaut Mike Fossum Talks With Students_Sky0FG6jBAM - transcript (automated).pdf","Transcript Link")</f>
        <v>Transcript Link</v>
      </c>
      <c r="M2467" s="2" t="str">
        <f>HYPERLINK("https://files.afu.se/Downloads/Transcripts/0%20-%20Government/USA%20-%20NASA%20Johnson/2013 02 06 - NASA Johnson - NASA Astronaut Mike Fossum Talks With Students_Sky0FG6jBAM - transcript (automated).pdf","Transcript Link")</f>
        <v>Transcript Link</v>
      </c>
    </row>
    <row r="2468" ht="180" spans="1:13">
      <c r="A2468" s="1" t="s">
        <v>10802</v>
      </c>
      <c r="B2468" s="1" t="s">
        <v>13</v>
      </c>
      <c r="C2468" s="4" t="s">
        <v>10811</v>
      </c>
      <c r="D2468" s="1" t="s">
        <v>10812</v>
      </c>
      <c r="E2468" s="1" t="s">
        <v>10813</v>
      </c>
      <c r="F2468" s="4" t="s">
        <v>17</v>
      </c>
      <c r="G2468" s="1" t="s">
        <v>18</v>
      </c>
      <c r="H2468" s="1" t="s">
        <v>19</v>
      </c>
      <c r="I2468" s="1" t="s">
        <v>20</v>
      </c>
      <c r="J2468" s="1" t="s">
        <v>10814</v>
      </c>
      <c r="K2468" s="1" t="s">
        <v>22</v>
      </c>
      <c r="L2468" s="1" t="str">
        <f>HYPERLINK("https://files.afu.se/Downloads/Transcripts/0%20-%20Government/USA%20-%20NASA%20Johnson/2013 02 06 - NASA Johnson - ISS Update - Feb. 6, 2013_EGX0cNd0ue0 - transcript (automated).pdf","Transcript Link")</f>
        <v>Transcript Link</v>
      </c>
      <c r="M2468" s="2" t="str">
        <f>HYPERLINK("https://files.afu.se/Downloads/Transcripts/0%20-%20Government/USA%20-%20NASA%20Johnson/2013 02 06 - NASA Johnson - ISS Update - Feb. 6, 2013_EGX0cNd0ue0 - transcript (automated).pdf","Transcript Link")</f>
        <v>Transcript Link</v>
      </c>
    </row>
    <row r="2469" ht="180" spans="1:13">
      <c r="A2469" s="1" t="s">
        <v>10815</v>
      </c>
      <c r="B2469" s="1" t="s">
        <v>13</v>
      </c>
      <c r="C2469" s="4" t="s">
        <v>10816</v>
      </c>
      <c r="D2469" s="1" t="s">
        <v>10817</v>
      </c>
      <c r="E2469" s="1" t="s">
        <v>10818</v>
      </c>
      <c r="F2469" s="4" t="s">
        <v>17</v>
      </c>
      <c r="G2469" s="1" t="s">
        <v>18</v>
      </c>
      <c r="H2469" s="1" t="s">
        <v>19</v>
      </c>
      <c r="I2469" s="1" t="s">
        <v>20</v>
      </c>
      <c r="J2469" s="1" t="s">
        <v>10819</v>
      </c>
      <c r="K2469" s="1" t="s">
        <v>22</v>
      </c>
      <c r="L2469" s="1" t="str">
        <f>HYPERLINK("https://files.afu.se/Downloads/Transcripts/0%20-%20Government/USA%20-%20NASA%20Johnson/2013 02 05 - NASA Johnson - Gene Cernan Speaks with Station Commander Kevin Ford_nGb-ZW0frGU - transcript (automated).pdf","Transcript Link")</f>
        <v>Transcript Link</v>
      </c>
      <c r="M2469" s="2" t="str">
        <f>HYPERLINK("https://files.afu.se/Downloads/Transcripts/0%20-%20Government/USA%20-%20NASA%20Johnson/2013 02 05 - NASA Johnson - Gene Cernan Speaks with Station Commander Kevin Ford_nGb-ZW0frGU - transcript (automated).pdf","Transcript Link")</f>
        <v>Transcript Link</v>
      </c>
    </row>
    <row r="2470" ht="180" spans="1:13">
      <c r="A2470" s="1" t="s">
        <v>10815</v>
      </c>
      <c r="B2470" s="1" t="s">
        <v>13</v>
      </c>
      <c r="C2470" s="4" t="s">
        <v>10820</v>
      </c>
      <c r="D2470" s="1" t="s">
        <v>10821</v>
      </c>
      <c r="E2470" s="1" t="s">
        <v>10822</v>
      </c>
      <c r="F2470" s="4" t="s">
        <v>17</v>
      </c>
      <c r="G2470" s="1" t="s">
        <v>18</v>
      </c>
      <c r="H2470" s="1" t="s">
        <v>19</v>
      </c>
      <c r="I2470" s="1" t="s">
        <v>20</v>
      </c>
      <c r="J2470" s="1" t="s">
        <v>10823</v>
      </c>
      <c r="K2470" s="1" t="s">
        <v>22</v>
      </c>
      <c r="L2470" s="1" t="str">
        <f>HYPERLINK("https://files.afu.se/Downloads/Transcripts/0%20-%20Government/USA%20-%20NASA%20Johnson/2013 02 05 - NASA Johnson - ISS Update - Feb. 5, 2013_HeQa8KCC3h8 - transcript (automated).pdf","Transcript Link")</f>
        <v>Transcript Link</v>
      </c>
      <c r="M2470" s="2" t="str">
        <f>HYPERLINK("https://files.afu.se/Downloads/Transcripts/0%20-%20Government/USA%20-%20NASA%20Johnson/2013 02 05 - NASA Johnson - ISS Update - Feb. 5, 2013_HeQa8KCC3h8 - transcript (automated).pdf","Transcript Link")</f>
        <v>Transcript Link</v>
      </c>
    </row>
    <row r="2471" ht="180" spans="1:13">
      <c r="A2471" s="1" t="s">
        <v>10824</v>
      </c>
      <c r="B2471" s="1" t="s">
        <v>13</v>
      </c>
      <c r="C2471" s="4" t="s">
        <v>10825</v>
      </c>
      <c r="D2471" s="1" t="s">
        <v>10826</v>
      </c>
      <c r="E2471" s="1" t="s">
        <v>10827</v>
      </c>
      <c r="F2471" s="4" t="s">
        <v>17</v>
      </c>
      <c r="G2471" s="1" t="s">
        <v>18</v>
      </c>
      <c r="H2471" s="1" t="s">
        <v>19</v>
      </c>
      <c r="I2471" s="1" t="s">
        <v>20</v>
      </c>
      <c r="J2471" s="1" t="s">
        <v>10828</v>
      </c>
      <c r="K2471" s="1" t="s">
        <v>22</v>
      </c>
      <c r="L2471" s="1" t="str">
        <f>HYPERLINK("https://files.afu.se/Downloads/Transcripts/0%20-%20Government/USA%20-%20NASA%20Johnson/2013 02 04 - NASA Johnson - ISS Update - Feb. 4, 2013_ZDAR4v3VDqw - transcript (automated).pdf","Transcript Link")</f>
        <v>Transcript Link</v>
      </c>
      <c r="M2471" s="2" t="str">
        <f>HYPERLINK("https://files.afu.se/Downloads/Transcripts/0%20-%20Government/USA%20-%20NASA%20Johnson/2013 02 04 - NASA Johnson - ISS Update - Feb. 4, 2013_ZDAR4v3VDqw - transcript (automated).pdf","Transcript Link")</f>
        <v>Transcript Link</v>
      </c>
    </row>
    <row r="2472" ht="180" spans="1:13">
      <c r="A2472" s="1" t="s">
        <v>10824</v>
      </c>
      <c r="B2472" s="1" t="s">
        <v>13</v>
      </c>
      <c r="C2472" s="4" t="s">
        <v>10829</v>
      </c>
      <c r="D2472" s="1" t="s">
        <v>10830</v>
      </c>
      <c r="E2472" s="1" t="s">
        <v>10831</v>
      </c>
      <c r="F2472" s="4" t="s">
        <v>17</v>
      </c>
      <c r="G2472" s="1" t="s">
        <v>18</v>
      </c>
      <c r="H2472" s="1" t="s">
        <v>19</v>
      </c>
      <c r="I2472" s="1" t="s">
        <v>20</v>
      </c>
      <c r="J2472" s="1" t="s">
        <v>10832</v>
      </c>
      <c r="K2472" s="1" t="s">
        <v>22</v>
      </c>
      <c r="L2472" s="1" t="str">
        <f>HYPERLINK("https://files.afu.se/Downloads/Transcripts/0%20-%20Government/USA%20-%20NASA%20Johnson/2013 02 04 - NASA Johnson - Behind the Scenes of NASA Johnson Style_Ybsq1KA274s - transcript (automated).pdf","Transcript Link")</f>
        <v>Transcript Link</v>
      </c>
      <c r="M2472" s="2" t="str">
        <f>HYPERLINK("https://files.afu.se/Downloads/Transcripts/0%20-%20Government/USA%20-%20NASA%20Johnson/2013 02 04 - NASA Johnson - Behind the Scenes of NASA Johnson Style_Ybsq1KA274s - transcript (automated).pdf","Transcript Link")</f>
        <v>Transcript Link</v>
      </c>
    </row>
    <row r="2473" ht="330" spans="1:13">
      <c r="A2473" s="1" t="s">
        <v>10833</v>
      </c>
      <c r="B2473" s="1" t="s">
        <v>13</v>
      </c>
      <c r="C2473" s="4" t="s">
        <v>10834</v>
      </c>
      <c r="D2473" s="1" t="s">
        <v>10835</v>
      </c>
      <c r="E2473" s="1" t="s">
        <v>10836</v>
      </c>
      <c r="F2473" s="4" t="s">
        <v>17</v>
      </c>
      <c r="G2473" s="1" t="s">
        <v>18</v>
      </c>
      <c r="H2473" s="1" t="s">
        <v>19</v>
      </c>
      <c r="I2473" s="1" t="s">
        <v>20</v>
      </c>
      <c r="J2473" s="1" t="s">
        <v>10837</v>
      </c>
      <c r="K2473" s="1" t="s">
        <v>22</v>
      </c>
      <c r="L2473" s="1" t="str">
        <f>HYPERLINK("https://files.afu.se/Downloads/Transcripts/0%20-%20Government/USA%20-%20NASA%20Johnson/2013 02 01 - NASA Johnson - ISS Update  Record-Setting Science on Station_juVkvcjE10o - transcript (automated).pdf","Transcript Link")</f>
        <v>Transcript Link</v>
      </c>
      <c r="M2473" s="2" t="str">
        <f>HYPERLINK("https://files.afu.se/Downloads/Transcripts/0%20-%20Government/USA%20-%20NASA%20Johnson/2013 02 01 - NASA Johnson - ISS Update  Record-Setting Science on Station_juVkvcjE10o - transcript (automated).pdf","Transcript Link")</f>
        <v>Transcript Link</v>
      </c>
    </row>
    <row r="2474" ht="180" spans="1:13">
      <c r="A2474" s="1" t="s">
        <v>10833</v>
      </c>
      <c r="B2474" s="1" t="s">
        <v>13</v>
      </c>
      <c r="C2474" s="4" t="s">
        <v>10838</v>
      </c>
      <c r="D2474" s="1" t="s">
        <v>10839</v>
      </c>
      <c r="E2474" s="1" t="s">
        <v>10840</v>
      </c>
      <c r="F2474" s="4" t="s">
        <v>17</v>
      </c>
      <c r="G2474" s="1" t="s">
        <v>18</v>
      </c>
      <c r="H2474" s="1" t="s">
        <v>19</v>
      </c>
      <c r="I2474" s="1" t="s">
        <v>20</v>
      </c>
      <c r="J2474" s="1" t="s">
        <v>10841</v>
      </c>
      <c r="K2474" s="1" t="s">
        <v>22</v>
      </c>
      <c r="L2474" s="1" t="str">
        <f>HYPERLINK("https://files.afu.se/Downloads/Transcripts/0%20-%20Government/USA%20-%20NASA%20Johnson/2013 02 01 - NASA Johnson - ISS Update  Weekly Recap for Feb. 1, 2013_VuVBXJbgfPY - transcript (automated).pdf","Transcript Link")</f>
        <v>Transcript Link</v>
      </c>
      <c r="M2474" s="2" t="str">
        <f>HYPERLINK("https://files.afu.se/Downloads/Transcripts/0%20-%20Government/USA%20-%20NASA%20Johnson/2013 02 01 - NASA Johnson - ISS Update  Weekly Recap for Feb. 1, 2013_VuVBXJbgfPY - transcript (automated).pdf","Transcript Link")</f>
        <v>Transcript Link</v>
      </c>
    </row>
    <row r="2475" ht="180" spans="1:13">
      <c r="A2475" s="1" t="s">
        <v>10842</v>
      </c>
      <c r="B2475" s="1" t="s">
        <v>13</v>
      </c>
      <c r="C2475" s="4" t="s">
        <v>10843</v>
      </c>
      <c r="D2475" s="1" t="s">
        <v>10844</v>
      </c>
      <c r="E2475" s="1" t="s">
        <v>10845</v>
      </c>
      <c r="F2475" s="4" t="s">
        <v>17</v>
      </c>
      <c r="G2475" s="1" t="s">
        <v>18</v>
      </c>
      <c r="H2475" s="1" t="s">
        <v>19</v>
      </c>
      <c r="I2475" s="1" t="s">
        <v>20</v>
      </c>
      <c r="J2475" s="1" t="s">
        <v>10846</v>
      </c>
      <c r="K2475" s="1" t="s">
        <v>22</v>
      </c>
      <c r="L2475" s="1" t="str">
        <f>HYPERLINK("https://files.afu.se/Downloads/Transcripts/0%20-%20Government/USA%20-%20NASA%20Johnson/2013 01 31 - NASA Johnson - EVA Systems Flight Controller Talks With Students_H66DDimfd8o - transcript (automated).pdf","Transcript Link")</f>
        <v>Transcript Link</v>
      </c>
      <c r="M2475" s="2" t="str">
        <f>HYPERLINK("https://files.afu.se/Downloads/Transcripts/0%20-%20Government/USA%20-%20NASA%20Johnson/2013 01 31 - NASA Johnson - EVA Systems Flight Controller Talks With Students_H66DDimfd8o - transcript (automated).pdf","Transcript Link")</f>
        <v>Transcript Link</v>
      </c>
    </row>
    <row r="2476" ht="180" spans="1:13">
      <c r="A2476" s="1" t="s">
        <v>10842</v>
      </c>
      <c r="B2476" s="1" t="s">
        <v>13</v>
      </c>
      <c r="C2476" s="4" t="s">
        <v>10847</v>
      </c>
      <c r="D2476" s="1" t="s">
        <v>10848</v>
      </c>
      <c r="E2476" s="1" t="s">
        <v>10849</v>
      </c>
      <c r="F2476" s="4" t="s">
        <v>17</v>
      </c>
      <c r="G2476" s="1" t="s">
        <v>18</v>
      </c>
      <c r="H2476" s="1" t="s">
        <v>19</v>
      </c>
      <c r="I2476" s="1" t="s">
        <v>20</v>
      </c>
      <c r="J2476" s="1" t="s">
        <v>10850</v>
      </c>
      <c r="K2476" s="1" t="s">
        <v>22</v>
      </c>
      <c r="L2476" s="1" t="str">
        <f>HYPERLINK("https://files.afu.se/Downloads/Transcripts/0%20-%20Government/USA%20-%20NASA%20Johnson/2013 01 31 - NASA Johnson - ISS Update  Capillary Flow Experiments-2_K-PQE-VEdhc - transcript (automated).pdf","Transcript Link")</f>
        <v>Transcript Link</v>
      </c>
      <c r="M2476" s="2" t="str">
        <f>HYPERLINK("https://files.afu.se/Downloads/Transcripts/0%20-%20Government/USA%20-%20NASA%20Johnson/2013 01 31 - NASA Johnson - ISS Update  Capillary Flow Experiments-2_K-PQE-VEdhc - transcript (automated).pdf","Transcript Link")</f>
        <v>Transcript Link</v>
      </c>
    </row>
    <row r="2477" ht="180" spans="1:13">
      <c r="A2477" s="1" t="s">
        <v>10842</v>
      </c>
      <c r="B2477" s="1" t="s">
        <v>13</v>
      </c>
      <c r="C2477" s="4" t="s">
        <v>10851</v>
      </c>
      <c r="D2477" s="1" t="s">
        <v>10852</v>
      </c>
      <c r="E2477" s="1" t="s">
        <v>10853</v>
      </c>
      <c r="F2477" s="4" t="s">
        <v>17</v>
      </c>
      <c r="G2477" s="1" t="s">
        <v>18</v>
      </c>
      <c r="H2477" s="1" t="s">
        <v>19</v>
      </c>
      <c r="I2477" s="1" t="s">
        <v>20</v>
      </c>
      <c r="J2477" s="1" t="s">
        <v>10854</v>
      </c>
      <c r="K2477" s="1" t="s">
        <v>22</v>
      </c>
      <c r="L2477" s="1" t="str">
        <f>HYPERLINK("https://files.afu.se/Downloads/Transcripts/0%20-%20Government/USA%20-%20NASA%20Johnson/2013 01 31 - NASA Johnson - ISS Update  ISTAR -- International Space Station Testbed for Analog Research_re2Uztpr6Hc - transcript (automated).pdf","Transcript Link")</f>
        <v>Transcript Link</v>
      </c>
      <c r="M2477" s="2" t="str">
        <f>HYPERLINK("https://files.afu.se/Downloads/Transcripts/0%20-%20Government/USA%20-%20NASA%20Johnson/2013 01 31 - NASA Johnson - ISS Update  ISTAR -- International Space Station Testbed for Analog Research_re2Uztpr6Hc - transcript (automated).pdf","Transcript Link")</f>
        <v>Transcript Link</v>
      </c>
    </row>
    <row r="2478" ht="180" spans="1:13">
      <c r="A2478" s="1" t="s">
        <v>10842</v>
      </c>
      <c r="B2478" s="1" t="s">
        <v>13</v>
      </c>
      <c r="C2478" s="4" t="s">
        <v>10855</v>
      </c>
      <c r="D2478" s="1" t="s">
        <v>10856</v>
      </c>
      <c r="E2478" s="1" t="s">
        <v>10857</v>
      </c>
      <c r="F2478" s="4" t="s">
        <v>17</v>
      </c>
      <c r="G2478" s="1" t="s">
        <v>18</v>
      </c>
      <c r="H2478" s="1" t="s">
        <v>19</v>
      </c>
      <c r="I2478" s="1" t="s">
        <v>20</v>
      </c>
      <c r="J2478" s="1" t="s">
        <v>10858</v>
      </c>
      <c r="K2478" s="1" t="s">
        <v>22</v>
      </c>
      <c r="L2478" s="1" t="str">
        <f>HYPERLINK("https://files.afu.se/Downloads/Transcripts/0%20-%20Government/USA%20-%20NASA%20Johnson/2013 01 31 - NASA Johnson - ISS Update - Jan. 31, 2013_sLIUV2k57oo - transcript (automated).pdf","Transcript Link")</f>
        <v>Transcript Link</v>
      </c>
      <c r="M2478" s="2" t="str">
        <f>HYPERLINK("https://files.afu.se/Downloads/Transcripts/0%20-%20Government/USA%20-%20NASA%20Johnson/2013 01 31 - NASA Johnson - ISS Update - Jan. 31, 2013_sLIUV2k57oo - transcript (automated).pdf","Transcript Link")</f>
        <v>Transcript Link</v>
      </c>
    </row>
    <row r="2479" ht="409.5" spans="1:13">
      <c r="A2479" s="1" t="s">
        <v>10859</v>
      </c>
      <c r="B2479" s="1" t="s">
        <v>13</v>
      </c>
      <c r="C2479" s="4" t="s">
        <v>10860</v>
      </c>
      <c r="D2479" s="1" t="s">
        <v>10861</v>
      </c>
      <c r="E2479" s="1" t="s">
        <v>10862</v>
      </c>
      <c r="F2479" s="4" t="s">
        <v>17</v>
      </c>
      <c r="G2479" s="1" t="s">
        <v>18</v>
      </c>
      <c r="H2479" s="1" t="s">
        <v>19</v>
      </c>
      <c r="I2479" s="1" t="s">
        <v>20</v>
      </c>
      <c r="J2479" s="1" t="s">
        <v>10863</v>
      </c>
      <c r="K2479" s="1" t="s">
        <v>22</v>
      </c>
      <c r="L2479" s="1" t="str">
        <f>HYPERLINK("https://files.afu.se/Downloads/Transcripts/0%20-%20Government/USA%20-%20NASA%20Johnson/2013 01 30 - NASA Johnson - ISS Update  Studying Smart Fluids in Space_8rpjoSlMGYg - transcript (automated).pdf","Transcript Link")</f>
        <v>Transcript Link</v>
      </c>
      <c r="M2479" s="2" t="str">
        <f>HYPERLINK("https://files.afu.se/Downloads/Transcripts/0%20-%20Government/USA%20-%20NASA%20Johnson/2013 01 30 - NASA Johnson - ISS Update  Studying Smart Fluids in Space_8rpjoSlMGYg - transcript (automated).pdf","Transcript Link")</f>
        <v>Transcript Link</v>
      </c>
    </row>
    <row r="2480" ht="180" spans="1:13">
      <c r="A2480" s="1" t="s">
        <v>10859</v>
      </c>
      <c r="B2480" s="1" t="s">
        <v>13</v>
      </c>
      <c r="C2480" s="4" t="s">
        <v>10864</v>
      </c>
      <c r="D2480" s="1" t="s">
        <v>10865</v>
      </c>
      <c r="E2480" s="1" t="s">
        <v>10866</v>
      </c>
      <c r="F2480" s="4" t="s">
        <v>17</v>
      </c>
      <c r="G2480" s="1" t="s">
        <v>18</v>
      </c>
      <c r="H2480" s="1" t="s">
        <v>19</v>
      </c>
      <c r="I2480" s="1" t="s">
        <v>20</v>
      </c>
      <c r="J2480" s="1" t="s">
        <v>10867</v>
      </c>
      <c r="K2480" s="1" t="s">
        <v>22</v>
      </c>
      <c r="L2480" s="1" t="str">
        <f>HYPERLINK("https://files.afu.se/Downloads/Transcripts/0%20-%20Government/USA%20-%20NASA%20Johnson/2013 01 30 - NASA Johnson - ISS Update - Jan. 30, 2013_2X6goDUNoiM - transcript (automated).pdf","Transcript Link")</f>
        <v>Transcript Link</v>
      </c>
      <c r="M2480" s="2" t="str">
        <f>HYPERLINK("https://files.afu.se/Downloads/Transcripts/0%20-%20Government/USA%20-%20NASA%20Johnson/2013 01 30 - NASA Johnson - ISS Update - Jan. 30, 2013_2X6goDUNoiM - transcript (automated).pdf","Transcript Link")</f>
        <v>Transcript Link</v>
      </c>
    </row>
    <row r="2481" ht="180" spans="1:13">
      <c r="A2481" s="1" t="s">
        <v>10868</v>
      </c>
      <c r="B2481" s="1" t="s">
        <v>13</v>
      </c>
      <c r="C2481" s="4" t="s">
        <v>10869</v>
      </c>
      <c r="D2481" s="1" t="s">
        <v>10870</v>
      </c>
      <c r="E2481" s="1" t="s">
        <v>10871</v>
      </c>
      <c r="F2481" s="4" t="s">
        <v>17</v>
      </c>
      <c r="G2481" s="1" t="s">
        <v>18</v>
      </c>
      <c r="H2481" s="1" t="s">
        <v>19</v>
      </c>
      <c r="I2481" s="1" t="s">
        <v>20</v>
      </c>
      <c r="J2481" s="1" t="s">
        <v>10872</v>
      </c>
      <c r="K2481" s="1" t="s">
        <v>22</v>
      </c>
      <c r="L2481" s="1" t="str">
        <f>HYPERLINK("https://files.afu.se/Downloads/Transcripts/0%20-%20Government/USA%20-%20NASA%20Johnson/2013 01 29 - NASA Johnson - ISS Update - Jan. 29, 2013_d7NiO4PEi2A - transcript (automated).pdf","Transcript Link")</f>
        <v>Transcript Link</v>
      </c>
      <c r="M2481" s="2" t="str">
        <f>HYPERLINK("https://files.afu.se/Downloads/Transcripts/0%20-%20Government/USA%20-%20NASA%20Johnson/2013 01 29 - NASA Johnson - ISS Update - Jan. 29, 2013_d7NiO4PEi2A - transcript (automated).pdf","Transcript Link")</f>
        <v>Transcript Link</v>
      </c>
    </row>
    <row r="2482" ht="180" spans="1:13">
      <c r="A2482" s="1" t="s">
        <v>10873</v>
      </c>
      <c r="B2482" s="1" t="s">
        <v>13</v>
      </c>
      <c r="C2482" s="4" t="s">
        <v>10874</v>
      </c>
      <c r="D2482" s="1" t="s">
        <v>10875</v>
      </c>
      <c r="E2482" s="1" t="s">
        <v>10876</v>
      </c>
      <c r="F2482" s="4" t="s">
        <v>17</v>
      </c>
      <c r="G2482" s="1" t="s">
        <v>18</v>
      </c>
      <c r="H2482" s="1" t="s">
        <v>19</v>
      </c>
      <c r="I2482" s="1" t="s">
        <v>20</v>
      </c>
      <c r="J2482" s="1" t="s">
        <v>10877</v>
      </c>
      <c r="K2482" s="1" t="s">
        <v>22</v>
      </c>
      <c r="L2482" s="1" t="str">
        <f>HYPERLINK("https://files.afu.se/Downloads/Transcripts/0%20-%20Government/USA%20-%20NASA%20Johnson/2013 01 28 - NASA Johnson - ISS Update - Jan. 28, 2013_jABL6bqdVzc - transcript (automated).pdf","Transcript Link")</f>
        <v>Transcript Link</v>
      </c>
      <c r="M2482" s="2" t="str">
        <f>HYPERLINK("https://files.afu.se/Downloads/Transcripts/0%20-%20Government/USA%20-%20NASA%20Johnson/2013 01 28 - NASA Johnson - ISS Update - Jan. 28, 2013_jABL6bqdVzc - transcript (automated).pdf","Transcript Link")</f>
        <v>Transcript Link</v>
      </c>
    </row>
    <row r="2483" ht="180" spans="1:13">
      <c r="A2483" s="1" t="s">
        <v>10878</v>
      </c>
      <c r="B2483" s="1" t="s">
        <v>13</v>
      </c>
      <c r="C2483" s="4" t="s">
        <v>10879</v>
      </c>
      <c r="D2483" s="1" t="s">
        <v>10880</v>
      </c>
      <c r="E2483" s="1" t="s">
        <v>10881</v>
      </c>
      <c r="F2483" s="4" t="s">
        <v>17</v>
      </c>
      <c r="G2483" s="1" t="s">
        <v>18</v>
      </c>
      <c r="H2483" s="1" t="s">
        <v>19</v>
      </c>
      <c r="I2483" s="1" t="s">
        <v>20</v>
      </c>
      <c r="J2483" s="1" t="s">
        <v>10882</v>
      </c>
      <c r="K2483" s="1" t="s">
        <v>22</v>
      </c>
      <c r="L2483" s="1" t="str">
        <f>HYPERLINK("https://files.afu.se/Downloads/Transcripts/0%20-%20Government/USA%20-%20NASA%20Johnson/2013 01 25 - NASA Johnson - ISS Update  Robotic Refueling Mission Payload Overview__5XOoqxb6g8 - transcript (automated).pdf","Transcript Link")</f>
        <v>Transcript Link</v>
      </c>
      <c r="M2483" s="2" t="str">
        <f>HYPERLINK("https://files.afu.se/Downloads/Transcripts/0%20-%20Government/USA%20-%20NASA%20Johnson/2013 01 25 - NASA Johnson - ISS Update  Robotic Refueling Mission Payload Overview__5XOoqxb6g8 - transcript (automated).pdf","Transcript Link")</f>
        <v>Transcript Link</v>
      </c>
    </row>
    <row r="2484" ht="180" spans="1:13">
      <c r="A2484" s="1" t="s">
        <v>10878</v>
      </c>
      <c r="B2484" s="1" t="s">
        <v>13</v>
      </c>
      <c r="C2484" s="4" t="s">
        <v>10883</v>
      </c>
      <c r="D2484" s="1" t="s">
        <v>10884</v>
      </c>
      <c r="E2484" s="1" t="s">
        <v>10885</v>
      </c>
      <c r="F2484" s="4" t="s">
        <v>17</v>
      </c>
      <c r="G2484" s="1" t="s">
        <v>18</v>
      </c>
      <c r="H2484" s="1" t="s">
        <v>19</v>
      </c>
      <c r="I2484" s="1" t="s">
        <v>20</v>
      </c>
      <c r="J2484" s="1" t="s">
        <v>10886</v>
      </c>
      <c r="K2484" s="1" t="s">
        <v>22</v>
      </c>
      <c r="L2484" s="1" t="str">
        <f>HYPERLINK("https://files.afu.se/Downloads/Transcripts/0%20-%20Government/USA%20-%20NASA%20Johnson/2013 01 25 - NASA Johnson - ISS Update  Weekly Recap for Jan. 25, 2013_T9GqT6oZu6Y - transcript (automated).pdf","Transcript Link")</f>
        <v>Transcript Link</v>
      </c>
      <c r="M2484" s="2" t="str">
        <f>HYPERLINK("https://files.afu.se/Downloads/Transcripts/0%20-%20Government/USA%20-%20NASA%20Johnson/2013 01 25 - NASA Johnson - ISS Update  Weekly Recap for Jan. 25, 2013_T9GqT6oZu6Y - transcript (automated).pdf","Transcript Link")</f>
        <v>Transcript Link</v>
      </c>
    </row>
    <row r="2485" ht="180" spans="1:13">
      <c r="A2485" s="1" t="s">
        <v>10887</v>
      </c>
      <c r="B2485" s="1" t="s">
        <v>13</v>
      </c>
      <c r="C2485" s="4" t="s">
        <v>10888</v>
      </c>
      <c r="D2485" s="1" t="s">
        <v>10889</v>
      </c>
      <c r="E2485" s="1" t="s">
        <v>10890</v>
      </c>
      <c r="F2485" s="4" t="s">
        <v>17</v>
      </c>
      <c r="G2485" s="1" t="s">
        <v>18</v>
      </c>
      <c r="H2485" s="1" t="s">
        <v>19</v>
      </c>
      <c r="I2485" s="1" t="s">
        <v>20</v>
      </c>
      <c r="J2485" s="1" t="s">
        <v>10891</v>
      </c>
      <c r="K2485" s="1" t="s">
        <v>22</v>
      </c>
      <c r="L2485" s="1" t="str">
        <f>HYPERLINK("https://files.afu.se/Downloads/Transcripts/0%20-%20Government/USA%20-%20NASA%20Johnson/2013 01 24 - NASA Johnson - Associate ISS Program Scientist Talks With Students_j7e16ECtZgY - transcript (automated).pdf","Transcript Link")</f>
        <v>Transcript Link</v>
      </c>
      <c r="M2485" s="2" t="str">
        <f>HYPERLINK("https://files.afu.se/Downloads/Transcripts/0%20-%20Government/USA%20-%20NASA%20Johnson/2013 01 24 - NASA Johnson - Associate ISS Program Scientist Talks With Students_j7e16ECtZgY - transcript (automated).pdf","Transcript Link")</f>
        <v>Transcript Link</v>
      </c>
    </row>
    <row r="2486" ht="180" spans="1:13">
      <c r="A2486" s="1" t="s">
        <v>10887</v>
      </c>
      <c r="B2486" s="1" t="s">
        <v>13</v>
      </c>
      <c r="C2486" s="4" t="s">
        <v>10892</v>
      </c>
      <c r="D2486" s="1" t="s">
        <v>10893</v>
      </c>
      <c r="E2486" s="1" t="s">
        <v>10894</v>
      </c>
      <c r="F2486" s="4" t="s">
        <v>17</v>
      </c>
      <c r="G2486" s="1" t="s">
        <v>18</v>
      </c>
      <c r="H2486" s="1" t="s">
        <v>19</v>
      </c>
      <c r="I2486" s="1" t="s">
        <v>20</v>
      </c>
      <c r="J2486" s="1" t="s">
        <v>10895</v>
      </c>
      <c r="K2486" s="1" t="s">
        <v>22</v>
      </c>
      <c r="L2486" s="1" t="str">
        <f>HYPERLINK("https://files.afu.se/Downloads/Transcripts/0%20-%20Government/USA%20-%20NASA%20Johnson/2013 01 24 - NASA Johnson - ISS Update - Jan. 24, 2013_JmXZgaMpDPw - transcript (automated).pdf","Transcript Link")</f>
        <v>Transcript Link</v>
      </c>
      <c r="M2486" s="2" t="str">
        <f>HYPERLINK("https://files.afu.se/Downloads/Transcripts/0%20-%20Government/USA%20-%20NASA%20Johnson/2013 01 24 - NASA Johnson - ISS Update - Jan. 24, 2013_JmXZgaMpDPw - transcript (automated).pdf","Transcript Link")</f>
        <v>Transcript Link</v>
      </c>
    </row>
    <row r="2487" ht="180" spans="1:13">
      <c r="A2487" s="1" t="s">
        <v>10896</v>
      </c>
      <c r="B2487" s="1" t="s">
        <v>13</v>
      </c>
      <c r="C2487" s="4" t="s">
        <v>10897</v>
      </c>
      <c r="D2487" s="1" t="s">
        <v>10898</v>
      </c>
      <c r="E2487" s="1" t="s">
        <v>10899</v>
      </c>
      <c r="F2487" s="4" t="s">
        <v>17</v>
      </c>
      <c r="G2487" s="1" t="s">
        <v>18</v>
      </c>
      <c r="H2487" s="1" t="s">
        <v>19</v>
      </c>
      <c r="I2487" s="1" t="s">
        <v>20</v>
      </c>
      <c r="J2487" s="1" t="s">
        <v>10900</v>
      </c>
      <c r="K2487" s="1" t="s">
        <v>22</v>
      </c>
      <c r="L2487" s="1" t="str">
        <f>HYPERLINK("https://files.afu.se/Downloads/Transcripts/0%20-%20Government/USA%20-%20NASA%20Johnson/2013 01 23 - NASA Johnson - ISS Update - Jan. 23, 2013_wPCM623dutM - transcript (automated).pdf","Transcript Link")</f>
        <v>Transcript Link</v>
      </c>
      <c r="M2487" s="2" t="str">
        <f>HYPERLINK("https://files.afu.se/Downloads/Transcripts/0%20-%20Government/USA%20-%20NASA%20Johnson/2013 01 23 - NASA Johnson - ISS Update - Jan. 23, 2013_wPCM623dutM - transcript (automated).pdf","Transcript Link")</f>
        <v>Transcript Link</v>
      </c>
    </row>
    <row r="2488" ht="180" spans="1:13">
      <c r="A2488" s="1" t="s">
        <v>10901</v>
      </c>
      <c r="B2488" s="1" t="s">
        <v>13</v>
      </c>
      <c r="C2488" s="4" t="s">
        <v>10902</v>
      </c>
      <c r="D2488" s="1" t="s">
        <v>10903</v>
      </c>
      <c r="E2488" s="1" t="s">
        <v>10904</v>
      </c>
      <c r="F2488" s="4" t="s">
        <v>17</v>
      </c>
      <c r="G2488" s="1" t="s">
        <v>18</v>
      </c>
      <c r="H2488" s="1" t="s">
        <v>19</v>
      </c>
      <c r="I2488" s="1" t="s">
        <v>20</v>
      </c>
      <c r="J2488" s="1" t="s">
        <v>10905</v>
      </c>
      <c r="K2488" s="1" t="s">
        <v>22</v>
      </c>
      <c r="L2488" s="1" t="str">
        <f>HYPERLINK("https://files.afu.se/Downloads/Transcripts/0%20-%20Government/USA%20-%20NASA%20Johnson/2013 01 22 - NASA Johnson - ISS Update - Jan. 22, 2013_2yM-TIcZ8mo - transcript (automated).pdf","Transcript Link")</f>
        <v>Transcript Link</v>
      </c>
      <c r="M2488" s="2" t="str">
        <f>HYPERLINK("https://files.afu.se/Downloads/Transcripts/0%20-%20Government/USA%20-%20NASA%20Johnson/2013 01 22 - NASA Johnson - ISS Update - Jan. 22, 2013_2yM-TIcZ8mo - transcript (automated).pdf","Transcript Link")</f>
        <v>Transcript Link</v>
      </c>
    </row>
    <row r="2489" ht="180" spans="1:13">
      <c r="A2489" s="1" t="s">
        <v>10906</v>
      </c>
      <c r="B2489" s="1" t="s">
        <v>13</v>
      </c>
      <c r="C2489" s="4" t="s">
        <v>10907</v>
      </c>
      <c r="D2489" s="1" t="s">
        <v>10908</v>
      </c>
      <c r="E2489" s="1" t="s">
        <v>10909</v>
      </c>
      <c r="F2489" s="4" t="s">
        <v>17</v>
      </c>
      <c r="G2489" s="1" t="s">
        <v>18</v>
      </c>
      <c r="H2489" s="1" t="s">
        <v>19</v>
      </c>
      <c r="I2489" s="1" t="s">
        <v>20</v>
      </c>
      <c r="J2489" s="1" t="s">
        <v>10910</v>
      </c>
      <c r="K2489" s="1" t="s">
        <v>22</v>
      </c>
      <c r="L2489" s="1" t="str">
        <f>HYPERLINK("https://files.afu.se/Downloads/Transcripts/0%20-%20Government/USA%20-%20NASA%20Johnson/2013 01 18 - NASA Johnson - Expedition 35 36 Science Briefing_QYv5nhKUBs8 - transcript (automated).pdf","Transcript Link")</f>
        <v>Transcript Link</v>
      </c>
      <c r="M2489" s="2" t="str">
        <f>HYPERLINK("https://files.afu.se/Downloads/Transcripts/0%20-%20Government/USA%20-%20NASA%20Johnson/2013 01 18 - NASA Johnson - Expedition 35 36 Science Briefing_QYv5nhKUBs8 - transcript (automated).pdf","Transcript Link")</f>
        <v>Transcript Link</v>
      </c>
    </row>
    <row r="2490" ht="180" spans="1:13">
      <c r="A2490" s="1" t="s">
        <v>10911</v>
      </c>
      <c r="B2490" s="1" t="s">
        <v>13</v>
      </c>
      <c r="C2490" s="4" t="s">
        <v>10912</v>
      </c>
      <c r="D2490" s="1" t="s">
        <v>10913</v>
      </c>
      <c r="E2490" s="1" t="s">
        <v>10914</v>
      </c>
      <c r="F2490" s="4" t="s">
        <v>17</v>
      </c>
      <c r="G2490" s="1" t="s">
        <v>18</v>
      </c>
      <c r="H2490" s="1" t="s">
        <v>19</v>
      </c>
      <c r="I2490" s="1" t="s">
        <v>20</v>
      </c>
      <c r="J2490" s="1" t="s">
        <v>10915</v>
      </c>
      <c r="K2490" s="1" t="s">
        <v>22</v>
      </c>
      <c r="L2490" s="1" t="str">
        <f>HYPERLINK("https://files.afu.se/Downloads/Transcripts/0%20-%20Government/USA%20-%20NASA%20Johnson/2013 01 17 - NASA Johnson - ISS Update - Jan. 17, 2013_YUsdUvER8tM - transcript (automated).pdf","Transcript Link")</f>
        <v>Transcript Link</v>
      </c>
      <c r="M2490" s="2" t="str">
        <f>HYPERLINK("https://files.afu.se/Downloads/Transcripts/0%20-%20Government/USA%20-%20NASA%20Johnson/2013 01 17 - NASA Johnson - ISS Update - Jan. 17, 2013_YUsdUvER8tM - transcript (automated).pdf","Transcript Link")</f>
        <v>Transcript Link</v>
      </c>
    </row>
    <row r="2491" ht="180" spans="1:13">
      <c r="A2491" s="1" t="s">
        <v>10916</v>
      </c>
      <c r="B2491" s="1" t="s">
        <v>13</v>
      </c>
      <c r="C2491" s="4" t="s">
        <v>10917</v>
      </c>
      <c r="D2491" s="1" t="s">
        <v>10918</v>
      </c>
      <c r="E2491" s="1" t="s">
        <v>10919</v>
      </c>
      <c r="F2491" s="4" t="s">
        <v>17</v>
      </c>
      <c r="G2491" s="1" t="s">
        <v>18</v>
      </c>
      <c r="H2491" s="1" t="s">
        <v>19</v>
      </c>
      <c r="I2491" s="1" t="s">
        <v>20</v>
      </c>
      <c r="J2491" s="1" t="s">
        <v>10920</v>
      </c>
      <c r="K2491" s="1" t="s">
        <v>22</v>
      </c>
      <c r="L2491" s="1" t="str">
        <f>HYPERLINK("https://files.afu.se/Downloads/Transcripts/0%20-%20Government/USA%20-%20NASA%20Johnson/2013 01 16 - NASA Johnson - Orion Exploration Mission-1 Animation_JVp0mY7JNOE - transcript (automated).pdf","Transcript Link")</f>
        <v>Transcript Link</v>
      </c>
      <c r="M2491" s="2" t="str">
        <f>HYPERLINK("https://files.afu.se/Downloads/Transcripts/0%20-%20Government/USA%20-%20NASA%20Johnson/2013 01 16 - NASA Johnson - Orion Exploration Mission-1 Animation_JVp0mY7JNOE - transcript (automated).pdf","Transcript Link")</f>
        <v>Transcript Link</v>
      </c>
    </row>
    <row r="2492" ht="180" spans="1:13">
      <c r="A2492" s="1" t="s">
        <v>10916</v>
      </c>
      <c r="B2492" s="1" t="s">
        <v>13</v>
      </c>
      <c r="C2492" s="4" t="s">
        <v>10921</v>
      </c>
      <c r="D2492" s="1" t="s">
        <v>10922</v>
      </c>
      <c r="E2492" s="1" t="s">
        <v>10923</v>
      </c>
      <c r="F2492" s="4" t="s">
        <v>17</v>
      </c>
      <c r="G2492" s="1" t="s">
        <v>18</v>
      </c>
      <c r="H2492" s="1" t="s">
        <v>19</v>
      </c>
      <c r="I2492" s="1" t="s">
        <v>20</v>
      </c>
      <c r="J2492" s="1" t="s">
        <v>10924</v>
      </c>
      <c r="K2492" s="1" t="s">
        <v>22</v>
      </c>
      <c r="L2492" s="1" t="str">
        <f>HYPERLINK("https://files.afu.se/Downloads/Transcripts/0%20-%20Government/USA%20-%20NASA%20Johnson/2013 01 16 - NASA Johnson - Bigelow Expandable Activity Module Installation Animation_ZNhuIedTTqI - transcript (automated).pdf","Transcript Link")</f>
        <v>Transcript Link</v>
      </c>
      <c r="M2492" s="2" t="str">
        <f>HYPERLINK("https://files.afu.se/Downloads/Transcripts/0%20-%20Government/USA%20-%20NASA%20Johnson/2013 01 16 - NASA Johnson - Bigelow Expandable Activity Module Installation Animation_ZNhuIedTTqI - transcript (automated).pdf","Transcript Link")</f>
        <v>Transcript Link</v>
      </c>
    </row>
    <row r="2493" ht="180" spans="1:13">
      <c r="A2493" s="1" t="s">
        <v>10925</v>
      </c>
      <c r="B2493" s="1" t="s">
        <v>13</v>
      </c>
      <c r="C2493" s="4" t="s">
        <v>10926</v>
      </c>
      <c r="D2493" s="1" t="s">
        <v>10927</v>
      </c>
      <c r="E2493" s="1" t="s">
        <v>10928</v>
      </c>
      <c r="F2493" s="4" t="s">
        <v>17</v>
      </c>
      <c r="G2493" s="1" t="s">
        <v>18</v>
      </c>
      <c r="H2493" s="1" t="s">
        <v>19</v>
      </c>
      <c r="I2493" s="1" t="s">
        <v>20</v>
      </c>
      <c r="J2493" s="1" t="s">
        <v>10929</v>
      </c>
      <c r="K2493" s="1" t="s">
        <v>22</v>
      </c>
      <c r="L2493" s="1" t="str">
        <f>HYPERLINK("https://files.afu.se/Downloads/Transcripts/0%20-%20Government/USA%20-%20NASA%20Johnson/2013 01 15 - NASA Johnson - ISS Update  Robotic Refueling Mission_wjfoDC_6Qsg - transcript (automated).pdf","Transcript Link")</f>
        <v>Transcript Link</v>
      </c>
      <c r="M2493" s="2" t="str">
        <f>HYPERLINK("https://files.afu.se/Downloads/Transcripts/0%20-%20Government/USA%20-%20NASA%20Johnson/2013 01 15 - NASA Johnson - ISS Update  Robotic Refueling Mission_wjfoDC_6Qsg - transcript (automated).pdf","Transcript Link")</f>
        <v>Transcript Link</v>
      </c>
    </row>
    <row r="2494" ht="180" spans="1:13">
      <c r="A2494" s="1" t="s">
        <v>10925</v>
      </c>
      <c r="B2494" s="1" t="s">
        <v>13</v>
      </c>
      <c r="C2494" s="4" t="s">
        <v>10930</v>
      </c>
      <c r="D2494" s="1" t="s">
        <v>10931</v>
      </c>
      <c r="E2494" s="1" t="s">
        <v>10932</v>
      </c>
      <c r="F2494" s="4" t="s">
        <v>17</v>
      </c>
      <c r="G2494" s="1" t="s">
        <v>18</v>
      </c>
      <c r="H2494" s="1" t="s">
        <v>19</v>
      </c>
      <c r="I2494" s="1" t="s">
        <v>20</v>
      </c>
      <c r="J2494" s="1" t="s">
        <v>10933</v>
      </c>
      <c r="K2494" s="1" t="s">
        <v>22</v>
      </c>
      <c r="L2494" s="1" t="str">
        <f>HYPERLINK("https://files.afu.se/Downloads/Transcripts/0%20-%20Government/USA%20-%20NASA%20Johnson/2013 01 15 - NASA Johnson - ISS Update - Jan. 15, 2013_aPkMf56YXtc - transcript (automated).pdf","Transcript Link")</f>
        <v>Transcript Link</v>
      </c>
      <c r="M2494" s="2" t="str">
        <f>HYPERLINK("https://files.afu.se/Downloads/Transcripts/0%20-%20Government/USA%20-%20NASA%20Johnson/2013 01 15 - NASA Johnson - ISS Update - Jan. 15, 2013_aPkMf56YXtc - transcript (automated).pdf","Transcript Link")</f>
        <v>Transcript Link</v>
      </c>
    </row>
    <row r="2495" ht="409.5" spans="1:13">
      <c r="A2495" s="1" t="s">
        <v>10934</v>
      </c>
      <c r="B2495" s="1" t="s">
        <v>13</v>
      </c>
      <c r="C2495" s="4" t="s">
        <v>10935</v>
      </c>
      <c r="D2495" s="1" t="s">
        <v>10936</v>
      </c>
      <c r="E2495" s="1" t="s">
        <v>10937</v>
      </c>
      <c r="F2495" s="4" t="s">
        <v>17</v>
      </c>
      <c r="G2495" s="1" t="s">
        <v>18</v>
      </c>
      <c r="H2495" s="1" t="s">
        <v>19</v>
      </c>
      <c r="I2495" s="1" t="s">
        <v>20</v>
      </c>
      <c r="J2495" s="1" t="s">
        <v>10938</v>
      </c>
      <c r="K2495" s="1" t="s">
        <v>22</v>
      </c>
      <c r="L2495" s="1" t="str">
        <f>HYPERLINK("https://files.afu.se/Downloads/Transcripts/0%20-%20Government/USA%20-%20NASA%20Johnson/2013 01 14 - NASA Johnson - ISS Update  EarthKAM Mission_iVDpESbzyLQ - transcript (automated).pdf","Transcript Link")</f>
        <v>Transcript Link</v>
      </c>
      <c r="M2495" s="2" t="str">
        <f>HYPERLINK("https://files.afu.se/Downloads/Transcripts/0%20-%20Government/USA%20-%20NASA%20Johnson/2013 01 14 - NASA Johnson - ISS Update  EarthKAM Mission_iVDpESbzyLQ - transcript (automated).pdf","Transcript Link")</f>
        <v>Transcript Link</v>
      </c>
    </row>
    <row r="2496" ht="180" spans="1:13">
      <c r="A2496" s="1" t="s">
        <v>10934</v>
      </c>
      <c r="B2496" s="1" t="s">
        <v>13</v>
      </c>
      <c r="C2496" s="4" t="s">
        <v>10939</v>
      </c>
      <c r="D2496" s="1" t="s">
        <v>10940</v>
      </c>
      <c r="E2496" s="1" t="s">
        <v>10941</v>
      </c>
      <c r="F2496" s="4" t="s">
        <v>17</v>
      </c>
      <c r="G2496" s="1" t="s">
        <v>18</v>
      </c>
      <c r="H2496" s="1" t="s">
        <v>19</v>
      </c>
      <c r="I2496" s="1" t="s">
        <v>20</v>
      </c>
      <c r="J2496" s="1" t="s">
        <v>10942</v>
      </c>
      <c r="K2496" s="1" t="s">
        <v>22</v>
      </c>
      <c r="L2496" s="1" t="str">
        <f>HYPERLINK("https://files.afu.se/Downloads/Transcripts/0%20-%20Government/USA%20-%20NASA%20Johnson/2013 01 14 - NASA Johnson - ISS Update - Jan. 14, 2013_zkgeELUO_2w - transcript (automated).pdf","Transcript Link")</f>
        <v>Transcript Link</v>
      </c>
      <c r="M2496" s="2" t="str">
        <f>HYPERLINK("https://files.afu.se/Downloads/Transcripts/0%20-%20Government/USA%20-%20NASA%20Johnson/2013 01 14 - NASA Johnson - ISS Update - Jan. 14, 2013_zkgeELUO_2w - transcript (automated).pdf","Transcript Link")</f>
        <v>Transcript Link</v>
      </c>
    </row>
    <row r="2497" ht="180" spans="1:13">
      <c r="A2497" s="1" t="s">
        <v>10943</v>
      </c>
      <c r="B2497" s="1" t="s">
        <v>13</v>
      </c>
      <c r="C2497" s="4" t="s">
        <v>10944</v>
      </c>
      <c r="D2497" s="1" t="s">
        <v>10945</v>
      </c>
      <c r="E2497" s="1" t="s">
        <v>10946</v>
      </c>
      <c r="F2497" s="4" t="s">
        <v>17</v>
      </c>
      <c r="G2497" s="1" t="s">
        <v>18</v>
      </c>
      <c r="H2497" s="1" t="s">
        <v>19</v>
      </c>
      <c r="I2497" s="1" t="s">
        <v>20</v>
      </c>
      <c r="J2497" s="1" t="s">
        <v>10947</v>
      </c>
      <c r="K2497" s="1" t="s">
        <v>22</v>
      </c>
      <c r="L2497" s="1" t="str">
        <f>HYPERLINK("https://files.afu.se/Downloads/Transcripts/0%20-%20Government/USA%20-%20NASA%20Johnson/2013 01 11 - NASA Johnson - ISS Update  Adam Naids on Creating  NASA Johnson Style  -- 01.11.13_87oRyH52q3g - transcript (automated).pdf","Transcript Link")</f>
        <v>Transcript Link</v>
      </c>
      <c r="M2497" s="2" t="str">
        <f>HYPERLINK("https://files.afu.se/Downloads/Transcripts/0%20-%20Government/USA%20-%20NASA%20Johnson/2013 01 11 - NASA Johnson - ISS Update  Adam Naids on Creating  NASA Johnson Style  -- 01.11.13_87oRyH52q3g - transcript (automated).pdf","Transcript Link")</f>
        <v>Transcript Link</v>
      </c>
    </row>
    <row r="2498" ht="180" spans="1:13">
      <c r="A2498" s="1" t="s">
        <v>10943</v>
      </c>
      <c r="B2498" s="1" t="s">
        <v>13</v>
      </c>
      <c r="C2498" s="4" t="s">
        <v>10948</v>
      </c>
      <c r="D2498" s="1" t="s">
        <v>10949</v>
      </c>
      <c r="E2498" s="1" t="s">
        <v>10950</v>
      </c>
      <c r="F2498" s="4" t="s">
        <v>17</v>
      </c>
      <c r="G2498" s="1" t="s">
        <v>18</v>
      </c>
      <c r="H2498" s="1" t="s">
        <v>19</v>
      </c>
      <c r="I2498" s="1" t="s">
        <v>20</v>
      </c>
      <c r="J2498" s="1" t="s">
        <v>10951</v>
      </c>
      <c r="K2498" s="1" t="s">
        <v>22</v>
      </c>
      <c r="L2498" s="1" t="str">
        <f>HYPERLINK("https://files.afu.se/Downloads/Transcripts/0%20-%20Government/USA%20-%20NASA%20Johnson/2013 01 11 - NASA Johnson - ISS Update  Weekly Recap for Jan. 11, 2013_4ZdGkeL2rhg - transcript (automated).pdf","Transcript Link")</f>
        <v>Transcript Link</v>
      </c>
      <c r="M2498" s="2" t="str">
        <f>HYPERLINK("https://files.afu.se/Downloads/Transcripts/0%20-%20Government/USA%20-%20NASA%20Johnson/2013 01 11 - NASA Johnson - ISS Update  Weekly Recap for Jan. 11, 2013_4ZdGkeL2rhg - transcript (automated).pdf","Transcript Link")</f>
        <v>Transcript Link</v>
      </c>
    </row>
    <row r="2499" ht="300" spans="1:13">
      <c r="A2499" s="1" t="s">
        <v>10943</v>
      </c>
      <c r="B2499" s="1" t="s">
        <v>13</v>
      </c>
      <c r="C2499" s="4" t="s">
        <v>10952</v>
      </c>
      <c r="D2499" s="1" t="s">
        <v>10953</v>
      </c>
      <c r="E2499" s="1" t="s">
        <v>10954</v>
      </c>
      <c r="F2499" s="4" t="s">
        <v>17</v>
      </c>
      <c r="G2499" s="1" t="s">
        <v>18</v>
      </c>
      <c r="H2499" s="1" t="s">
        <v>19</v>
      </c>
      <c r="I2499" s="1" t="s">
        <v>20</v>
      </c>
      <c r="J2499" s="1" t="s">
        <v>10955</v>
      </c>
      <c r="K2499" s="1" t="s">
        <v>22</v>
      </c>
      <c r="L2499" s="1" t="str">
        <f>HYPERLINK("https://files.afu.se/Downloads/Transcripts/0%20-%20Government/USA%20-%20NASA%20Johnson/2013 01 11 - NASA Johnson - ISS Update  Final Week for Long Time Flight Director Paul Dye -- 01.11.13_z4pg_edw2_A - transcript (automated).pdf","Transcript Link")</f>
        <v>Transcript Link</v>
      </c>
      <c r="M2499" s="2" t="str">
        <f>HYPERLINK("https://files.afu.se/Downloads/Transcripts/0%20-%20Government/USA%20-%20NASA%20Johnson/2013 01 11 - NASA Johnson - ISS Update  Final Week for Long Time Flight Director Paul Dye -- 01.11.13_z4pg_edw2_A - transcript (automated).pdf","Transcript Link")</f>
        <v>Transcript Link</v>
      </c>
    </row>
    <row r="2500" ht="180" spans="1:13">
      <c r="A2500" s="1" t="s">
        <v>10943</v>
      </c>
      <c r="B2500" s="1" t="s">
        <v>13</v>
      </c>
      <c r="C2500" s="4" t="s">
        <v>10956</v>
      </c>
      <c r="D2500" s="1" t="s">
        <v>10957</v>
      </c>
      <c r="E2500" s="1" t="s">
        <v>10958</v>
      </c>
      <c r="F2500" s="4" t="s">
        <v>17</v>
      </c>
      <c r="G2500" s="1" t="s">
        <v>18</v>
      </c>
      <c r="H2500" s="1" t="s">
        <v>19</v>
      </c>
      <c r="I2500" s="1" t="s">
        <v>20</v>
      </c>
      <c r="J2500" s="1" t="s">
        <v>10959</v>
      </c>
      <c r="K2500" s="1" t="s">
        <v>22</v>
      </c>
      <c r="L2500" s="1" t="str">
        <f>HYPERLINK("https://files.afu.se/Downloads/Transcripts/0%20-%20Government/USA%20-%20NASA%20Johnson/2013 01 11 - NASA Johnson - Meet the Students of NASA Johnson Style_mWr0pUYyODM - transcript (automated).pdf","Transcript Link")</f>
        <v>Transcript Link</v>
      </c>
      <c r="M2500" s="2" t="str">
        <f>HYPERLINK("https://files.afu.se/Downloads/Transcripts/0%20-%20Government/USA%20-%20NASA%20Johnson/2013 01 11 - NASA Johnson - Meet the Students of NASA Johnson Style_mWr0pUYyODM - transcript (automated).pdf","Transcript Link")</f>
        <v>Transcript Link</v>
      </c>
    </row>
    <row r="2501" ht="180" spans="1:13">
      <c r="A2501" s="1" t="s">
        <v>10960</v>
      </c>
      <c r="B2501" s="1" t="s">
        <v>13</v>
      </c>
      <c r="C2501" s="4" t="s">
        <v>10961</v>
      </c>
      <c r="D2501" s="1" t="s">
        <v>10962</v>
      </c>
      <c r="E2501" s="1" t="s">
        <v>10963</v>
      </c>
      <c r="F2501" s="4" t="s">
        <v>17</v>
      </c>
      <c r="G2501" s="1" t="s">
        <v>18</v>
      </c>
      <c r="H2501" s="1" t="s">
        <v>19</v>
      </c>
      <c r="I2501" s="1" t="s">
        <v>20</v>
      </c>
      <c r="J2501" s="1" t="s">
        <v>10964</v>
      </c>
      <c r="K2501" s="1" t="s">
        <v>22</v>
      </c>
      <c r="L2501" s="1" t="str">
        <f>HYPERLINK("https://files.afu.se/Downloads/Transcripts/0%20-%20Government/USA%20-%20NASA%20Johnson/2013 01 10 - NASA Johnson - ISS Update  Students Test Their Satellite Control Skills -- 01.10.13_CYl87KeObYo - transcript (automated).pdf","Transcript Link")</f>
        <v>Transcript Link</v>
      </c>
      <c r="M2501" s="2" t="str">
        <f>HYPERLINK("https://files.afu.se/Downloads/Transcripts/0%20-%20Government/USA%20-%20NASA%20Johnson/2013 01 10 - NASA Johnson - ISS Update  Students Test Their Satellite Control Skills -- 01.10.13_CYl87KeObYo - transcript (automated).pdf","Transcript Link")</f>
        <v>Transcript Link</v>
      </c>
    </row>
    <row r="2502" ht="180" spans="1:13">
      <c r="A2502" s="1" t="s">
        <v>10960</v>
      </c>
      <c r="B2502" s="1" t="s">
        <v>13</v>
      </c>
      <c r="C2502" s="4" t="s">
        <v>10965</v>
      </c>
      <c r="D2502" s="1" t="s">
        <v>10966</v>
      </c>
      <c r="E2502" s="1" t="s">
        <v>10967</v>
      </c>
      <c r="F2502" s="4" t="s">
        <v>17</v>
      </c>
      <c r="G2502" s="1" t="s">
        <v>18</v>
      </c>
      <c r="H2502" s="1" t="s">
        <v>19</v>
      </c>
      <c r="I2502" s="1" t="s">
        <v>20</v>
      </c>
      <c r="J2502" s="1" t="s">
        <v>10968</v>
      </c>
      <c r="K2502" s="1" t="s">
        <v>22</v>
      </c>
      <c r="L2502" s="1" t="str">
        <f>HYPERLINK("https://files.afu.se/Downloads/Transcripts/0%20-%20Government/USA%20-%20NASA%20Johnson/2013 01 10 - NASA Johnson - ISS Update - Jan. 10, 2013_NBPe-XSSACk - transcript (automated).pdf","Transcript Link")</f>
        <v>Transcript Link</v>
      </c>
      <c r="M2502" s="2" t="str">
        <f>HYPERLINK("https://files.afu.se/Downloads/Transcripts/0%20-%20Government/USA%20-%20NASA%20Johnson/2013 01 10 - NASA Johnson - ISS Update - Jan. 10, 2013_NBPe-XSSACk - transcript (automated).pdf","Transcript Link")</f>
        <v>Transcript Link</v>
      </c>
    </row>
    <row r="2503" ht="180" spans="1:13">
      <c r="A2503" s="1" t="s">
        <v>10969</v>
      </c>
      <c r="B2503" s="1" t="s">
        <v>13</v>
      </c>
      <c r="C2503" s="4" t="s">
        <v>10970</v>
      </c>
      <c r="D2503" s="1" t="s">
        <v>10971</v>
      </c>
      <c r="E2503" s="1" t="s">
        <v>10972</v>
      </c>
      <c r="F2503" s="4" t="s">
        <v>17</v>
      </c>
      <c r="G2503" s="1" t="s">
        <v>18</v>
      </c>
      <c r="H2503" s="1" t="s">
        <v>19</v>
      </c>
      <c r="I2503" s="1" t="s">
        <v>20</v>
      </c>
      <c r="J2503" s="1" t="s">
        <v>10973</v>
      </c>
      <c r="K2503" s="1" t="s">
        <v>22</v>
      </c>
      <c r="L2503" s="1" t="str">
        <f>HYPERLINK("https://files.afu.se/Downloads/Transcripts/0%20-%20Government/USA%20-%20NASA%20Johnson/2013 01 09 - NASA Johnson - Station Program Scientist Talks With Students_lCJilxVH8e4 - transcript (automated).pdf","Transcript Link")</f>
        <v>Transcript Link</v>
      </c>
      <c r="M2503" s="2" t="str">
        <f>HYPERLINK("https://files.afu.se/Downloads/Transcripts/0%20-%20Government/USA%20-%20NASA%20Johnson/2013 01 09 - NASA Johnson - Station Program Scientist Talks With Students_lCJilxVH8e4 - transcript (automated).pdf","Transcript Link")</f>
        <v>Transcript Link</v>
      </c>
    </row>
    <row r="2504" ht="180" spans="1:13">
      <c r="A2504" s="1" t="s">
        <v>10969</v>
      </c>
      <c r="B2504" s="1" t="s">
        <v>13</v>
      </c>
      <c r="C2504" s="4" t="s">
        <v>10974</v>
      </c>
      <c r="D2504" s="1" t="s">
        <v>10975</v>
      </c>
      <c r="E2504" s="1" t="s">
        <v>10976</v>
      </c>
      <c r="F2504" s="4" t="s">
        <v>17</v>
      </c>
      <c r="G2504" s="1" t="s">
        <v>18</v>
      </c>
      <c r="H2504" s="1" t="s">
        <v>19</v>
      </c>
      <c r="I2504" s="1" t="s">
        <v>20</v>
      </c>
      <c r="J2504" s="1" t="s">
        <v>10977</v>
      </c>
      <c r="K2504" s="1" t="s">
        <v>22</v>
      </c>
      <c r="L2504" s="1" t="str">
        <f>HYPERLINK("https://files.afu.se/Downloads/Transcripts/0%20-%20Government/USA%20-%20NASA%20Johnson/2013 01 09 - NASA Johnson - ISS Update - Jan. 9, 2013_J2286bF4CG0 - transcript (automated).pdf","Transcript Link")</f>
        <v>Transcript Link</v>
      </c>
      <c r="M2504" s="2" t="str">
        <f>HYPERLINK("https://files.afu.se/Downloads/Transcripts/0%20-%20Government/USA%20-%20NASA%20Johnson/2013 01 09 - NASA Johnson - ISS Update - Jan. 9, 2013_J2286bF4CG0 - transcript (automated).pdf","Transcript Link")</f>
        <v>Transcript Link</v>
      </c>
    </row>
    <row r="2505" ht="180" spans="1:13">
      <c r="A2505" s="1" t="s">
        <v>10978</v>
      </c>
      <c r="B2505" s="1" t="s">
        <v>13</v>
      </c>
      <c r="C2505" s="4" t="s">
        <v>10979</v>
      </c>
      <c r="D2505" s="1" t="s">
        <v>10980</v>
      </c>
      <c r="E2505" s="1" t="s">
        <v>10981</v>
      </c>
      <c r="F2505" s="4" t="s">
        <v>17</v>
      </c>
      <c r="G2505" s="1" t="s">
        <v>18</v>
      </c>
      <c r="H2505" s="1" t="s">
        <v>19</v>
      </c>
      <c r="I2505" s="1" t="s">
        <v>20</v>
      </c>
      <c r="J2505" s="1" t="s">
        <v>10982</v>
      </c>
      <c r="K2505" s="1" t="s">
        <v>22</v>
      </c>
      <c r="L2505" s="1" t="str">
        <f>HYPERLINK("https://files.afu.se/Downloads/Transcripts/0%20-%20Government/USA%20-%20NASA%20Johnson/2013 01 08 - NASA Johnson - ISS Update - Jan. 8, 2013_Uy6ScRS3XC0 - transcript (automated).pdf","Transcript Link")</f>
        <v>Transcript Link</v>
      </c>
      <c r="M2505" s="2" t="str">
        <f>HYPERLINK("https://files.afu.se/Downloads/Transcripts/0%20-%20Government/USA%20-%20NASA%20Johnson/2013 01 08 - NASA Johnson - ISS Update - Jan. 8, 2013_Uy6ScRS3XC0 - transcript (automated).pdf","Transcript Link")</f>
        <v>Transcript Link</v>
      </c>
    </row>
    <row r="2506" ht="409.5" spans="1:13">
      <c r="A2506" s="1" t="s">
        <v>10983</v>
      </c>
      <c r="B2506" s="1" t="s">
        <v>13</v>
      </c>
      <c r="C2506" s="4" t="s">
        <v>10984</v>
      </c>
      <c r="D2506" s="1" t="s">
        <v>10985</v>
      </c>
      <c r="E2506" s="1" t="s">
        <v>10986</v>
      </c>
      <c r="F2506" s="4" t="s">
        <v>17</v>
      </c>
      <c r="G2506" s="1" t="s">
        <v>18</v>
      </c>
      <c r="H2506" s="1" t="s">
        <v>19</v>
      </c>
      <c r="I2506" s="1" t="s">
        <v>20</v>
      </c>
      <c r="J2506" s="1" t="s">
        <v>10987</v>
      </c>
      <c r="K2506" s="1" t="s">
        <v>22</v>
      </c>
      <c r="L2506" s="1" t="str">
        <f>HYPERLINK("https://files.afu.se/Downloads/Transcripts/0%20-%20Government/USA%20-%20NASA%20Johnson/2013 01 07 - NASA Johnson - ISS Update  Robonaut 2_8ZqLNMGSRjY - transcript (automated).pdf","Transcript Link")</f>
        <v>Transcript Link</v>
      </c>
      <c r="M2506" s="2" t="str">
        <f>HYPERLINK("https://files.afu.se/Downloads/Transcripts/0%20-%20Government/USA%20-%20NASA%20Johnson/2013 01 07 - NASA Johnson - ISS Update  Robonaut 2_8ZqLNMGSRjY - transcript (automated).pdf","Transcript Link")</f>
        <v>Transcript Link</v>
      </c>
    </row>
    <row r="2507" ht="180" spans="1:13">
      <c r="A2507" s="1" t="s">
        <v>10983</v>
      </c>
      <c r="B2507" s="1" t="s">
        <v>13</v>
      </c>
      <c r="C2507" s="4" t="s">
        <v>10988</v>
      </c>
      <c r="D2507" s="1" t="s">
        <v>10989</v>
      </c>
      <c r="E2507" s="1" t="s">
        <v>10990</v>
      </c>
      <c r="F2507" s="4" t="s">
        <v>17</v>
      </c>
      <c r="G2507" s="1" t="s">
        <v>18</v>
      </c>
      <c r="H2507" s="1" t="s">
        <v>19</v>
      </c>
      <c r="I2507" s="1" t="s">
        <v>20</v>
      </c>
      <c r="J2507" s="1" t="s">
        <v>10991</v>
      </c>
      <c r="K2507" s="1" t="s">
        <v>22</v>
      </c>
      <c r="L2507" s="1" t="str">
        <f>HYPERLINK("https://files.afu.se/Downloads/Transcripts/0%20-%20Government/USA%20-%20NASA%20Johnson/2013 01 07 - NASA Johnson - ISS Update - Jan. 7, 2013_cykQ1vtyPkA - transcript (automated).pdf","Transcript Link")</f>
        <v>Transcript Link</v>
      </c>
      <c r="M2507" s="2" t="str">
        <f>HYPERLINK("https://files.afu.se/Downloads/Transcripts/0%20-%20Government/USA%20-%20NASA%20Johnson/2013 01 07 - NASA Johnson - ISS Update - Jan. 7, 2013_cykQ1vtyPkA - transcript (automated).pdf","Transcript Link")</f>
        <v>Transcript Link</v>
      </c>
    </row>
    <row r="2508" ht="180" spans="1:13">
      <c r="A2508" s="1" t="s">
        <v>10992</v>
      </c>
      <c r="B2508" s="1" t="s">
        <v>13</v>
      </c>
      <c r="C2508" s="4" t="s">
        <v>10993</v>
      </c>
      <c r="D2508" s="1" t="s">
        <v>10994</v>
      </c>
      <c r="E2508" s="1" t="s">
        <v>10995</v>
      </c>
      <c r="F2508" s="4" t="s">
        <v>17</v>
      </c>
      <c r="G2508" s="1" t="s">
        <v>18</v>
      </c>
      <c r="H2508" s="1" t="s">
        <v>19</v>
      </c>
      <c r="I2508" s="1" t="s">
        <v>20</v>
      </c>
      <c r="J2508" s="1" t="s">
        <v>10996</v>
      </c>
      <c r="K2508" s="1" t="s">
        <v>22</v>
      </c>
      <c r="L2508" s="1" t="str">
        <f>HYPERLINK("https://files.afu.se/Downloads/Transcripts/0%20-%20Government/USA%20-%20NASA%20Johnson/2013 01 04 - NASA Johnson - ISS Update  Weekly Recap for Jan. 4, 2013_UVWLpx5IDcA - transcript (automated).pdf","Transcript Link")</f>
        <v>Transcript Link</v>
      </c>
      <c r="M2508" s="2" t="str">
        <f>HYPERLINK("https://files.afu.se/Downloads/Transcripts/0%20-%20Government/USA%20-%20NASA%20Johnson/2013 01 04 - NASA Johnson - ISS Update  Weekly Recap for Jan. 4, 2013_UVWLpx5IDcA - transcript (automated).pdf","Transcript Link")</f>
        <v>Transcript Link</v>
      </c>
    </row>
    <row r="2509" ht="180" spans="1:13">
      <c r="A2509" s="1" t="s">
        <v>10997</v>
      </c>
      <c r="B2509" s="1" t="s">
        <v>13</v>
      </c>
      <c r="C2509" s="4" t="s">
        <v>10998</v>
      </c>
      <c r="D2509" s="1" t="s">
        <v>10999</v>
      </c>
      <c r="E2509" s="1" t="s">
        <v>11000</v>
      </c>
      <c r="F2509" s="4" t="s">
        <v>17</v>
      </c>
      <c r="G2509" s="1" t="s">
        <v>18</v>
      </c>
      <c r="H2509" s="1" t="s">
        <v>19</v>
      </c>
      <c r="I2509" s="1" t="s">
        <v>20</v>
      </c>
      <c r="J2509" s="1" t="s">
        <v>11001</v>
      </c>
      <c r="K2509" s="1" t="s">
        <v>22</v>
      </c>
      <c r="L2509" s="1" t="str">
        <f>HYPERLINK("https://files.afu.se/Downloads/Transcripts/0%20-%20Government/USA%20-%20NASA%20Johnson/2013 01 03 - NASA Johnson - ISS Update - Jan. 3, 2013_52ANeHXvKPQ - transcript (automated).pdf","Transcript Link")</f>
        <v>Transcript Link</v>
      </c>
      <c r="M2509" s="2" t="str">
        <f>HYPERLINK("https://files.afu.se/Downloads/Transcripts/0%20-%20Government/USA%20-%20NASA%20Johnson/2013 01 03 - NASA Johnson - ISS Update - Jan. 3, 2013_52ANeHXvKPQ - transcript (automated).pdf","Transcript Link")</f>
        <v>Transcript Link</v>
      </c>
    </row>
    <row r="2510" ht="180" spans="1:13">
      <c r="A2510" s="1" t="s">
        <v>11002</v>
      </c>
      <c r="B2510" s="1" t="s">
        <v>13</v>
      </c>
      <c r="C2510" s="4" t="s">
        <v>11003</v>
      </c>
      <c r="D2510" s="1" t="s">
        <v>11004</v>
      </c>
      <c r="E2510" s="1" t="s">
        <v>11005</v>
      </c>
      <c r="F2510" s="4" t="s">
        <v>17</v>
      </c>
      <c r="G2510" s="1" t="s">
        <v>18</v>
      </c>
      <c r="H2510" s="1" t="s">
        <v>19</v>
      </c>
      <c r="I2510" s="1" t="s">
        <v>20</v>
      </c>
      <c r="J2510" s="1" t="s">
        <v>11006</v>
      </c>
      <c r="K2510" s="1" t="s">
        <v>22</v>
      </c>
      <c r="L2510" s="1" t="str">
        <f>HYPERLINK("https://files.afu.se/Downloads/Transcripts/0%20-%20Government/USA%20-%20NASA%20Johnson/2013 01 02 - NASA Johnson - ISS Update - Jan. 2, 2013_HksVhjBHvI8 - transcript (automated).pdf","Transcript Link")</f>
        <v>Transcript Link</v>
      </c>
      <c r="M2510" s="2" t="str">
        <f>HYPERLINK("https://files.afu.se/Downloads/Transcripts/0%20-%20Government/USA%20-%20NASA%20Johnson/2013 01 02 - NASA Johnson - ISS Update - Jan. 2, 2013_HksVhjBHvI8 - transcript (automated).pdf","Transcript Link")</f>
        <v>Transcript Link</v>
      </c>
    </row>
    <row r="2511" ht="180" spans="1:13">
      <c r="A2511" s="1" t="s">
        <v>11007</v>
      </c>
      <c r="B2511" s="1" t="s">
        <v>13</v>
      </c>
      <c r="C2511" s="4" t="s">
        <v>11008</v>
      </c>
      <c r="D2511" s="1" t="s">
        <v>11009</v>
      </c>
      <c r="E2511" s="1" t="s">
        <v>11010</v>
      </c>
      <c r="F2511" s="4" t="s">
        <v>17</v>
      </c>
      <c r="G2511" s="1" t="s">
        <v>18</v>
      </c>
      <c r="H2511" s="1" t="s">
        <v>19</v>
      </c>
      <c r="I2511" s="1" t="s">
        <v>20</v>
      </c>
      <c r="J2511" s="1" t="s">
        <v>11011</v>
      </c>
      <c r="K2511" s="1" t="s">
        <v>22</v>
      </c>
      <c r="L2511" s="1" t="str">
        <f>HYPERLINK("https://files.afu.se/Downloads/Transcripts/0%20-%20Government/USA%20-%20NASA%20Johnson/2012 12 28 - NASA Johnson - New Year's Message From Space Station_MI8W0HS2I70 - transcript (automated).pdf","Transcript Link")</f>
        <v>Transcript Link</v>
      </c>
      <c r="M2511" s="2" t="str">
        <f>HYPERLINK("https://files.afu.se/Downloads/Transcripts/0%20-%20Government/USA%20-%20NASA%20Johnson/2012 12 28 - NASA Johnson - New Year's Message From Space Station_MI8W0HS2I70 - transcript (automated).pdf","Transcript Link")</f>
        <v>Transcript Link</v>
      </c>
    </row>
    <row r="2512" ht="180" spans="1:13">
      <c r="A2512" s="1" t="s">
        <v>11007</v>
      </c>
      <c r="B2512" s="1" t="s">
        <v>13</v>
      </c>
      <c r="C2512" s="4" t="s">
        <v>11012</v>
      </c>
      <c r="D2512" s="1" t="s">
        <v>11013</v>
      </c>
      <c r="E2512" s="1" t="s">
        <v>11014</v>
      </c>
      <c r="F2512" s="4" t="s">
        <v>17</v>
      </c>
      <c r="G2512" s="1" t="s">
        <v>18</v>
      </c>
      <c r="H2512" s="1" t="s">
        <v>19</v>
      </c>
      <c r="I2512" s="1" t="s">
        <v>20</v>
      </c>
      <c r="J2512" s="1" t="s">
        <v>11015</v>
      </c>
      <c r="K2512" s="1" t="s">
        <v>22</v>
      </c>
      <c r="L2512" s="1" t="str">
        <f>HYPERLINK("https://files.afu.se/Downloads/Transcripts/0%20-%20Government/USA%20-%20NASA%20Johnson/2012 12 28 - NASA Johnson - ISS Update  Weekly Recap for Dec. 28, 2012_yCZew8p9O0Y - transcript (automated).pdf","Transcript Link")</f>
        <v>Transcript Link</v>
      </c>
      <c r="M2512" s="2" t="str">
        <f>HYPERLINK("https://files.afu.se/Downloads/Transcripts/0%20-%20Government/USA%20-%20NASA%20Johnson/2012 12 28 - NASA Johnson - ISS Update  Weekly Recap for Dec. 28, 2012_yCZew8p9O0Y - transcript (automated).pdf","Transcript Link")</f>
        <v>Transcript Link</v>
      </c>
    </row>
    <row r="2513" ht="180" spans="1:13">
      <c r="A2513" s="1" t="s">
        <v>11016</v>
      </c>
      <c r="B2513" s="1" t="s">
        <v>13</v>
      </c>
      <c r="C2513" s="4" t="s">
        <v>11017</v>
      </c>
      <c r="D2513" s="1" t="s">
        <v>11018</v>
      </c>
      <c r="E2513" s="1" t="s">
        <v>11019</v>
      </c>
      <c r="F2513" s="4" t="s">
        <v>17</v>
      </c>
      <c r="G2513" s="1" t="s">
        <v>18</v>
      </c>
      <c r="H2513" s="1" t="s">
        <v>19</v>
      </c>
      <c r="I2513" s="1" t="s">
        <v>20</v>
      </c>
      <c r="J2513" s="1" t="s">
        <v>11020</v>
      </c>
      <c r="K2513" s="1" t="s">
        <v>22</v>
      </c>
      <c r="L2513" s="1" t="str">
        <f>HYPERLINK("https://files.afu.se/Downloads/Transcripts/0%20-%20Government/USA%20-%20NASA%20Johnson/2012 12 27 - NASA Johnson - ISS Update - Dec. 27, 2012_j-j3RjQmmZ0 - transcript (automated).pdf","Transcript Link")</f>
        <v>Transcript Link</v>
      </c>
      <c r="M2513" s="2" t="str">
        <f>HYPERLINK("https://files.afu.se/Downloads/Transcripts/0%20-%20Government/USA%20-%20NASA%20Johnson/2012 12 27 - NASA Johnson - ISS Update - Dec. 27, 2012_j-j3RjQmmZ0 - transcript (automated).pdf","Transcript Link")</f>
        <v>Transcript Link</v>
      </c>
    </row>
    <row r="2514" ht="180" spans="1:13">
      <c r="A2514" s="1" t="s">
        <v>11021</v>
      </c>
      <c r="B2514" s="1" t="s">
        <v>13</v>
      </c>
      <c r="C2514" s="4" t="s">
        <v>11022</v>
      </c>
      <c r="D2514" s="1" t="s">
        <v>11023</v>
      </c>
      <c r="E2514" s="1" t="s">
        <v>11024</v>
      </c>
      <c r="F2514" s="4" t="s">
        <v>17</v>
      </c>
      <c r="G2514" s="1" t="s">
        <v>18</v>
      </c>
      <c r="H2514" s="1" t="s">
        <v>19</v>
      </c>
      <c r="I2514" s="1" t="s">
        <v>20</v>
      </c>
      <c r="J2514" s="1" t="s">
        <v>11025</v>
      </c>
      <c r="K2514" s="1" t="s">
        <v>22</v>
      </c>
      <c r="L2514" s="1" t="str">
        <f>HYPERLINK("https://files.afu.se/Downloads/Transcripts/0%20-%20Government/USA%20-%20NASA%20Johnson/2012 12 26 - NASA Johnson - Station Crew Celebrates Christmas_pzEGn-P-id0 - transcript (automated).pdf","Transcript Link")</f>
        <v>Transcript Link</v>
      </c>
      <c r="M2514" s="2" t="str">
        <f>HYPERLINK("https://files.afu.se/Downloads/Transcripts/0%20-%20Government/USA%20-%20NASA%20Johnson/2012 12 26 - NASA Johnson - Station Crew Celebrates Christmas_pzEGn-P-id0 - transcript (automated).pdf","Transcript Link")</f>
        <v>Transcript Link</v>
      </c>
    </row>
    <row r="2515" ht="180" spans="1:13">
      <c r="A2515" s="1" t="s">
        <v>11021</v>
      </c>
      <c r="B2515" s="1" t="s">
        <v>13</v>
      </c>
      <c r="C2515" s="4" t="s">
        <v>11026</v>
      </c>
      <c r="D2515" s="1" t="s">
        <v>11027</v>
      </c>
      <c r="E2515" s="1" t="s">
        <v>11028</v>
      </c>
      <c r="F2515" s="4" t="s">
        <v>17</v>
      </c>
      <c r="G2515" s="1" t="s">
        <v>18</v>
      </c>
      <c r="H2515" s="1" t="s">
        <v>19</v>
      </c>
      <c r="I2515" s="1" t="s">
        <v>20</v>
      </c>
      <c r="J2515" s="1" t="s">
        <v>11029</v>
      </c>
      <c r="K2515" s="1" t="s">
        <v>22</v>
      </c>
      <c r="L2515" s="1" t="str">
        <f>HYPERLINK("https://files.afu.se/Downloads/Transcripts/0%20-%20Government/USA%20-%20NASA%20Johnson/2012 12 26 - NASA Johnson - ISS Update - Dec. 26, 2012_7BeyCjpB3_Y - transcript (automated).pdf","Transcript Link")</f>
        <v>Transcript Link</v>
      </c>
      <c r="M2515" s="2" t="str">
        <f>HYPERLINK("https://files.afu.se/Downloads/Transcripts/0%20-%20Government/USA%20-%20NASA%20Johnson/2012 12 26 - NASA Johnson - ISS Update - Dec. 26, 2012_7BeyCjpB3_Y - transcript (automated).pdf","Transcript Link")</f>
        <v>Transcript Link</v>
      </c>
    </row>
    <row r="2516" ht="180" spans="1:13">
      <c r="A2516" s="1" t="s">
        <v>11030</v>
      </c>
      <c r="B2516" s="1" t="s">
        <v>13</v>
      </c>
      <c r="C2516" s="4" t="s">
        <v>11031</v>
      </c>
      <c r="D2516" s="1" t="s">
        <v>11032</v>
      </c>
      <c r="E2516" s="1" t="s">
        <v>11033</v>
      </c>
      <c r="F2516" s="4" t="s">
        <v>17</v>
      </c>
      <c r="G2516" s="1" t="s">
        <v>18</v>
      </c>
      <c r="H2516" s="1" t="s">
        <v>19</v>
      </c>
      <c r="I2516" s="1" t="s">
        <v>20</v>
      </c>
      <c r="J2516" s="1" t="s">
        <v>11034</v>
      </c>
      <c r="K2516" s="1" t="s">
        <v>22</v>
      </c>
      <c r="L2516" s="1" t="str">
        <f>HYPERLINK("https://files.afu.se/Downloads/Transcripts/0%20-%20Government/USA%20-%20NASA%20Johnson/2012 12 21 - NASA Johnson - Expedition 34 Welcomes New Trio_PfQsFMRCrBQ - transcript (automated).pdf","Transcript Link")</f>
        <v>Transcript Link</v>
      </c>
      <c r="M2516" s="2" t="str">
        <f>HYPERLINK("https://files.afu.se/Downloads/Transcripts/0%20-%20Government/USA%20-%20NASA%20Johnson/2012 12 21 - NASA Johnson - Expedition 34 Welcomes New Trio_PfQsFMRCrBQ - transcript (automated).pdf","Transcript Link")</f>
        <v>Transcript Link</v>
      </c>
    </row>
    <row r="2517" ht="180" spans="1:13">
      <c r="A2517" s="1" t="s">
        <v>11030</v>
      </c>
      <c r="B2517" s="1" t="s">
        <v>13</v>
      </c>
      <c r="C2517" s="4" t="s">
        <v>11035</v>
      </c>
      <c r="D2517" s="1" t="s">
        <v>11036</v>
      </c>
      <c r="E2517" s="1" t="s">
        <v>11037</v>
      </c>
      <c r="F2517" s="4" t="s">
        <v>17</v>
      </c>
      <c r="G2517" s="1" t="s">
        <v>18</v>
      </c>
      <c r="H2517" s="1" t="s">
        <v>19</v>
      </c>
      <c r="I2517" s="1" t="s">
        <v>20</v>
      </c>
      <c r="J2517" s="1" t="s">
        <v>11038</v>
      </c>
      <c r="K2517" s="1" t="s">
        <v>22</v>
      </c>
      <c r="L2517" s="1" t="str">
        <f>HYPERLINK("https://files.afu.se/Downloads/Transcripts/0%20-%20Government/USA%20-%20NASA%20Johnson/2012 12 21 - NASA Johnson - Expedition 34 Crew Profile_eWliKjdsvoU - transcript (automated).pdf","Transcript Link")</f>
        <v>Transcript Link</v>
      </c>
      <c r="M2517" s="2" t="str">
        <f>HYPERLINK("https://files.afu.se/Downloads/Transcripts/0%20-%20Government/USA%20-%20NASA%20Johnson/2012 12 21 - NASA Johnson - Expedition 34 Crew Profile_eWliKjdsvoU - transcript (automated).pdf","Transcript Link")</f>
        <v>Transcript Link</v>
      </c>
    </row>
    <row r="2518" ht="180" spans="1:13">
      <c r="A2518" s="1" t="s">
        <v>11039</v>
      </c>
      <c r="B2518" s="1" t="s">
        <v>13</v>
      </c>
      <c r="C2518" s="4" t="s">
        <v>11040</v>
      </c>
      <c r="D2518" s="1" t="s">
        <v>11041</v>
      </c>
      <c r="E2518" s="1" t="s">
        <v>11042</v>
      </c>
      <c r="F2518" s="4" t="s">
        <v>17</v>
      </c>
      <c r="G2518" s="1" t="s">
        <v>18</v>
      </c>
      <c r="H2518" s="1" t="s">
        <v>19</v>
      </c>
      <c r="I2518" s="1" t="s">
        <v>20</v>
      </c>
      <c r="J2518" s="1" t="s">
        <v>11043</v>
      </c>
      <c r="K2518" s="1" t="s">
        <v>22</v>
      </c>
      <c r="L2518" s="1" t="str">
        <f>HYPERLINK("https://files.afu.se/Downloads/Transcripts/0%20-%20Government/USA%20-%20NASA%20Johnson/2012 12 20 - NASA Johnson - Station Crew Training Integrator Talks With Students_zCgdN-rraFo - transcript (automated).pdf","Transcript Link")</f>
        <v>Transcript Link</v>
      </c>
      <c r="M2518" s="2" t="str">
        <f>HYPERLINK("https://files.afu.se/Downloads/Transcripts/0%20-%20Government/USA%20-%20NASA%20Johnson/2012 12 20 - NASA Johnson - Station Crew Training Integrator Talks With Students_zCgdN-rraFo - transcript (automated).pdf","Transcript Link")</f>
        <v>Transcript Link</v>
      </c>
    </row>
    <row r="2519" ht="180" spans="1:13">
      <c r="A2519" s="1" t="s">
        <v>11039</v>
      </c>
      <c r="B2519" s="1" t="s">
        <v>13</v>
      </c>
      <c r="C2519" s="4" t="s">
        <v>11044</v>
      </c>
      <c r="D2519" s="1" t="s">
        <v>11045</v>
      </c>
      <c r="E2519" s="1" t="s">
        <v>11046</v>
      </c>
      <c r="F2519" s="4" t="s">
        <v>17</v>
      </c>
      <c r="G2519" s="1" t="s">
        <v>18</v>
      </c>
      <c r="H2519" s="1" t="s">
        <v>19</v>
      </c>
      <c r="I2519" s="1" t="s">
        <v>20</v>
      </c>
      <c r="J2519" s="1" t="s">
        <v>11047</v>
      </c>
      <c r="K2519" s="1" t="s">
        <v>22</v>
      </c>
      <c r="L2519" s="1" t="str">
        <f>HYPERLINK("https://files.afu.se/Downloads/Transcripts/0%20-%20Government/USA%20-%20NASA%20Johnson/2012 12 20 - NASA Johnson - ISS Update  How Canada and NASA Work Together to Support the Station_ll9i9pI1kbg - transcript (automated).pdf","Transcript Link")</f>
        <v>Transcript Link</v>
      </c>
      <c r="M2519" s="2" t="str">
        <f>HYPERLINK("https://files.afu.se/Downloads/Transcripts/0%20-%20Government/USA%20-%20NASA%20Johnson/2012 12 20 - NASA Johnson - ISS Update  How Canada and NASA Work Together to Support the Station_ll9i9pI1kbg - transcript (automated).pdf","Transcript Link")</f>
        <v>Transcript Link</v>
      </c>
    </row>
    <row r="2520" ht="180" spans="1:13">
      <c r="A2520" s="1" t="s">
        <v>11039</v>
      </c>
      <c r="B2520" s="1" t="s">
        <v>13</v>
      </c>
      <c r="C2520" s="4" t="s">
        <v>11048</v>
      </c>
      <c r="D2520" s="1" t="s">
        <v>11049</v>
      </c>
      <c r="E2520" s="1" t="s">
        <v>11050</v>
      </c>
      <c r="F2520" s="4" t="s">
        <v>17</v>
      </c>
      <c r="G2520" s="1" t="s">
        <v>18</v>
      </c>
      <c r="H2520" s="1" t="s">
        <v>19</v>
      </c>
      <c r="I2520" s="1" t="s">
        <v>20</v>
      </c>
      <c r="J2520" s="1" t="s">
        <v>11051</v>
      </c>
      <c r="K2520" s="1" t="s">
        <v>22</v>
      </c>
      <c r="L2520" s="1" t="str">
        <f>HYPERLINK("https://files.afu.se/Downloads/Transcripts/0%20-%20Government/USA%20-%20NASA%20Johnson/2012 12 20 - NASA Johnson - ISS Update - Dec. 20, 2012_tng5OEkw9mE - transcript (automated).pdf","Transcript Link")</f>
        <v>Transcript Link</v>
      </c>
      <c r="M2520" s="2" t="str">
        <f>HYPERLINK("https://files.afu.se/Downloads/Transcripts/0%20-%20Government/USA%20-%20NASA%20Johnson/2012 12 20 - NASA Johnson - ISS Update - Dec. 20, 2012_tng5OEkw9mE - transcript (automated).pdf","Transcript Link")</f>
        <v>Transcript Link</v>
      </c>
    </row>
    <row r="2521" ht="405" spans="1:13">
      <c r="A2521" s="1" t="s">
        <v>11052</v>
      </c>
      <c r="B2521" s="1" t="s">
        <v>13</v>
      </c>
      <c r="C2521" s="4" t="s">
        <v>11053</v>
      </c>
      <c r="D2521" s="1" t="s">
        <v>11054</v>
      </c>
      <c r="E2521" s="1" t="s">
        <v>11055</v>
      </c>
      <c r="F2521" s="4" t="s">
        <v>17</v>
      </c>
      <c r="G2521" s="1" t="s">
        <v>18</v>
      </c>
      <c r="H2521" s="1" t="s">
        <v>19</v>
      </c>
      <c r="I2521" s="1" t="s">
        <v>20</v>
      </c>
      <c r="J2521" s="1" t="s">
        <v>11056</v>
      </c>
      <c r="K2521" s="1" t="s">
        <v>22</v>
      </c>
      <c r="L2521" s="1" t="str">
        <f>HYPERLINK("https://files.afu.se/Downloads/Transcripts/0%20-%20Government/USA%20-%20NASA%20Johnson/2012 12 19 - NASA Johnson - ISS Update  Plants in Space_xLYeZKDv0Ig - transcript (automated).pdf","Transcript Link")</f>
        <v>Transcript Link</v>
      </c>
      <c r="M2521" s="2" t="str">
        <f>HYPERLINK("https://files.afu.se/Downloads/Transcripts/0%20-%20Government/USA%20-%20NASA%20Johnson/2012 12 19 - NASA Johnson - ISS Update  Plants in Space_xLYeZKDv0Ig - transcript (automated).pdf","Transcript Link")</f>
        <v>Transcript Link</v>
      </c>
    </row>
    <row r="2522" ht="180" spans="1:13">
      <c r="A2522" s="1" t="s">
        <v>11052</v>
      </c>
      <c r="B2522" s="1" t="s">
        <v>13</v>
      </c>
      <c r="C2522" s="4" t="s">
        <v>11057</v>
      </c>
      <c r="D2522" s="1" t="s">
        <v>11058</v>
      </c>
      <c r="E2522" s="1" t="s">
        <v>11059</v>
      </c>
      <c r="F2522" s="4" t="s">
        <v>17</v>
      </c>
      <c r="G2522" s="1" t="s">
        <v>18</v>
      </c>
      <c r="H2522" s="1" t="s">
        <v>19</v>
      </c>
      <c r="I2522" s="1" t="s">
        <v>20</v>
      </c>
      <c r="J2522" s="1" t="s">
        <v>11060</v>
      </c>
      <c r="K2522" s="1" t="s">
        <v>22</v>
      </c>
      <c r="L2522" s="1" t="str">
        <f>HYPERLINK("https://files.afu.se/Downloads/Transcripts/0%20-%20Government/USA%20-%20NASA%20Johnson/2012 12 19 - NASA Johnson - New Expedition 34 Trio Makes Final Preparations Before Launch_NIIuweV1JYw - transcript (automated).pdf","Transcript Link")</f>
        <v>Transcript Link</v>
      </c>
      <c r="M2522" s="2" t="str">
        <f>HYPERLINK("https://files.afu.se/Downloads/Transcripts/0%20-%20Government/USA%20-%20NASA%20Johnson/2012 12 19 - NASA Johnson - New Expedition 34 Trio Makes Final Preparations Before Launch_NIIuweV1JYw - transcript (automated).pdf","Transcript Link")</f>
        <v>Transcript Link</v>
      </c>
    </row>
    <row r="2523" ht="180" spans="1:13">
      <c r="A2523" s="1" t="s">
        <v>11052</v>
      </c>
      <c r="B2523" s="1" t="s">
        <v>13</v>
      </c>
      <c r="C2523" s="4" t="s">
        <v>11061</v>
      </c>
      <c r="D2523" s="1" t="s">
        <v>11062</v>
      </c>
      <c r="E2523" s="1" t="s">
        <v>11063</v>
      </c>
      <c r="F2523" s="4" t="s">
        <v>17</v>
      </c>
      <c r="G2523" s="1" t="s">
        <v>18</v>
      </c>
      <c r="H2523" s="1" t="s">
        <v>19</v>
      </c>
      <c r="I2523" s="1" t="s">
        <v>20</v>
      </c>
      <c r="J2523" s="1" t="s">
        <v>11064</v>
      </c>
      <c r="K2523" s="1" t="s">
        <v>22</v>
      </c>
      <c r="L2523" s="1" t="str">
        <f>HYPERLINK("https://files.afu.se/Downloads/Transcripts/0%20-%20Government/USA%20-%20NASA%20Johnson/2012 12 19 - NASA Johnson - New Trio Launches to Join Expedition 34_gKlL4ohKaDU - transcript (automated).pdf","Transcript Link")</f>
        <v>Transcript Link</v>
      </c>
      <c r="M2523" s="2" t="str">
        <f>HYPERLINK("https://files.afu.se/Downloads/Transcripts/0%20-%20Government/USA%20-%20NASA%20Johnson/2012 12 19 - NASA Johnson - New Trio Launches to Join Expedition 34_gKlL4ohKaDU - transcript (automated).pdf","Transcript Link")</f>
        <v>Transcript Link</v>
      </c>
    </row>
    <row r="2524" ht="180" spans="1:13">
      <c r="A2524" s="1" t="s">
        <v>11065</v>
      </c>
      <c r="B2524" s="1" t="s">
        <v>13</v>
      </c>
      <c r="C2524" s="4" t="s">
        <v>11066</v>
      </c>
      <c r="D2524" s="1" t="s">
        <v>11067</v>
      </c>
      <c r="E2524" s="1" t="s">
        <v>11068</v>
      </c>
      <c r="F2524" s="4" t="s">
        <v>17</v>
      </c>
      <c r="G2524" s="1" t="s">
        <v>18</v>
      </c>
      <c r="H2524" s="1" t="s">
        <v>19</v>
      </c>
      <c r="I2524" s="1" t="s">
        <v>20</v>
      </c>
      <c r="J2524" s="1" t="s">
        <v>11069</v>
      </c>
      <c r="K2524" s="1" t="s">
        <v>22</v>
      </c>
      <c r="L2524" s="1" t="str">
        <f>HYPERLINK("https://files.afu.se/Downloads/Transcripts/0%20-%20Government/USA%20-%20NASA%20Johnson/2012 12 18 - NASA Johnson - Commander Kevin Ford Offers Holiday Greetings from Space_ROzCgKtsGTQ - transcript (automated).pdf","Transcript Link")</f>
        <v>Transcript Link</v>
      </c>
      <c r="M2524" s="2" t="str">
        <f>HYPERLINK("https://files.afu.se/Downloads/Transcripts/0%20-%20Government/USA%20-%20NASA%20Johnson/2012 12 18 - NASA Johnson - Commander Kevin Ford Offers Holiday Greetings from Space_ROzCgKtsGTQ - transcript (automated).pdf","Transcript Link")</f>
        <v>Transcript Link</v>
      </c>
    </row>
    <row r="2525" ht="180" spans="1:13">
      <c r="A2525" s="1" t="s">
        <v>11065</v>
      </c>
      <c r="B2525" s="1" t="s">
        <v>13</v>
      </c>
      <c r="C2525" s="4" t="s">
        <v>11070</v>
      </c>
      <c r="D2525" s="1" t="s">
        <v>11071</v>
      </c>
      <c r="E2525" s="1" t="s">
        <v>11072</v>
      </c>
      <c r="F2525" s="4" t="s">
        <v>17</v>
      </c>
      <c r="G2525" s="1" t="s">
        <v>18</v>
      </c>
      <c r="H2525" s="1" t="s">
        <v>19</v>
      </c>
      <c r="I2525" s="1" t="s">
        <v>20</v>
      </c>
      <c r="J2525" s="1" t="s">
        <v>11073</v>
      </c>
      <c r="K2525" s="1" t="s">
        <v>22</v>
      </c>
      <c r="L2525" s="1" t="str">
        <f>HYPERLINK("https://files.afu.se/Downloads/Transcripts/0%20-%20Government/USA%20-%20NASA%20Johnson/2012 12 18 - NASA Johnson - Flight Engineer Chris Hadfield Offers Holiday Greetings from Russia (French version)_U_e7lbeAv9Q - transcript (automated).pdf","Transcript Link")</f>
        <v>Transcript Link</v>
      </c>
      <c r="M2525" s="2" t="str">
        <f>HYPERLINK("https://files.afu.se/Downloads/Transcripts/0%20-%20Government/USA%20-%20NASA%20Johnson/2012 12 18 - NASA Johnson - Flight Engineer Chris Hadfield Offers Holiday Greetings from Russia (French version)_U_e7lbeAv9Q - transcript (automated).pdf","Transcript Link")</f>
        <v>Transcript Link</v>
      </c>
    </row>
    <row r="2526" ht="180" spans="1:13">
      <c r="A2526" s="1" t="s">
        <v>11065</v>
      </c>
      <c r="B2526" s="1" t="s">
        <v>13</v>
      </c>
      <c r="C2526" s="4" t="s">
        <v>11074</v>
      </c>
      <c r="D2526" s="1" t="s">
        <v>11075</v>
      </c>
      <c r="E2526" s="1" t="s">
        <v>11072</v>
      </c>
      <c r="F2526" s="4" t="s">
        <v>17</v>
      </c>
      <c r="G2526" s="1" t="s">
        <v>18</v>
      </c>
      <c r="H2526" s="1" t="s">
        <v>19</v>
      </c>
      <c r="I2526" s="1" t="s">
        <v>20</v>
      </c>
      <c r="J2526" s="1" t="s">
        <v>11076</v>
      </c>
      <c r="K2526" s="1" t="s">
        <v>22</v>
      </c>
      <c r="L2526" s="1" t="str">
        <f>HYPERLINK("https://files.afu.se/Downloads/Transcripts/0%20-%20Government/USA%20-%20NASA%20Johnson/2012 12 18 - NASA Johnson - Flight Engineer Chris Hadfield Offers Holiday Greetings from Russia (English version)_wxDbL81pW70 - transcript (automated).pdf","Transcript Link")</f>
        <v>Transcript Link</v>
      </c>
      <c r="M2526" s="2" t="str">
        <f>HYPERLINK("https://files.afu.se/Downloads/Transcripts/0%20-%20Government/USA%20-%20NASA%20Johnson/2012 12 18 - NASA Johnson - Flight Engineer Chris Hadfield Offers Holiday Greetings from Russia (English version)_wxDbL81pW70 - transcript (automated).pdf","Transcript Link")</f>
        <v>Transcript Link</v>
      </c>
    </row>
    <row r="2527" ht="180" spans="1:13">
      <c r="A2527" s="1" t="s">
        <v>11065</v>
      </c>
      <c r="B2527" s="1" t="s">
        <v>13</v>
      </c>
      <c r="C2527" s="4" t="s">
        <v>11077</v>
      </c>
      <c r="D2527" s="1" t="s">
        <v>11078</v>
      </c>
      <c r="E2527" s="1" t="s">
        <v>11079</v>
      </c>
      <c r="F2527" s="4" t="s">
        <v>17</v>
      </c>
      <c r="G2527" s="1" t="s">
        <v>18</v>
      </c>
      <c r="H2527" s="1" t="s">
        <v>19</v>
      </c>
      <c r="I2527" s="1" t="s">
        <v>20</v>
      </c>
      <c r="J2527" s="1" t="s">
        <v>11080</v>
      </c>
      <c r="K2527" s="1" t="s">
        <v>22</v>
      </c>
      <c r="L2527" s="1" t="str">
        <f>HYPERLINK("https://files.afu.se/Downloads/Transcripts/0%20-%20Government/USA%20-%20NASA%20Johnson/2012 12 18 - NASA Johnson - Flight Engineer Tom Marshburn Offers Holiday Greetings from Russia_HfuUFBQIdfg - transcript (automated).pdf","Transcript Link")</f>
        <v>Transcript Link</v>
      </c>
      <c r="M2527" s="2" t="str">
        <f>HYPERLINK("https://files.afu.se/Downloads/Transcripts/0%20-%20Government/USA%20-%20NASA%20Johnson/2012 12 18 - NASA Johnson - Flight Engineer Tom Marshburn Offers Holiday Greetings from Russia_HfuUFBQIdfg - transcript (automated).pdf","Transcript Link")</f>
        <v>Transcript Link</v>
      </c>
    </row>
    <row r="2528" ht="180" spans="1:13">
      <c r="A2528" s="1" t="s">
        <v>11065</v>
      </c>
      <c r="B2528" s="1" t="s">
        <v>13</v>
      </c>
      <c r="C2528" s="4" t="s">
        <v>11081</v>
      </c>
      <c r="D2528" s="1" t="s">
        <v>11082</v>
      </c>
      <c r="E2528" s="1" t="s">
        <v>11083</v>
      </c>
      <c r="F2528" s="4" t="s">
        <v>17</v>
      </c>
      <c r="G2528" s="1" t="s">
        <v>18</v>
      </c>
      <c r="H2528" s="1" t="s">
        <v>19</v>
      </c>
      <c r="I2528" s="1" t="s">
        <v>20</v>
      </c>
      <c r="J2528" s="1" t="s">
        <v>11084</v>
      </c>
      <c r="K2528" s="1" t="s">
        <v>22</v>
      </c>
      <c r="L2528" s="1" t="str">
        <f>HYPERLINK("https://files.afu.se/Downloads/Transcripts/0%20-%20Government/USA%20-%20NASA%20Johnson/2012 12 18 - NASA Johnson - ISS Update - Dec. 18, 2012_jl2LgoCwypg - transcript (automated).pdf","Transcript Link")</f>
        <v>Transcript Link</v>
      </c>
      <c r="M2528" s="2" t="str">
        <f>HYPERLINK("https://files.afu.se/Downloads/Transcripts/0%20-%20Government/USA%20-%20NASA%20Johnson/2012 12 18 - NASA Johnson - ISS Update - Dec. 18, 2012_jl2LgoCwypg - transcript (automated).pdf","Transcript Link")</f>
        <v>Transcript Link</v>
      </c>
    </row>
    <row r="2529" ht="225" spans="1:13">
      <c r="A2529" s="1" t="s">
        <v>11085</v>
      </c>
      <c r="B2529" s="1" t="s">
        <v>13</v>
      </c>
      <c r="C2529" s="4" t="s">
        <v>11086</v>
      </c>
      <c r="D2529" s="1" t="s">
        <v>11087</v>
      </c>
      <c r="E2529" s="1" t="s">
        <v>11088</v>
      </c>
      <c r="F2529" s="4" t="s">
        <v>17</v>
      </c>
      <c r="G2529" s="1" t="s">
        <v>18</v>
      </c>
      <c r="H2529" s="1" t="s">
        <v>19</v>
      </c>
      <c r="I2529" s="1" t="s">
        <v>20</v>
      </c>
      <c r="J2529" s="1" t="s">
        <v>11089</v>
      </c>
      <c r="K2529" s="1" t="s">
        <v>22</v>
      </c>
      <c r="L2529" s="1" t="str">
        <f>HYPERLINK("https://files.afu.se/Downloads/Transcripts/0%20-%20Government/USA%20-%20NASA%20Johnson/2012 12 17 - NASA Johnson - ISS Update  Integrating International Training for the Crew_EbQrLoFiutk - transcript (automated).pdf","Transcript Link")</f>
        <v>Transcript Link</v>
      </c>
      <c r="M2529" s="2" t="str">
        <f>HYPERLINK("https://files.afu.se/Downloads/Transcripts/0%20-%20Government/USA%20-%20NASA%20Johnson/2012 12 17 - NASA Johnson - ISS Update  Integrating International Training for the Crew_EbQrLoFiutk - transcript (automated).pdf","Transcript Link")</f>
        <v>Transcript Link</v>
      </c>
    </row>
    <row r="2530" ht="180" spans="1:13">
      <c r="A2530" s="1" t="s">
        <v>11085</v>
      </c>
      <c r="B2530" s="1" t="s">
        <v>13</v>
      </c>
      <c r="C2530" s="4" t="s">
        <v>11090</v>
      </c>
      <c r="D2530" s="1" t="s">
        <v>11091</v>
      </c>
      <c r="E2530" s="1" t="s">
        <v>11092</v>
      </c>
      <c r="F2530" s="4" t="s">
        <v>17</v>
      </c>
      <c r="G2530" s="1" t="s">
        <v>18</v>
      </c>
      <c r="H2530" s="1" t="s">
        <v>19</v>
      </c>
      <c r="I2530" s="1" t="s">
        <v>20</v>
      </c>
      <c r="J2530" s="1" t="s">
        <v>11093</v>
      </c>
      <c r="K2530" s="1" t="s">
        <v>22</v>
      </c>
      <c r="L2530" s="1" t="str">
        <f>HYPERLINK("https://files.afu.se/Downloads/Transcripts/0%20-%20Government/USA%20-%20NASA%20Johnson/2012 12 17 - NASA Johnson - ISS Update - Dec. 17, 2012_uIL9CStXN0c - transcript (automated).pdf","Transcript Link")</f>
        <v>Transcript Link</v>
      </c>
      <c r="M2530" s="2" t="str">
        <f>HYPERLINK("https://files.afu.se/Downloads/Transcripts/0%20-%20Government/USA%20-%20NASA%20Johnson/2012 12 17 - NASA Johnson - ISS Update - Dec. 17, 2012_uIL9CStXN0c - transcript (automated).pdf","Transcript Link")</f>
        <v>Transcript Link</v>
      </c>
    </row>
    <row r="2531" ht="180" spans="1:13">
      <c r="A2531" s="1" t="s">
        <v>11094</v>
      </c>
      <c r="B2531" s="1" t="s">
        <v>13</v>
      </c>
      <c r="C2531" s="4" t="s">
        <v>11095</v>
      </c>
      <c r="D2531" s="1" t="s">
        <v>11096</v>
      </c>
      <c r="E2531" s="1" t="s">
        <v>11097</v>
      </c>
      <c r="F2531" s="4" t="s">
        <v>17</v>
      </c>
      <c r="G2531" s="1" t="s">
        <v>18</v>
      </c>
      <c r="H2531" s="1" t="s">
        <v>19</v>
      </c>
      <c r="I2531" s="1" t="s">
        <v>20</v>
      </c>
      <c r="J2531" s="1" t="s">
        <v>11098</v>
      </c>
      <c r="K2531" s="1" t="s">
        <v>22</v>
      </c>
      <c r="L2531" s="1" t="str">
        <f>HYPERLINK("https://files.afu.se/Downloads/Transcripts/0%20-%20Government/USA%20-%20NASA%20Johnson/2012 12 14 - NASA Johnson - Environmental Scientist Chemist Dan Gazda Speaks With Students_Nzm3aaxTXUs - transcript (automated).pdf","Transcript Link")</f>
        <v>Transcript Link</v>
      </c>
      <c r="M2531" s="2" t="str">
        <f>HYPERLINK("https://files.afu.se/Downloads/Transcripts/0%20-%20Government/USA%20-%20NASA%20Johnson/2012 12 14 - NASA Johnson - Environmental Scientist Chemist Dan Gazda Speaks With Students_Nzm3aaxTXUs - transcript (automated).pdf","Transcript Link")</f>
        <v>Transcript Link</v>
      </c>
    </row>
    <row r="2532" ht="240" spans="1:13">
      <c r="A2532" s="1" t="s">
        <v>11094</v>
      </c>
      <c r="B2532" s="1" t="s">
        <v>13</v>
      </c>
      <c r="C2532" s="4" t="s">
        <v>11099</v>
      </c>
      <c r="D2532" s="1" t="s">
        <v>11100</v>
      </c>
      <c r="E2532" s="1" t="s">
        <v>11101</v>
      </c>
      <c r="F2532" s="4" t="s">
        <v>17</v>
      </c>
      <c r="G2532" s="1" t="s">
        <v>18</v>
      </c>
      <c r="H2532" s="1" t="s">
        <v>19</v>
      </c>
      <c r="I2532" s="1" t="s">
        <v>20</v>
      </c>
      <c r="J2532" s="1" t="s">
        <v>11102</v>
      </c>
      <c r="K2532" s="1" t="s">
        <v>22</v>
      </c>
      <c r="L2532" s="1" t="str">
        <f>HYPERLINK("https://files.afu.se/Downloads/Transcripts/0%20-%20Government/USA%20-%20NASA%20Johnson/2012 12 14 - NASA Johnson - iSS_vPHM-rR4wN4 - transcript (automated).pdf","Transcript Link")</f>
        <v>Transcript Link</v>
      </c>
      <c r="M2532" s="2" t="str">
        <f>HYPERLINK("https://files.afu.se/Downloads/Transcripts/0%20-%20Government/USA%20-%20NASA%20Johnson/2012 12 14 - NASA Johnson - iSS_vPHM-rR4wN4 - transcript (automated).pdf","Transcript Link")</f>
        <v>Transcript Link</v>
      </c>
    </row>
    <row r="2533" ht="409.5" spans="1:13">
      <c r="A2533" s="1" t="s">
        <v>11094</v>
      </c>
      <c r="B2533" s="1" t="s">
        <v>13</v>
      </c>
      <c r="C2533" s="4" t="s">
        <v>11103</v>
      </c>
      <c r="D2533" s="1" t="s">
        <v>11104</v>
      </c>
      <c r="E2533" s="1" t="s">
        <v>11105</v>
      </c>
      <c r="F2533" s="4" t="s">
        <v>17</v>
      </c>
      <c r="G2533" s="1" t="s">
        <v>18</v>
      </c>
      <c r="H2533" s="1" t="s">
        <v>19</v>
      </c>
      <c r="I2533" s="1" t="s">
        <v>20</v>
      </c>
      <c r="J2533" s="1" t="s">
        <v>11106</v>
      </c>
      <c r="K2533" s="1" t="s">
        <v>22</v>
      </c>
      <c r="L2533" s="1" t="str">
        <f>HYPERLINK("https://files.afu.se/Downloads/Transcripts/0%20-%20Government/USA%20-%20NASA%20Johnson/2012 12 14 - NASA Johnson - ISS Update  Nutrition Manager Talks About Children's Book  Space Nutrition _scO2FD-Ku2o - transcript (automated).pdf","Transcript Link")</f>
        <v>Transcript Link</v>
      </c>
      <c r="M2533" s="2" t="str">
        <f>HYPERLINK("https://files.afu.se/Downloads/Transcripts/0%20-%20Government/USA%20-%20NASA%20Johnson/2012 12 14 - NASA Johnson - ISS Update  Nutrition Manager Talks About Children's Book  Space Nutrition _scO2FD-Ku2o - transcript (automated).pdf","Transcript Link")</f>
        <v>Transcript Link</v>
      </c>
    </row>
    <row r="2534" ht="180" spans="1:13">
      <c r="A2534" s="1" t="s">
        <v>11094</v>
      </c>
      <c r="B2534" s="1" t="s">
        <v>13</v>
      </c>
      <c r="C2534" s="4" t="s">
        <v>11107</v>
      </c>
      <c r="D2534" s="1" t="s">
        <v>11108</v>
      </c>
      <c r="E2534" s="1" t="s">
        <v>11109</v>
      </c>
      <c r="F2534" s="4" t="s">
        <v>17</v>
      </c>
      <c r="G2534" s="1" t="s">
        <v>18</v>
      </c>
      <c r="H2534" s="1" t="s">
        <v>19</v>
      </c>
      <c r="I2534" s="1" t="s">
        <v>20</v>
      </c>
      <c r="J2534" s="1" t="s">
        <v>11110</v>
      </c>
      <c r="K2534" s="1" t="s">
        <v>22</v>
      </c>
      <c r="L2534" s="1" t="str">
        <f>HYPERLINK("https://files.afu.se/Downloads/Transcripts/0%20-%20Government/USA%20-%20NASA%20Johnson/2012 12 14 - NASA Johnson - Expedition 34 Crew Prepares for Soyuz Launch_xEaPpLW_ybY - transcript (automated).pdf","Transcript Link")</f>
        <v>Transcript Link</v>
      </c>
      <c r="M2534" s="2" t="str">
        <f>HYPERLINK("https://files.afu.se/Downloads/Transcripts/0%20-%20Government/USA%20-%20NASA%20Johnson/2012 12 14 - NASA Johnson - Expedition 34 Crew Prepares for Soyuz Launch_xEaPpLW_ybY - transcript (automated).pdf","Transcript Link")</f>
        <v>Transcript Link</v>
      </c>
    </row>
    <row r="2535" ht="409.5" spans="1:13">
      <c r="A2535" s="1" t="s">
        <v>11094</v>
      </c>
      <c r="B2535" s="1" t="s">
        <v>13</v>
      </c>
      <c r="C2535" s="4" t="s">
        <v>11111</v>
      </c>
      <c r="D2535" s="1" t="s">
        <v>11112</v>
      </c>
      <c r="E2535" s="1" t="s">
        <v>11113</v>
      </c>
      <c r="F2535" s="4" t="s">
        <v>17</v>
      </c>
      <c r="G2535" s="1" t="s">
        <v>18</v>
      </c>
      <c r="H2535" s="1" t="s">
        <v>19</v>
      </c>
      <c r="I2535" s="1" t="s">
        <v>20</v>
      </c>
      <c r="J2535" s="1" t="s">
        <v>11114</v>
      </c>
      <c r="K2535" s="1" t="s">
        <v>22</v>
      </c>
      <c r="L2535" s="1" t="str">
        <f>HYPERLINK("https://files.afu.se/Downloads/Transcripts/0%20-%20Government/USA%20-%20NASA%20Johnson/2012 12 14 - NASA Johnson - NASA Johnson Style (Gangnam Style Parody)_2Sar5WT76kE - transcript (automated).pdf","Transcript Link")</f>
        <v>Transcript Link</v>
      </c>
      <c r="M2535" s="2" t="str">
        <f>HYPERLINK("https://files.afu.se/Downloads/Transcripts/0%20-%20Government/USA%20-%20NASA%20Johnson/2012 12 14 - NASA Johnson - NASA Johnson Style (Gangnam Style Parody)_2Sar5WT76kE - transcript (automated).pdf","Transcript Link")</f>
        <v>Transcript Link</v>
      </c>
    </row>
    <row r="2536" ht="180" spans="1:13">
      <c r="A2536" s="1" t="s">
        <v>11094</v>
      </c>
      <c r="B2536" s="1" t="s">
        <v>13</v>
      </c>
      <c r="C2536" s="4" t="s">
        <v>11115</v>
      </c>
      <c r="D2536" s="1" t="s">
        <v>11116</v>
      </c>
      <c r="E2536" s="1" t="s">
        <v>11117</v>
      </c>
      <c r="F2536" s="4" t="s">
        <v>17</v>
      </c>
      <c r="G2536" s="1" t="s">
        <v>18</v>
      </c>
      <c r="H2536" s="1" t="s">
        <v>19</v>
      </c>
      <c r="I2536" s="1" t="s">
        <v>20</v>
      </c>
      <c r="J2536" s="1" t="s">
        <v>11118</v>
      </c>
      <c r="K2536" s="1" t="s">
        <v>22</v>
      </c>
      <c r="L2536" s="1" t="str">
        <f>HYPERLINK("https://files.afu.se/Downloads/Transcripts/0%20-%20Government/USA%20-%20NASA%20Johnson/2012 12 14 - NASA Johnson - ISS Update  Weekly Recap for Dec. 14, 2012_lD3YK5W_GEE - transcript (automated).pdf","Transcript Link")</f>
        <v>Transcript Link</v>
      </c>
      <c r="M2536" s="2" t="str">
        <f>HYPERLINK("https://files.afu.se/Downloads/Transcripts/0%20-%20Government/USA%20-%20NASA%20Johnson/2012 12 14 - NASA Johnson - ISS Update  Weekly Recap for Dec. 14, 2012_lD3YK5W_GEE - transcript (automated).pdf","Transcript Link")</f>
        <v>Transcript Link</v>
      </c>
    </row>
    <row r="2537" ht="180" spans="1:13">
      <c r="A2537" s="1" t="s">
        <v>11119</v>
      </c>
      <c r="B2537" s="1" t="s">
        <v>13</v>
      </c>
      <c r="C2537" s="4" t="s">
        <v>11120</v>
      </c>
      <c r="D2537" s="1" t="s">
        <v>11121</v>
      </c>
      <c r="E2537" s="1" t="s">
        <v>11122</v>
      </c>
      <c r="F2537" s="4" t="s">
        <v>17</v>
      </c>
      <c r="G2537" s="1" t="s">
        <v>18</v>
      </c>
      <c r="H2537" s="1" t="s">
        <v>19</v>
      </c>
      <c r="I2537" s="1" t="s">
        <v>20</v>
      </c>
      <c r="J2537" s="1" t="s">
        <v>11123</v>
      </c>
      <c r="K2537" s="1" t="s">
        <v>22</v>
      </c>
      <c r="L2537" s="1" t="str">
        <f>HYPERLINK("https://files.afu.se/Downloads/Transcripts/0%20-%20Government/USA%20-%20NASA%20Johnson/2012 12 13 - NASA Johnson - ISS Update - Dec. 13, 2012_8sWDEmYuiRQ - transcript (automated).pdf","Transcript Link")</f>
        <v>Transcript Link</v>
      </c>
      <c r="M2537" s="2" t="str">
        <f>HYPERLINK("https://files.afu.se/Downloads/Transcripts/0%20-%20Government/USA%20-%20NASA%20Johnson/2012 12 13 - NASA Johnson - ISS Update - Dec. 13, 2012_8sWDEmYuiRQ - transcript (automated).pdf","Transcript Link")</f>
        <v>Transcript Link</v>
      </c>
    </row>
    <row r="2538" ht="180" spans="1:13">
      <c r="A2538" s="1" t="s">
        <v>11119</v>
      </c>
      <c r="B2538" s="1" t="s">
        <v>13</v>
      </c>
      <c r="C2538" s="4" t="s">
        <v>11124</v>
      </c>
      <c r="D2538" s="1" t="s">
        <v>11125</v>
      </c>
      <c r="E2538" s="1" t="s">
        <v>11126</v>
      </c>
      <c r="F2538" s="4" t="s">
        <v>17</v>
      </c>
      <c r="G2538" s="1" t="s">
        <v>18</v>
      </c>
      <c r="H2538" s="1" t="s">
        <v>19</v>
      </c>
      <c r="I2538" s="1" t="s">
        <v>20</v>
      </c>
      <c r="J2538" s="1" t="s">
        <v>11127</v>
      </c>
      <c r="K2538" s="1" t="s">
        <v>22</v>
      </c>
      <c r="L2538" s="1" t="str">
        <f>HYPERLINK("https://files.afu.se/Downloads/Transcripts/0%20-%20Government/USA%20-%20NASA%20Johnson/2012 12 13 - NASA Johnson - ISS Update  SPHERES with Telerobotics Project Manager Terry Fong_Fsdis4DRxDA - transcript (automated).pdf","Transcript Link")</f>
        <v>Transcript Link</v>
      </c>
      <c r="M2538" s="2" t="str">
        <f>HYPERLINK("https://files.afu.se/Downloads/Transcripts/0%20-%20Government/USA%20-%20NASA%20Johnson/2012 12 13 - NASA Johnson - ISS Update  SPHERES with Telerobotics Project Manager Terry Fong_Fsdis4DRxDA - transcript (automated).pdf","Transcript Link")</f>
        <v>Transcript Link</v>
      </c>
    </row>
    <row r="2539" ht="180" spans="1:13">
      <c r="A2539" s="1" t="s">
        <v>11128</v>
      </c>
      <c r="B2539" s="1" t="s">
        <v>13</v>
      </c>
      <c r="C2539" s="4" t="s">
        <v>11129</v>
      </c>
      <c r="D2539" s="1" t="s">
        <v>11130</v>
      </c>
      <c r="E2539" s="1" t="s">
        <v>11131</v>
      </c>
      <c r="F2539" s="4" t="s">
        <v>17</v>
      </c>
      <c r="G2539" s="1" t="s">
        <v>18</v>
      </c>
      <c r="H2539" s="1" t="s">
        <v>19</v>
      </c>
      <c r="I2539" s="1" t="s">
        <v>20</v>
      </c>
      <c r="J2539" s="1" t="s">
        <v>11132</v>
      </c>
      <c r="K2539" s="1" t="s">
        <v>22</v>
      </c>
      <c r="L2539" s="1" t="str">
        <f>HYPERLINK("https://files.afu.se/Downloads/Transcripts/0%20-%20Government/USA%20-%20NASA%20Johnson/2012 12 12 - NASA Johnson - ISS Update - Dec. 12, 2012_7__bPjpgmJA - transcript (automated).pdf","Transcript Link")</f>
        <v>Transcript Link</v>
      </c>
      <c r="M2539" s="2" t="str">
        <f>HYPERLINK("https://files.afu.se/Downloads/Transcripts/0%20-%20Government/USA%20-%20NASA%20Johnson/2012 12 12 - NASA Johnson - ISS Update - Dec. 12, 2012_7__bPjpgmJA - transcript (automated).pdf","Transcript Link")</f>
        <v>Transcript Link</v>
      </c>
    </row>
    <row r="2540" ht="180" spans="1:13">
      <c r="A2540" s="1" t="s">
        <v>11133</v>
      </c>
      <c r="B2540" s="1" t="s">
        <v>13</v>
      </c>
      <c r="C2540" s="4" t="s">
        <v>11134</v>
      </c>
      <c r="D2540" s="1" t="s">
        <v>11135</v>
      </c>
      <c r="E2540" s="1" t="s">
        <v>11136</v>
      </c>
      <c r="F2540" s="4" t="s">
        <v>17</v>
      </c>
      <c r="G2540" s="1" t="s">
        <v>18</v>
      </c>
      <c r="H2540" s="1" t="s">
        <v>19</v>
      </c>
      <c r="I2540" s="1" t="s">
        <v>20</v>
      </c>
      <c r="J2540" s="1" t="s">
        <v>11137</v>
      </c>
      <c r="K2540" s="1" t="s">
        <v>22</v>
      </c>
      <c r="L2540" s="1" t="str">
        <f>HYPERLINK("https://files.afu.se/Downloads/Transcripts/0%20-%20Government/USA%20-%20NASA%20Johnson/2012 12 11 - NASA Johnson - ISS Update - Dec. 11, 2012_UqCeche3Mqw - transcript (automated).pdf","Transcript Link")</f>
        <v>Transcript Link</v>
      </c>
      <c r="M2540" s="2" t="str">
        <f>HYPERLINK("https://files.afu.se/Downloads/Transcripts/0%20-%20Government/USA%20-%20NASA%20Johnson/2012 12 11 - NASA Johnson - ISS Update - Dec. 11, 2012_UqCeche3Mqw - transcript (automated).pdf","Transcript Link")</f>
        <v>Transcript Link</v>
      </c>
    </row>
    <row r="2541" ht="180" spans="1:13">
      <c r="A2541" s="1" t="s">
        <v>11138</v>
      </c>
      <c r="B2541" s="1" t="s">
        <v>13</v>
      </c>
      <c r="C2541" s="4" t="s">
        <v>11139</v>
      </c>
      <c r="D2541" s="1" t="s">
        <v>11140</v>
      </c>
      <c r="E2541" s="1" t="s">
        <v>11141</v>
      </c>
      <c r="F2541" s="4" t="s">
        <v>17</v>
      </c>
      <c r="G2541" s="1" t="s">
        <v>18</v>
      </c>
      <c r="H2541" s="1" t="s">
        <v>19</v>
      </c>
      <c r="I2541" s="1" t="s">
        <v>20</v>
      </c>
      <c r="J2541" s="1" t="s">
        <v>11142</v>
      </c>
      <c r="K2541" s="1" t="s">
        <v>22</v>
      </c>
      <c r="L2541" s="1" t="str">
        <f>HYPERLINK("https://files.afu.se/Downloads/Transcripts/0%20-%20Government/USA%20-%20NASA%20Johnson/2012 12 10 - NASA Johnson - ISS Update - Dec. 10, 2012_8-KaQ0TtebI - transcript (automated).pdf","Transcript Link")</f>
        <v>Transcript Link</v>
      </c>
      <c r="M2541" s="2" t="str">
        <f>HYPERLINK("https://files.afu.se/Downloads/Transcripts/0%20-%20Government/USA%20-%20NASA%20Johnson/2012 12 10 - NASA Johnson - ISS Update - Dec. 10, 2012_8-KaQ0TtebI - transcript (automated).pdf","Transcript Link")</f>
        <v>Transcript Link</v>
      </c>
    </row>
    <row r="2542" ht="255" spans="1:13">
      <c r="A2542" s="1" t="s">
        <v>11143</v>
      </c>
      <c r="B2542" s="1" t="s">
        <v>13</v>
      </c>
      <c r="C2542" s="4" t="s">
        <v>11144</v>
      </c>
      <c r="D2542" s="1" t="s">
        <v>11145</v>
      </c>
      <c r="E2542" s="1" t="s">
        <v>11146</v>
      </c>
      <c r="F2542" s="4" t="s">
        <v>17</v>
      </c>
      <c r="G2542" s="1" t="s">
        <v>18</v>
      </c>
      <c r="H2542" s="1" t="s">
        <v>19</v>
      </c>
      <c r="I2542" s="1" t="s">
        <v>20</v>
      </c>
      <c r="J2542" s="1" t="s">
        <v>11147</v>
      </c>
      <c r="K2542" s="1" t="s">
        <v>22</v>
      </c>
      <c r="L2542" s="1" t="str">
        <f>HYPERLINK("https://files.afu.se/Downloads/Transcripts/0%20-%20Government/USA%20-%20NASA%20Johnson/2012 12 07 - NASA Johnson - ISS Update  Kennedy Space Center Director Robert Cabana_9fYOcspAxPI - transcript (automated).pdf","Transcript Link")</f>
        <v>Transcript Link</v>
      </c>
      <c r="M2542" s="2" t="str">
        <f>HYPERLINK("https://files.afu.se/Downloads/Transcripts/0%20-%20Government/USA%20-%20NASA%20Johnson/2012 12 07 - NASA Johnson - ISS Update  Kennedy Space Center Director Robert Cabana_9fYOcspAxPI - transcript (automated).pdf","Transcript Link")</f>
        <v>Transcript Link</v>
      </c>
    </row>
    <row r="2543" ht="180" spans="1:13">
      <c r="A2543" s="1" t="s">
        <v>11143</v>
      </c>
      <c r="B2543" s="1" t="s">
        <v>13</v>
      </c>
      <c r="C2543" s="4" t="s">
        <v>11148</v>
      </c>
      <c r="D2543" s="1" t="s">
        <v>11149</v>
      </c>
      <c r="E2543" s="1" t="s">
        <v>11150</v>
      </c>
      <c r="F2543" s="4" t="s">
        <v>17</v>
      </c>
      <c r="G2543" s="1" t="s">
        <v>18</v>
      </c>
      <c r="H2543" s="1" t="s">
        <v>19</v>
      </c>
      <c r="I2543" s="1" t="s">
        <v>20</v>
      </c>
      <c r="J2543" s="1" t="s">
        <v>11151</v>
      </c>
      <c r="K2543" s="1" t="s">
        <v>22</v>
      </c>
      <c r="L2543" s="1" t="str">
        <f>HYPERLINK("https://files.afu.se/Downloads/Transcripts/0%20-%20Government/USA%20-%20NASA%20Johnson/2012 12 07 - NASA Johnson - ISS Update  Weekly Recap for Dec. 7, 2012_oU-A5NPZiQw - transcript (automated).pdf","Transcript Link")</f>
        <v>Transcript Link</v>
      </c>
      <c r="M2543" s="2" t="str">
        <f>HYPERLINK("https://files.afu.se/Downloads/Transcripts/0%20-%20Government/USA%20-%20NASA%20Johnson/2012 12 07 - NASA Johnson - ISS Update  Weekly Recap for Dec. 7, 2012_oU-A5NPZiQw - transcript (automated).pdf","Transcript Link")</f>
        <v>Transcript Link</v>
      </c>
    </row>
    <row r="2544" ht="240" spans="1:13">
      <c r="A2544" s="1" t="s">
        <v>11143</v>
      </c>
      <c r="B2544" s="1" t="s">
        <v>13</v>
      </c>
      <c r="C2544" s="4" t="s">
        <v>11152</v>
      </c>
      <c r="D2544" s="1" t="s">
        <v>11153</v>
      </c>
      <c r="E2544" s="1" t="s">
        <v>11154</v>
      </c>
      <c r="F2544" s="4" t="s">
        <v>17</v>
      </c>
      <c r="G2544" s="1" t="s">
        <v>18</v>
      </c>
      <c r="H2544" s="1" t="s">
        <v>19</v>
      </c>
      <c r="I2544" s="1" t="s">
        <v>20</v>
      </c>
      <c r="J2544" s="1" t="s">
        <v>11155</v>
      </c>
      <c r="K2544" s="1" t="s">
        <v>22</v>
      </c>
      <c r="L2544" s="1" t="str">
        <f>HYPERLINK("https://files.afu.se/Downloads/Transcripts/0%20-%20Government/USA%20-%20NASA%20Johnson/2012 12 07 - NASA Johnson - ISS Update  Interview with Expedition 34 Flight Engineer Expedition 35 Commander Chris Hadfield_erwprCm_WCE - transcript (automated).pdf","Transcript Link")</f>
        <v>Transcript Link</v>
      </c>
      <c r="M2544" s="2" t="str">
        <f>HYPERLINK("https://files.afu.se/Downloads/Transcripts/0%20-%20Government/USA%20-%20NASA%20Johnson/2012 12 07 - NASA Johnson - ISS Update  Interview with Expedition 34 Flight Engineer Expedition 35 Commander Chris Hadfield_erwprCm_WCE - transcript (automated).pdf","Transcript Link")</f>
        <v>Transcript Link</v>
      </c>
    </row>
    <row r="2545" ht="225" spans="1:13">
      <c r="A2545" s="1" t="s">
        <v>11156</v>
      </c>
      <c r="B2545" s="1" t="s">
        <v>13</v>
      </c>
      <c r="C2545" s="4" t="s">
        <v>11157</v>
      </c>
      <c r="D2545" s="1" t="s">
        <v>11158</v>
      </c>
      <c r="E2545" s="1" t="s">
        <v>11159</v>
      </c>
      <c r="F2545" s="4" t="s">
        <v>17</v>
      </c>
      <c r="G2545" s="1" t="s">
        <v>18</v>
      </c>
      <c r="H2545" s="1" t="s">
        <v>19</v>
      </c>
      <c r="I2545" s="1" t="s">
        <v>20</v>
      </c>
      <c r="J2545" s="1" t="s">
        <v>11160</v>
      </c>
      <c r="K2545" s="1" t="s">
        <v>22</v>
      </c>
      <c r="L2545" s="1" t="str">
        <f>HYPERLINK("https://files.afu.se/Downloads/Transcripts/0%20-%20Government/USA%20-%20NASA%20Johnson/2012 12 06 - NASA Johnson - ISS Update  Interview with Expedition 34 35 Flight Engineer Tom Marshburn_9LbZYdwJ1AQ - transcript (automated).pdf","Transcript Link")</f>
        <v>Transcript Link</v>
      </c>
      <c r="M2545" s="2" t="str">
        <f>HYPERLINK("https://files.afu.se/Downloads/Transcripts/0%20-%20Government/USA%20-%20NASA%20Johnson/2012 12 06 - NASA Johnson - ISS Update  Interview with Expedition 34 35 Flight Engineer Tom Marshburn_9LbZYdwJ1AQ - transcript (automated).pdf","Transcript Link")</f>
        <v>Transcript Link</v>
      </c>
    </row>
    <row r="2546" ht="240" spans="1:13">
      <c r="A2546" s="1" t="s">
        <v>11156</v>
      </c>
      <c r="B2546" s="1" t="s">
        <v>13</v>
      </c>
      <c r="C2546" s="4" t="s">
        <v>11161</v>
      </c>
      <c r="D2546" s="1" t="s">
        <v>11162</v>
      </c>
      <c r="E2546" s="1" t="s">
        <v>11163</v>
      </c>
      <c r="F2546" s="4" t="s">
        <v>17</v>
      </c>
      <c r="G2546" s="1" t="s">
        <v>18</v>
      </c>
      <c r="H2546" s="1" t="s">
        <v>19</v>
      </c>
      <c r="I2546" s="1" t="s">
        <v>20</v>
      </c>
      <c r="J2546" s="1" t="s">
        <v>11164</v>
      </c>
      <c r="K2546" s="1" t="s">
        <v>22</v>
      </c>
      <c r="L2546" s="1" t="str">
        <f>HYPERLINK("https://files.afu.se/Downloads/Transcripts/0%20-%20Government/USA%20-%20NASA%20Johnson/2012 12 06 - NASA Johnson - ISS Update  Orion Recovery and Rescue Lead Tom Walker_FuAtgQGSzL8 - transcript (automated).pdf","Transcript Link")</f>
        <v>Transcript Link</v>
      </c>
      <c r="M2546" s="2" t="str">
        <f>HYPERLINK("https://files.afu.se/Downloads/Transcripts/0%20-%20Government/USA%20-%20NASA%20Johnson/2012 12 06 - NASA Johnson - ISS Update  Orion Recovery and Rescue Lead Tom Walker_FuAtgQGSzL8 - transcript (automated).pdf","Transcript Link")</f>
        <v>Transcript Link</v>
      </c>
    </row>
    <row r="2547" ht="195" spans="1:13">
      <c r="A2547" s="1" t="s">
        <v>11156</v>
      </c>
      <c r="B2547" s="1" t="s">
        <v>13</v>
      </c>
      <c r="C2547" s="4" t="s">
        <v>11165</v>
      </c>
      <c r="D2547" s="1" t="s">
        <v>11166</v>
      </c>
      <c r="E2547" s="1" t="s">
        <v>11167</v>
      </c>
      <c r="F2547" s="4" t="s">
        <v>17</v>
      </c>
      <c r="G2547" s="1" t="s">
        <v>18</v>
      </c>
      <c r="H2547" s="1" t="s">
        <v>19</v>
      </c>
      <c r="I2547" s="1" t="s">
        <v>20</v>
      </c>
      <c r="J2547" s="1" t="s">
        <v>11168</v>
      </c>
      <c r="K2547" s="1" t="s">
        <v>22</v>
      </c>
      <c r="L2547" s="1" t="str">
        <f>HYPERLINK("https://files.afu.se/Downloads/Transcripts/0%20-%20Government/USA%20-%20NASA%20Johnson/2012 12 06 - NASA Johnson - ISS Update  NBL Orion Flight Lead Tim Goddard_yxgxUOuq9jo - transcript (automated).pdf","Transcript Link")</f>
        <v>Transcript Link</v>
      </c>
      <c r="M2547" s="2" t="str">
        <f>HYPERLINK("https://files.afu.se/Downloads/Transcripts/0%20-%20Government/USA%20-%20NASA%20Johnson/2012 12 06 - NASA Johnson - ISS Update  NBL Orion Flight Lead Tim Goddard_yxgxUOuq9jo - transcript (automated).pdf","Transcript Link")</f>
        <v>Transcript Link</v>
      </c>
    </row>
    <row r="2548" ht="180" spans="1:13">
      <c r="A2548" s="1" t="s">
        <v>11156</v>
      </c>
      <c r="B2548" s="1" t="s">
        <v>13</v>
      </c>
      <c r="C2548" s="4" t="s">
        <v>11169</v>
      </c>
      <c r="D2548" s="1" t="s">
        <v>11170</v>
      </c>
      <c r="E2548" s="1" t="s">
        <v>11171</v>
      </c>
      <c r="F2548" s="4" t="s">
        <v>17</v>
      </c>
      <c r="G2548" s="1" t="s">
        <v>18</v>
      </c>
      <c r="H2548" s="1" t="s">
        <v>19</v>
      </c>
      <c r="I2548" s="1" t="s">
        <v>20</v>
      </c>
      <c r="J2548" s="1" t="s">
        <v>11172</v>
      </c>
      <c r="K2548" s="1" t="s">
        <v>22</v>
      </c>
      <c r="L2548" s="1" t="str">
        <f>HYPERLINK("https://files.afu.se/Downloads/Transcripts/0%20-%20Government/USA%20-%20NASA%20Johnson/2012 12 06 - NASA Johnson - Astronaut Alvin Drew Speaks With Phoenix Students_kEr08rxpvoo - transcript (automated).pdf","Transcript Link")</f>
        <v>Transcript Link</v>
      </c>
      <c r="M2548" s="2" t="str">
        <f>HYPERLINK("https://files.afu.se/Downloads/Transcripts/0%20-%20Government/USA%20-%20NASA%20Johnson/2012 12 06 - NASA Johnson - Astronaut Alvin Drew Speaks With Phoenix Students_kEr08rxpvoo - transcript (automated).pdf","Transcript Link")</f>
        <v>Transcript Link</v>
      </c>
    </row>
    <row r="2549" ht="180" spans="1:13">
      <c r="A2549" s="1" t="s">
        <v>11156</v>
      </c>
      <c r="B2549" s="1" t="s">
        <v>13</v>
      </c>
      <c r="C2549" s="4" t="s">
        <v>11173</v>
      </c>
      <c r="D2549" s="1" t="s">
        <v>11174</v>
      </c>
      <c r="E2549" s="1" t="s">
        <v>11175</v>
      </c>
      <c r="F2549" s="4" t="s">
        <v>17</v>
      </c>
      <c r="G2549" s="1" t="s">
        <v>18</v>
      </c>
      <c r="H2549" s="1" t="s">
        <v>19</v>
      </c>
      <c r="I2549" s="1" t="s">
        <v>20</v>
      </c>
      <c r="J2549" s="1" t="s">
        <v>11176</v>
      </c>
      <c r="K2549" s="1" t="s">
        <v>22</v>
      </c>
      <c r="L2549" s="1" t="str">
        <f>HYPERLINK("https://files.afu.se/Downloads/Transcripts/0%20-%20Government/USA%20-%20NASA%20Johnson/2012 12 06 - NASA Johnson - ISS Update - Dec. 6, 2012_GCLnpUiNUVw - transcript (automated).pdf","Transcript Link")</f>
        <v>Transcript Link</v>
      </c>
      <c r="M2549" s="2" t="str">
        <f>HYPERLINK("https://files.afu.se/Downloads/Transcripts/0%20-%20Government/USA%20-%20NASA%20Johnson/2012 12 06 - NASA Johnson - ISS Update - Dec. 6, 2012_GCLnpUiNUVw - transcript (automated).pdf","Transcript Link")</f>
        <v>Transcript Link</v>
      </c>
    </row>
    <row r="2550" ht="180" spans="1:13">
      <c r="A2550" s="1" t="s">
        <v>11156</v>
      </c>
      <c r="B2550" s="1" t="s">
        <v>13</v>
      </c>
      <c r="C2550" s="4" t="s">
        <v>11177</v>
      </c>
      <c r="D2550" s="1" t="s">
        <v>11178</v>
      </c>
      <c r="E2550" s="1" t="s">
        <v>11179</v>
      </c>
      <c r="F2550" s="4" t="s">
        <v>17</v>
      </c>
      <c r="G2550" s="1" t="s">
        <v>18</v>
      </c>
      <c r="H2550" s="1" t="s">
        <v>19</v>
      </c>
      <c r="I2550" s="1" t="s">
        <v>20</v>
      </c>
      <c r="J2550" s="1" t="s">
        <v>11180</v>
      </c>
      <c r="K2550" s="1" t="s">
        <v>22</v>
      </c>
      <c r="L2550" s="1" t="str">
        <f>HYPERLINK("https://files.afu.se/Downloads/Transcripts/0%20-%20Government/USA%20-%20NASA%20Johnson/2012 12 06 - NASA Johnson - Expedition 34 35 Crew Departs Star City_HsFzBhIpqII - transcript (automated).pdf","Transcript Link")</f>
        <v>Transcript Link</v>
      </c>
      <c r="M2550" s="2" t="str">
        <f>HYPERLINK("https://files.afu.se/Downloads/Transcripts/0%20-%20Government/USA%20-%20NASA%20Johnson/2012 12 06 - NASA Johnson - Expedition 34 35 Crew Departs Star City_HsFzBhIpqII - transcript (automated).pdf","Transcript Link")</f>
        <v>Transcript Link</v>
      </c>
    </row>
    <row r="2551" ht="180" spans="1:13">
      <c r="A2551" s="1" t="s">
        <v>11181</v>
      </c>
      <c r="B2551" s="1" t="s">
        <v>13</v>
      </c>
      <c r="C2551" s="4" t="s">
        <v>11182</v>
      </c>
      <c r="D2551" s="1" t="s">
        <v>11183</v>
      </c>
      <c r="E2551" s="1" t="s">
        <v>11184</v>
      </c>
      <c r="F2551" s="4" t="s">
        <v>17</v>
      </c>
      <c r="G2551" s="1" t="s">
        <v>18</v>
      </c>
      <c r="H2551" s="1" t="s">
        <v>19</v>
      </c>
      <c r="I2551" s="1" t="s">
        <v>20</v>
      </c>
      <c r="J2551" s="1" t="s">
        <v>11185</v>
      </c>
      <c r="K2551" s="1" t="s">
        <v>22</v>
      </c>
      <c r="L2551" s="1" t="str">
        <f>HYPERLINK("https://files.afu.se/Downloads/Transcripts/0%20-%20Government/USA%20-%20NASA%20Johnson/2012 12 04 - NASA Johnson - ISS Update - Dec. 4, 2012_PBA0lIkBhtQ - transcript (automated).pdf","Transcript Link")</f>
        <v>Transcript Link</v>
      </c>
      <c r="M2551" s="2" t="str">
        <f>HYPERLINK("https://files.afu.se/Downloads/Transcripts/0%20-%20Government/USA%20-%20NASA%20Johnson/2012 12 04 - NASA Johnson - ISS Update - Dec. 4, 2012_PBA0lIkBhtQ - transcript (automated).pdf","Transcript Link")</f>
        <v>Transcript Link</v>
      </c>
    </row>
    <row r="2552" ht="180" spans="1:13">
      <c r="A2552" s="1" t="s">
        <v>11186</v>
      </c>
      <c r="B2552" s="1" t="s">
        <v>13</v>
      </c>
      <c r="C2552" s="4" t="s">
        <v>11187</v>
      </c>
      <c r="D2552" s="1" t="s">
        <v>11188</v>
      </c>
      <c r="E2552" s="1" t="s">
        <v>11189</v>
      </c>
      <c r="F2552" s="4" t="s">
        <v>17</v>
      </c>
      <c r="G2552" s="1" t="s">
        <v>18</v>
      </c>
      <c r="H2552" s="1" t="s">
        <v>19</v>
      </c>
      <c r="I2552" s="1" t="s">
        <v>20</v>
      </c>
      <c r="J2552" s="1" t="s">
        <v>11190</v>
      </c>
      <c r="K2552" s="1" t="s">
        <v>22</v>
      </c>
      <c r="L2552" s="1" t="str">
        <f>HYPERLINK("https://files.afu.se/Downloads/Transcripts/0%20-%20Government/USA%20-%20NASA%20Johnson/2012 12 03 - NASA Johnson - ISS Update - Dec. 3, 2012_BDJbOkGI3Y8 - transcript (automated).pdf","Transcript Link")</f>
        <v>Transcript Link</v>
      </c>
      <c r="M2552" s="2" t="str">
        <f>HYPERLINK("https://files.afu.se/Downloads/Transcripts/0%20-%20Government/USA%20-%20NASA%20Johnson/2012 12 03 - NASA Johnson - ISS Update - Dec. 3, 2012_BDJbOkGI3Y8 - transcript (automated).pdf","Transcript Link")</f>
        <v>Transcript Link</v>
      </c>
    </row>
    <row r="2553" ht="180" spans="1:13">
      <c r="A2553" s="1" t="s">
        <v>11191</v>
      </c>
      <c r="B2553" s="1" t="s">
        <v>13</v>
      </c>
      <c r="C2553" s="4" t="s">
        <v>11192</v>
      </c>
      <c r="D2553" s="1" t="s">
        <v>11193</v>
      </c>
      <c r="E2553" s="1" t="s">
        <v>11194</v>
      </c>
      <c r="F2553" s="4" t="s">
        <v>17</v>
      </c>
      <c r="G2553" s="1" t="s">
        <v>18</v>
      </c>
      <c r="H2553" s="1" t="s">
        <v>19</v>
      </c>
      <c r="I2553" s="1" t="s">
        <v>20</v>
      </c>
      <c r="J2553" s="1" t="s">
        <v>11195</v>
      </c>
      <c r="K2553" s="1" t="s">
        <v>22</v>
      </c>
      <c r="L2553" s="1" t="str">
        <f>HYPERLINK("https://files.afu.se/Downloads/Transcripts/0%20-%20Government/USA%20-%20NASA%20Johnson/2012 11 30 - NASA Johnson - ISS Update  Weekly Recap for Nov. 30, 2012_lpQjwlCnw7k - transcript (automated).pdf","Transcript Link")</f>
        <v>Transcript Link</v>
      </c>
      <c r="M2553" s="2" t="str">
        <f>HYPERLINK("https://files.afu.se/Downloads/Transcripts/0%20-%20Government/USA%20-%20NASA%20Johnson/2012 11 30 - NASA Johnson - ISS Update  Weekly Recap for Nov. 30, 2012_lpQjwlCnw7k - transcript (automated).pdf","Transcript Link")</f>
        <v>Transcript Link</v>
      </c>
    </row>
    <row r="2554" ht="180" spans="1:13">
      <c r="A2554" s="1" t="s">
        <v>11196</v>
      </c>
      <c r="B2554" s="1" t="s">
        <v>13</v>
      </c>
      <c r="C2554" s="4" t="s">
        <v>11197</v>
      </c>
      <c r="D2554" s="1" t="s">
        <v>11198</v>
      </c>
      <c r="E2554" s="1" t="s">
        <v>11199</v>
      </c>
      <c r="F2554" s="4" t="s">
        <v>17</v>
      </c>
      <c r="G2554" s="1" t="s">
        <v>18</v>
      </c>
      <c r="H2554" s="1" t="s">
        <v>19</v>
      </c>
      <c r="I2554" s="1" t="s">
        <v>20</v>
      </c>
      <c r="J2554" s="1" t="s">
        <v>11200</v>
      </c>
      <c r="K2554" s="1" t="s">
        <v>22</v>
      </c>
      <c r="L2554" s="1" t="str">
        <f>HYPERLINK("https://files.afu.se/Downloads/Transcripts/0%20-%20Government/USA%20-%20NASA%20Johnson/2012 11 29 - NASA Johnson - Expedition 34 35 Mission Overview_H1NRIs7M-DE - transcript (automated).pdf","Transcript Link")</f>
        <v>Transcript Link</v>
      </c>
      <c r="M2554" s="2" t="str">
        <f>HYPERLINK("https://files.afu.se/Downloads/Transcripts/0%20-%20Government/USA%20-%20NASA%20Johnson/2012 11 29 - NASA Johnson - Expedition 34 35 Mission Overview_H1NRIs7M-DE - transcript (automated).pdf","Transcript Link")</f>
        <v>Transcript Link</v>
      </c>
    </row>
    <row r="2555" ht="180" spans="1:13">
      <c r="A2555" s="1" t="s">
        <v>11196</v>
      </c>
      <c r="B2555" s="1" t="s">
        <v>13</v>
      </c>
      <c r="C2555" s="4" t="s">
        <v>11201</v>
      </c>
      <c r="D2555" s="1" t="s">
        <v>11202</v>
      </c>
      <c r="E2555" s="1" t="s">
        <v>11203</v>
      </c>
      <c r="F2555" s="4" t="s">
        <v>17</v>
      </c>
      <c r="G2555" s="1" t="s">
        <v>18</v>
      </c>
      <c r="H2555" s="1" t="s">
        <v>19</v>
      </c>
      <c r="I2555" s="1" t="s">
        <v>20</v>
      </c>
      <c r="J2555" s="1" t="s">
        <v>11204</v>
      </c>
      <c r="K2555" s="1" t="s">
        <v>22</v>
      </c>
      <c r="L2555" s="1" t="str">
        <f>HYPERLINK("https://files.afu.se/Downloads/Transcripts/0%20-%20Government/USA%20-%20NASA%20Johnson/2012 11 29 - NASA Johnson - Expedition 34 35 Crew Profile, Version 1_2oc1avweaeY - transcript (automated).pdf","Transcript Link")</f>
        <v>Transcript Link</v>
      </c>
      <c r="M2555" s="2" t="str">
        <f>HYPERLINK("https://files.afu.se/Downloads/Transcripts/0%20-%20Government/USA%20-%20NASA%20Johnson/2012 11 29 - NASA Johnson - Expedition 34 35 Crew Profile, Version 1_2oc1avweaeY - transcript (automated).pdf","Transcript Link")</f>
        <v>Transcript Link</v>
      </c>
    </row>
    <row r="2556" ht="180" spans="1:13">
      <c r="A2556" s="1" t="s">
        <v>11196</v>
      </c>
      <c r="B2556" s="1" t="s">
        <v>13</v>
      </c>
      <c r="C2556" s="4" t="s">
        <v>11205</v>
      </c>
      <c r="D2556" s="1" t="s">
        <v>11206</v>
      </c>
      <c r="E2556" s="1" t="s">
        <v>11207</v>
      </c>
      <c r="F2556" s="4" t="s">
        <v>17</v>
      </c>
      <c r="G2556" s="1" t="s">
        <v>18</v>
      </c>
      <c r="H2556" s="1" t="s">
        <v>19</v>
      </c>
      <c r="I2556" s="1" t="s">
        <v>20</v>
      </c>
      <c r="J2556" s="1" t="s">
        <v>11208</v>
      </c>
      <c r="K2556" s="1" t="s">
        <v>22</v>
      </c>
      <c r="L2556" s="1" t="str">
        <f>HYPERLINK("https://files.afu.se/Downloads/Transcripts/0%20-%20Government/USA%20-%20NASA%20Johnson/2012 11 29 - NASA Johnson - Expedition 34 35 Crew Members Visit Red Square and the Kremlin_I8q4ZVg6Nbw - transcript (automated).pdf","Transcript Link")</f>
        <v>Transcript Link</v>
      </c>
      <c r="M2556" s="2" t="str">
        <f>HYPERLINK("https://files.afu.se/Downloads/Transcripts/0%20-%20Government/USA%20-%20NASA%20Johnson/2012 11 29 - NASA Johnson - Expedition 34 35 Crew Members Visit Red Square and the Kremlin_I8q4ZVg6Nbw - transcript (automated).pdf","Transcript Link")</f>
        <v>Transcript Link</v>
      </c>
    </row>
    <row r="2557" ht="180" spans="1:13">
      <c r="A2557" s="1" t="s">
        <v>11196</v>
      </c>
      <c r="B2557" s="1" t="s">
        <v>13</v>
      </c>
      <c r="C2557" s="4" t="s">
        <v>11209</v>
      </c>
      <c r="D2557" s="1" t="s">
        <v>11210</v>
      </c>
      <c r="E2557" s="1" t="s">
        <v>11211</v>
      </c>
      <c r="F2557" s="4" t="s">
        <v>17</v>
      </c>
      <c r="G2557" s="1" t="s">
        <v>18</v>
      </c>
      <c r="H2557" s="1" t="s">
        <v>19</v>
      </c>
      <c r="I2557" s="1" t="s">
        <v>20</v>
      </c>
      <c r="J2557" s="1" t="s">
        <v>11212</v>
      </c>
      <c r="K2557" s="1" t="s">
        <v>22</v>
      </c>
      <c r="L2557" s="1" t="str">
        <f>HYPERLINK("https://files.afu.se/Downloads/Transcripts/0%20-%20Government/USA%20-%20NASA%20Johnson/2012 11 29 - NASA Johnson - ISS Update - Nov. 29, 2012_FOPZVavOHPo - transcript (automated).pdf","Transcript Link")</f>
        <v>Transcript Link</v>
      </c>
      <c r="M2557" s="2" t="str">
        <f>HYPERLINK("https://files.afu.se/Downloads/Transcripts/0%20-%20Government/USA%20-%20NASA%20Johnson/2012 11 29 - NASA Johnson - ISS Update - Nov. 29, 2012_FOPZVavOHPo - transcript (automated).pdf","Transcript Link")</f>
        <v>Transcript Link</v>
      </c>
    </row>
    <row r="2558" ht="180" spans="1:13">
      <c r="A2558" s="1" t="s">
        <v>11213</v>
      </c>
      <c r="B2558" s="1" t="s">
        <v>13</v>
      </c>
      <c r="C2558" s="4" t="s">
        <v>11214</v>
      </c>
      <c r="D2558" s="1" t="s">
        <v>11215</v>
      </c>
      <c r="E2558" s="1" t="s">
        <v>11216</v>
      </c>
      <c r="F2558" s="4" t="s">
        <v>17</v>
      </c>
      <c r="G2558" s="1" t="s">
        <v>18</v>
      </c>
      <c r="H2558" s="1" t="s">
        <v>19</v>
      </c>
      <c r="I2558" s="1" t="s">
        <v>20</v>
      </c>
      <c r="J2558" s="1" t="s">
        <v>11217</v>
      </c>
      <c r="K2558" s="1" t="s">
        <v>22</v>
      </c>
      <c r="L2558" s="1" t="str">
        <f>HYPERLINK("https://files.afu.se/Downloads/Transcripts/0%20-%20Government/USA%20-%20NASA%20Johnson/2012 11 28 - NASA Johnson - ISS Update - Nov. 28, 2012_IQZU5BITfj8 - transcript (automated).pdf","Transcript Link")</f>
        <v>Transcript Link</v>
      </c>
      <c r="M2558" s="2" t="str">
        <f>HYPERLINK("https://files.afu.se/Downloads/Transcripts/0%20-%20Government/USA%20-%20NASA%20Johnson/2012 11 28 - NASA Johnson - ISS Update - Nov. 28, 2012_IQZU5BITfj8 - transcript (automated).pdf","Transcript Link")</f>
        <v>Transcript Link</v>
      </c>
    </row>
    <row r="2559" ht="180" spans="1:13">
      <c r="A2559" s="1" t="s">
        <v>11213</v>
      </c>
      <c r="B2559" s="1" t="s">
        <v>13</v>
      </c>
      <c r="C2559" s="4" t="s">
        <v>11218</v>
      </c>
      <c r="D2559" s="1" t="s">
        <v>11219</v>
      </c>
      <c r="E2559" s="1" t="s">
        <v>11220</v>
      </c>
      <c r="F2559" s="4" t="s">
        <v>17</v>
      </c>
      <c r="G2559" s="1" t="s">
        <v>18</v>
      </c>
      <c r="H2559" s="1" t="s">
        <v>19</v>
      </c>
      <c r="I2559" s="1" t="s">
        <v>20</v>
      </c>
      <c r="J2559" s="1" t="s">
        <v>11221</v>
      </c>
      <c r="K2559" s="1" t="s">
        <v>22</v>
      </c>
      <c r="L2559" s="1" t="str">
        <f>HYPERLINK("https://files.afu.se/Downloads/Transcripts/0%20-%20Government/USA%20-%20NASA%20Johnson/2012 11 28 - NASA Johnson - Expedition 34 Final Training_QVK_TWXgPMA - transcript (automated).pdf","Transcript Link")</f>
        <v>Transcript Link</v>
      </c>
      <c r="M2559" s="2" t="str">
        <f>HYPERLINK("https://files.afu.se/Downloads/Transcripts/0%20-%20Government/USA%20-%20NASA%20Johnson/2012 11 28 - NASA Johnson - Expedition 34 Final Training_QVK_TWXgPMA - transcript (automated).pdf","Transcript Link")</f>
        <v>Transcript Link</v>
      </c>
    </row>
    <row r="2560" ht="180" spans="1:13">
      <c r="A2560" s="1" t="s">
        <v>11222</v>
      </c>
      <c r="B2560" s="1" t="s">
        <v>13</v>
      </c>
      <c r="C2560" s="4" t="s">
        <v>11223</v>
      </c>
      <c r="D2560" s="1" t="s">
        <v>11224</v>
      </c>
      <c r="E2560" s="1" t="s">
        <v>11225</v>
      </c>
      <c r="F2560" s="4" t="s">
        <v>17</v>
      </c>
      <c r="G2560" s="1" t="s">
        <v>18</v>
      </c>
      <c r="H2560" s="1" t="s">
        <v>19</v>
      </c>
      <c r="I2560" s="1" t="s">
        <v>20</v>
      </c>
      <c r="J2560" s="1" t="s">
        <v>11226</v>
      </c>
      <c r="K2560" s="1" t="s">
        <v>22</v>
      </c>
      <c r="L2560" s="1" t="str">
        <f>HYPERLINK("https://files.afu.se/Downloads/Transcripts/0%20-%20Government/USA%20-%20NASA%20Johnson/2012 11 27 - NASA Johnson - ISS Update - Nov. 27, 2012_UodoCmLxK7g - transcript (automated).pdf","Transcript Link")</f>
        <v>Transcript Link</v>
      </c>
      <c r="M2560" s="2" t="str">
        <f>HYPERLINK("https://files.afu.se/Downloads/Transcripts/0%20-%20Government/USA%20-%20NASA%20Johnson/2012 11 27 - NASA Johnson - ISS Update - Nov. 27, 2012_UodoCmLxK7g - transcript (automated).pdf","Transcript Link")</f>
        <v>Transcript Link</v>
      </c>
    </row>
    <row r="2561" ht="180" spans="1:13">
      <c r="A2561" s="1" t="s">
        <v>11227</v>
      </c>
      <c r="B2561" s="1" t="s">
        <v>13</v>
      </c>
      <c r="C2561" s="4" t="s">
        <v>11228</v>
      </c>
      <c r="D2561" s="1" t="s">
        <v>11229</v>
      </c>
      <c r="E2561" s="1" t="s">
        <v>11230</v>
      </c>
      <c r="F2561" s="4" t="s">
        <v>17</v>
      </c>
      <c r="G2561" s="1" t="s">
        <v>18</v>
      </c>
      <c r="H2561" s="1" t="s">
        <v>19</v>
      </c>
      <c r="I2561" s="1" t="s">
        <v>20</v>
      </c>
      <c r="J2561" s="1" t="s">
        <v>11231</v>
      </c>
      <c r="K2561" s="1" t="s">
        <v>22</v>
      </c>
      <c r="L2561" s="1" t="str">
        <f>HYPERLINK("https://files.afu.se/Downloads/Transcripts/0%20-%20Government/USA%20-%20NASA%20Johnson/2012 11 26 - NASA Johnson - ISS Update - Nov. 26, 2012_bzb0r_KHYYo - transcript (automated).pdf","Transcript Link")</f>
        <v>Transcript Link</v>
      </c>
      <c r="M2561" s="2" t="str">
        <f>HYPERLINK("https://files.afu.se/Downloads/Transcripts/0%20-%20Government/USA%20-%20NASA%20Johnson/2012 11 26 - NASA Johnson - ISS Update - Nov. 26, 2012_bzb0r_KHYYo - transcript (automated).pdf","Transcript Link")</f>
        <v>Transcript Link</v>
      </c>
    </row>
    <row r="2562" ht="180" spans="1:13">
      <c r="A2562" s="1" t="s">
        <v>11232</v>
      </c>
      <c r="B2562" s="1" t="s">
        <v>13</v>
      </c>
      <c r="C2562" s="4" t="s">
        <v>11233</v>
      </c>
      <c r="D2562" s="1" t="s">
        <v>11234</v>
      </c>
      <c r="E2562" s="1" t="s">
        <v>11235</v>
      </c>
      <c r="F2562" s="4" t="s">
        <v>17</v>
      </c>
      <c r="G2562" s="1" t="s">
        <v>18</v>
      </c>
      <c r="H2562" s="1" t="s">
        <v>19</v>
      </c>
      <c r="I2562" s="1" t="s">
        <v>20</v>
      </c>
      <c r="J2562" s="1" t="s">
        <v>11236</v>
      </c>
      <c r="K2562" s="1" t="s">
        <v>22</v>
      </c>
      <c r="L2562" s="1" t="str">
        <f>HYPERLINK("https://files.afu.se/Downloads/Transcripts/0%20-%20Government/USA%20-%20NASA%20Johnson/2012 11 21 - NASA Johnson - ISS Update - Nov. 21, 2012_SMJ8wb4-uz8 - transcript (automated).pdf","Transcript Link")</f>
        <v>Transcript Link</v>
      </c>
      <c r="M2562" s="2" t="str">
        <f>HYPERLINK("https://files.afu.se/Downloads/Transcripts/0%20-%20Government/USA%20-%20NASA%20Johnson/2012 11 21 - NASA Johnson - ISS Update - Nov. 21, 2012_SMJ8wb4-uz8 - transcript (automated).pdf","Transcript Link")</f>
        <v>Transcript Link</v>
      </c>
    </row>
    <row r="2563" ht="180" spans="1:13">
      <c r="A2563" s="1" t="s">
        <v>11232</v>
      </c>
      <c r="B2563" s="1" t="s">
        <v>13</v>
      </c>
      <c r="C2563" s="4" t="s">
        <v>11237</v>
      </c>
      <c r="D2563" s="1" t="s">
        <v>11238</v>
      </c>
      <c r="E2563" s="1" t="s">
        <v>11239</v>
      </c>
      <c r="F2563" s="4" t="s">
        <v>17</v>
      </c>
      <c r="G2563" s="1" t="s">
        <v>18</v>
      </c>
      <c r="H2563" s="1" t="s">
        <v>19</v>
      </c>
      <c r="I2563" s="1" t="s">
        <v>20</v>
      </c>
      <c r="J2563" s="1" t="s">
        <v>11240</v>
      </c>
      <c r="K2563" s="1" t="s">
        <v>22</v>
      </c>
      <c r="L2563" s="1" t="str">
        <f>HYPERLINK("https://files.afu.se/Downloads/Transcripts/0%20-%20Government/USA%20-%20NASA%20Johnson/2012 11 21 - NASA Johnson - ISS Update  Packing and Preparing Space Food (Part 2)_rbnipg_DsJk - transcript (automated).pdf","Transcript Link")</f>
        <v>Transcript Link</v>
      </c>
      <c r="M2563" s="2" t="str">
        <f>HYPERLINK("https://files.afu.se/Downloads/Transcripts/0%20-%20Government/USA%20-%20NASA%20Johnson/2012 11 21 - NASA Johnson - ISS Update  Packing and Preparing Space Food (Part 2)_rbnipg_DsJk - transcript (automated).pdf","Transcript Link")</f>
        <v>Transcript Link</v>
      </c>
    </row>
    <row r="2564" ht="180" spans="1:13">
      <c r="A2564" s="1" t="s">
        <v>11232</v>
      </c>
      <c r="B2564" s="1" t="s">
        <v>13</v>
      </c>
      <c r="C2564" s="4" t="s">
        <v>11241</v>
      </c>
      <c r="D2564" s="1" t="s">
        <v>11242</v>
      </c>
      <c r="E2564" s="1" t="s">
        <v>11243</v>
      </c>
      <c r="F2564" s="4" t="s">
        <v>17</v>
      </c>
      <c r="G2564" s="1" t="s">
        <v>18</v>
      </c>
      <c r="H2564" s="1" t="s">
        <v>19</v>
      </c>
      <c r="I2564" s="1" t="s">
        <v>20</v>
      </c>
      <c r="J2564" s="1" t="s">
        <v>11244</v>
      </c>
      <c r="K2564" s="1" t="s">
        <v>22</v>
      </c>
      <c r="L2564" s="1" t="str">
        <f>HYPERLINK("https://files.afu.se/Downloads/Transcripts/0%20-%20Government/USA%20-%20NASA%20Johnson/2012 11 21 - NASA Johnson - ISS Update  Packing and Preparing Space Food (Part 1)_mRkI2vorhD8 - transcript (automated).pdf","Transcript Link")</f>
        <v>Transcript Link</v>
      </c>
      <c r="M2564" s="2" t="str">
        <f>HYPERLINK("https://files.afu.se/Downloads/Transcripts/0%20-%20Government/USA%20-%20NASA%20Johnson/2012 11 21 - NASA Johnson - ISS Update  Packing and Preparing Space Food (Part 1)_mRkI2vorhD8 - transcript (automated).pdf","Transcript Link")</f>
        <v>Transcript Link</v>
      </c>
    </row>
    <row r="2565" ht="225" spans="1:13">
      <c r="A2565" s="1" t="s">
        <v>11232</v>
      </c>
      <c r="B2565" s="1" t="s">
        <v>13</v>
      </c>
      <c r="C2565" s="4" t="s">
        <v>11245</v>
      </c>
      <c r="D2565" s="1" t="s">
        <v>11246</v>
      </c>
      <c r="E2565" s="1" t="s">
        <v>11247</v>
      </c>
      <c r="F2565" s="4" t="s">
        <v>17</v>
      </c>
      <c r="G2565" s="1" t="s">
        <v>18</v>
      </c>
      <c r="H2565" s="1" t="s">
        <v>19</v>
      </c>
      <c r="I2565" s="1" t="s">
        <v>20</v>
      </c>
      <c r="J2565" s="1" t="s">
        <v>11248</v>
      </c>
      <c r="K2565" s="1" t="s">
        <v>22</v>
      </c>
      <c r="L2565" s="1" t="str">
        <f>HYPERLINK("https://files.afu.se/Downloads/Transcripts/0%20-%20Government/USA%20-%20NASA%20Johnson/2012 11 21 - NASA Johnson - Station Tour  Cupola and Leonardo_jbZ7lDlVeIo - transcript (automated).pdf","Transcript Link")</f>
        <v>Transcript Link</v>
      </c>
      <c r="M2565" s="2" t="str">
        <f>HYPERLINK("https://files.afu.se/Downloads/Transcripts/0%20-%20Government/USA%20-%20NASA%20Johnson/2012 11 21 - NASA Johnson - Station Tour  Cupola and Leonardo_jbZ7lDlVeIo - transcript (automated).pdf","Transcript Link")</f>
        <v>Transcript Link</v>
      </c>
    </row>
    <row r="2566" ht="225" spans="1:13">
      <c r="A2566" s="1" t="s">
        <v>11232</v>
      </c>
      <c r="B2566" s="1" t="s">
        <v>13</v>
      </c>
      <c r="C2566" s="4" t="s">
        <v>11249</v>
      </c>
      <c r="D2566" s="1" t="s">
        <v>11250</v>
      </c>
      <c r="E2566" s="1" t="s">
        <v>11251</v>
      </c>
      <c r="F2566" s="4" t="s">
        <v>17</v>
      </c>
      <c r="G2566" s="1" t="s">
        <v>18</v>
      </c>
      <c r="H2566" s="1" t="s">
        <v>19</v>
      </c>
      <c r="I2566" s="1" t="s">
        <v>20</v>
      </c>
      <c r="J2566" s="1" t="s">
        <v>11252</v>
      </c>
      <c r="K2566" s="1" t="s">
        <v>22</v>
      </c>
      <c r="L2566" s="1" t="str">
        <f>HYPERLINK("https://files.afu.se/Downloads/Transcripts/0%20-%20Government/USA%20-%20NASA%20Johnson/2012 11 21 - NASA Johnson - Station Tour  Zarya and Zvezda_IJT0FMN_Ua0 - transcript (automated).pdf","Transcript Link")</f>
        <v>Transcript Link</v>
      </c>
      <c r="M2566" s="2" t="str">
        <f>HYPERLINK("https://files.afu.se/Downloads/Transcripts/0%20-%20Government/USA%20-%20NASA%20Johnson/2012 11 21 - NASA Johnson - Station Tour  Zarya and Zvezda_IJT0FMN_Ua0 - transcript (automated).pdf","Transcript Link")</f>
        <v>Transcript Link</v>
      </c>
    </row>
    <row r="2567" ht="195" spans="1:13">
      <c r="A2567" s="1" t="s">
        <v>11253</v>
      </c>
      <c r="B2567" s="1" t="s">
        <v>13</v>
      </c>
      <c r="C2567" s="4" t="s">
        <v>11254</v>
      </c>
      <c r="D2567" s="1" t="s">
        <v>11255</v>
      </c>
      <c r="E2567" s="1" t="s">
        <v>11256</v>
      </c>
      <c r="F2567" s="4" t="s">
        <v>17</v>
      </c>
      <c r="G2567" s="1" t="s">
        <v>18</v>
      </c>
      <c r="H2567" s="1" t="s">
        <v>19</v>
      </c>
      <c r="I2567" s="1" t="s">
        <v>20</v>
      </c>
      <c r="J2567" s="1" t="s">
        <v>11257</v>
      </c>
      <c r="K2567" s="1" t="s">
        <v>22</v>
      </c>
      <c r="L2567" s="1" t="str">
        <f>HYPERLINK("https://files.afu.se/Downloads/Transcripts/0%20-%20Government/USA%20-%20NASA%20Johnson/2012 11 20 - NASA Johnson - Station Tour  Destiny, Columbus, Kibo_ntYP7cRozhk - transcript (automated).pdf","Transcript Link")</f>
        <v>Transcript Link</v>
      </c>
      <c r="M2567" s="2" t="str">
        <f>HYPERLINK("https://files.afu.se/Downloads/Transcripts/0%20-%20Government/USA%20-%20NASA%20Johnson/2012 11 20 - NASA Johnson - Station Tour  Destiny, Columbus, Kibo_ntYP7cRozhk - transcript (automated).pdf","Transcript Link")</f>
        <v>Transcript Link</v>
      </c>
    </row>
    <row r="2568" ht="195" spans="1:13">
      <c r="A2568" s="1" t="s">
        <v>11253</v>
      </c>
      <c r="B2568" s="1" t="s">
        <v>13</v>
      </c>
      <c r="C2568" s="4" t="s">
        <v>11258</v>
      </c>
      <c r="D2568" s="1" t="s">
        <v>11259</v>
      </c>
      <c r="E2568" s="1" t="s">
        <v>11260</v>
      </c>
      <c r="F2568" s="4" t="s">
        <v>17</v>
      </c>
      <c r="G2568" s="1" t="s">
        <v>18</v>
      </c>
      <c r="H2568" s="1" t="s">
        <v>19</v>
      </c>
      <c r="I2568" s="1" t="s">
        <v>20</v>
      </c>
      <c r="J2568" s="1" t="s">
        <v>11261</v>
      </c>
      <c r="K2568" s="1" t="s">
        <v>22</v>
      </c>
      <c r="L2568" s="1" t="str">
        <f>HYPERLINK("https://files.afu.se/Downloads/Transcripts/0%20-%20Government/USA%20-%20NASA%20Johnson/2012 11 20 - NASA Johnson - Station Tour  Harmony, Tranquility, Unity_tBVUTFPate0 - transcript (automated).pdf","Transcript Link")</f>
        <v>Transcript Link</v>
      </c>
      <c r="M2568" s="2" t="str">
        <f>HYPERLINK("https://files.afu.se/Downloads/Transcripts/0%20-%20Government/USA%20-%20NASA%20Johnson/2012 11 20 - NASA Johnson - Station Tour  Harmony, Tranquility, Unity_tBVUTFPate0 - transcript (automated).pdf","Transcript Link")</f>
        <v>Transcript Link</v>
      </c>
    </row>
    <row r="2569" ht="180" spans="1:13">
      <c r="A2569" s="1" t="s">
        <v>11253</v>
      </c>
      <c r="B2569" s="1" t="s">
        <v>13</v>
      </c>
      <c r="C2569" s="4" t="s">
        <v>11262</v>
      </c>
      <c r="D2569" s="1" t="s">
        <v>11263</v>
      </c>
      <c r="E2569" s="1" t="s">
        <v>11264</v>
      </c>
      <c r="F2569" s="4" t="s">
        <v>17</v>
      </c>
      <c r="G2569" s="1" t="s">
        <v>18</v>
      </c>
      <c r="H2569" s="1" t="s">
        <v>19</v>
      </c>
      <c r="I2569" s="1" t="s">
        <v>20</v>
      </c>
      <c r="J2569" s="1" t="s">
        <v>11265</v>
      </c>
      <c r="K2569" s="1" t="s">
        <v>22</v>
      </c>
      <c r="L2569" s="1" t="str">
        <f>HYPERLINK("https://files.afu.se/Downloads/Transcripts/0%20-%20Government/USA%20-%20NASA%20Johnson/2012 11 20 - NASA Johnson - Expedition 34 Thanksgiving Message_ofTSZR3dC4g - transcript (automated).pdf","Transcript Link")</f>
        <v>Transcript Link</v>
      </c>
      <c r="M2569" s="2" t="str">
        <f>HYPERLINK("https://files.afu.se/Downloads/Transcripts/0%20-%20Government/USA%20-%20NASA%20Johnson/2012 11 20 - NASA Johnson - Expedition 34 Thanksgiving Message_ofTSZR3dC4g - transcript (automated).pdf","Transcript Link")</f>
        <v>Transcript Link</v>
      </c>
    </row>
    <row r="2570" ht="180" spans="1:13">
      <c r="A2570" s="1" t="s">
        <v>11266</v>
      </c>
      <c r="B2570" s="1" t="s">
        <v>13</v>
      </c>
      <c r="C2570" s="4" t="s">
        <v>11267</v>
      </c>
      <c r="D2570" s="1" t="s">
        <v>11268</v>
      </c>
      <c r="E2570" s="1" t="s">
        <v>11269</v>
      </c>
      <c r="F2570" s="4" t="s">
        <v>17</v>
      </c>
      <c r="G2570" s="1" t="s">
        <v>18</v>
      </c>
      <c r="H2570" s="1" t="s">
        <v>19</v>
      </c>
      <c r="I2570" s="1" t="s">
        <v>20</v>
      </c>
      <c r="J2570" s="1" t="s">
        <v>11270</v>
      </c>
      <c r="K2570" s="1" t="s">
        <v>22</v>
      </c>
      <c r="L2570" s="1" t="str">
        <f>HYPERLINK("https://files.afu.se/Downloads/Transcripts/0%20-%20Government/USA%20-%20NASA%20Johnson/2012 11 19 - NASA Johnson - ISS Update - Nov. 19, 2012_K758hr-hxGw - transcript (automated).pdf","Transcript Link")</f>
        <v>Transcript Link</v>
      </c>
      <c r="M2570" s="2" t="str">
        <f>HYPERLINK("https://files.afu.se/Downloads/Transcripts/0%20-%20Government/USA%20-%20NASA%20Johnson/2012 11 19 - NASA Johnson - ISS Update - Nov. 19, 2012_K758hr-hxGw - transcript (automated).pdf","Transcript Link")</f>
        <v>Transcript Link</v>
      </c>
    </row>
    <row r="2571" ht="180" spans="1:13">
      <c r="A2571" s="1" t="s">
        <v>11266</v>
      </c>
      <c r="B2571" s="1" t="s">
        <v>13</v>
      </c>
      <c r="C2571" s="4" t="s">
        <v>11271</v>
      </c>
      <c r="D2571" s="1" t="s">
        <v>11272</v>
      </c>
      <c r="E2571" s="1" t="s">
        <v>11273</v>
      </c>
      <c r="F2571" s="4" t="s">
        <v>17</v>
      </c>
      <c r="G2571" s="1" t="s">
        <v>18</v>
      </c>
      <c r="H2571" s="1" t="s">
        <v>19</v>
      </c>
      <c r="I2571" s="1" t="s">
        <v>20</v>
      </c>
      <c r="J2571" s="1" t="s">
        <v>11274</v>
      </c>
      <c r="K2571" s="1" t="s">
        <v>22</v>
      </c>
      <c r="L2571" s="1" t="str">
        <f>HYPERLINK("https://files.afu.se/Downloads/Transcripts/0%20-%20Government/USA%20-%20NASA%20Johnson/2012 11 19 - NASA Johnson - Expedition 33 Post-Landing Activities_xZCpL50SyIE - transcript (automated).pdf","Transcript Link")</f>
        <v>Transcript Link</v>
      </c>
      <c r="M2571" s="2" t="str">
        <f>HYPERLINK("https://files.afu.se/Downloads/Transcripts/0%20-%20Government/USA%20-%20NASA%20Johnson/2012 11 19 - NASA Johnson - Expedition 33 Post-Landing Activities_xZCpL50SyIE - transcript (automated).pdf","Transcript Link")</f>
        <v>Transcript Link</v>
      </c>
    </row>
    <row r="2572" ht="180" spans="1:13">
      <c r="A2572" s="1" t="s">
        <v>11266</v>
      </c>
      <c r="B2572" s="1" t="s">
        <v>13</v>
      </c>
      <c r="C2572" s="4" t="s">
        <v>11275</v>
      </c>
      <c r="D2572" s="1" t="s">
        <v>11276</v>
      </c>
      <c r="E2572" s="1" t="s">
        <v>11277</v>
      </c>
      <c r="F2572" s="4" t="s">
        <v>17</v>
      </c>
      <c r="G2572" s="1" t="s">
        <v>18</v>
      </c>
      <c r="H2572" s="1" t="s">
        <v>19</v>
      </c>
      <c r="I2572" s="1" t="s">
        <v>20</v>
      </c>
      <c r="J2572" s="1" t="s">
        <v>11278</v>
      </c>
      <c r="K2572" s="1" t="s">
        <v>22</v>
      </c>
      <c r="L2572" s="1" t="str">
        <f>HYPERLINK("https://files.afu.se/Downloads/Transcripts/0%20-%20Government/USA%20-%20NASA%20Johnson/2012 11 19 - NASA Johnson - Expedition 33 Lands in the Snowy Steppe of Kazakhstan_aY84PEAZETE - transcript (automated).pdf","Transcript Link")</f>
        <v>Transcript Link</v>
      </c>
      <c r="M2572" s="2" t="str">
        <f>HYPERLINK("https://files.afu.se/Downloads/Transcripts/0%20-%20Government/USA%20-%20NASA%20Johnson/2012 11 19 - NASA Johnson - Expedition 33 Lands in the Snowy Steppe of Kazakhstan_aY84PEAZETE - transcript (automated).pdf","Transcript Link")</f>
        <v>Transcript Link</v>
      </c>
    </row>
    <row r="2573" ht="180" spans="1:13">
      <c r="A2573" s="1" t="s">
        <v>11266</v>
      </c>
      <c r="B2573" s="1" t="s">
        <v>13</v>
      </c>
      <c r="C2573" s="4" t="s">
        <v>11279</v>
      </c>
      <c r="D2573" s="1" t="s">
        <v>11280</v>
      </c>
      <c r="E2573" s="1" t="s">
        <v>11281</v>
      </c>
      <c r="F2573" s="4" t="s">
        <v>17</v>
      </c>
      <c r="G2573" s="1" t="s">
        <v>18</v>
      </c>
      <c r="H2573" s="1" t="s">
        <v>19</v>
      </c>
      <c r="I2573" s="1" t="s">
        <v>20</v>
      </c>
      <c r="J2573" s="1" t="s">
        <v>11282</v>
      </c>
      <c r="K2573" s="1" t="s">
        <v>22</v>
      </c>
      <c r="L2573" s="1" t="str">
        <f>HYPERLINK("https://files.afu.se/Downloads/Transcripts/0%20-%20Government/USA%20-%20NASA%20Johnson/2012 11 19 - NASA Johnson - Expedition 33 Says Goodbye and Closes The Hatches_TVFy0OTPsuQ - transcript (automated).pdf","Transcript Link")</f>
        <v>Transcript Link</v>
      </c>
      <c r="M2573" s="2" t="str">
        <f>HYPERLINK("https://files.afu.se/Downloads/Transcripts/0%20-%20Government/USA%20-%20NASA%20Johnson/2012 11 19 - NASA Johnson - Expedition 33 Says Goodbye and Closes The Hatches_TVFy0OTPsuQ - transcript (automated).pdf","Transcript Link")</f>
        <v>Transcript Link</v>
      </c>
    </row>
    <row r="2574" ht="180" spans="1:13">
      <c r="A2574" s="1" t="s">
        <v>11266</v>
      </c>
      <c r="B2574" s="1" t="s">
        <v>13</v>
      </c>
      <c r="C2574" s="4" t="s">
        <v>11283</v>
      </c>
      <c r="D2574" s="1" t="s">
        <v>11284</v>
      </c>
      <c r="E2574" s="1" t="s">
        <v>11285</v>
      </c>
      <c r="F2574" s="4" t="s">
        <v>17</v>
      </c>
      <c r="G2574" s="1" t="s">
        <v>18</v>
      </c>
      <c r="H2574" s="1" t="s">
        <v>19</v>
      </c>
      <c r="I2574" s="1" t="s">
        <v>20</v>
      </c>
      <c r="J2574" s="1" t="s">
        <v>11286</v>
      </c>
      <c r="K2574" s="1" t="s">
        <v>22</v>
      </c>
      <c r="L2574" s="1" t="str">
        <f>HYPERLINK("https://files.afu.se/Downloads/Transcripts/0%20-%20Government/USA%20-%20NASA%20Johnson/2012 11 19 - NASA Johnson - Expedition 33 34 Change of Command Ceremony_15hN0cmoaYU - transcript (automated).pdf","Transcript Link")</f>
        <v>Transcript Link</v>
      </c>
      <c r="M2574" s="2" t="str">
        <f>HYPERLINK("https://files.afu.se/Downloads/Transcripts/0%20-%20Government/USA%20-%20NASA%20Johnson/2012 11 19 - NASA Johnson - Expedition 33 34 Change of Command Ceremony_15hN0cmoaYU - transcript (automated).pdf","Transcript Link")</f>
        <v>Transcript Link</v>
      </c>
    </row>
    <row r="2575" ht="180" spans="1:13">
      <c r="A2575" s="1" t="s">
        <v>11287</v>
      </c>
      <c r="B2575" s="1" t="s">
        <v>13</v>
      </c>
      <c r="C2575" s="4" t="s">
        <v>11288</v>
      </c>
      <c r="D2575" s="1" t="s">
        <v>11289</v>
      </c>
      <c r="E2575" s="1" t="s">
        <v>11290</v>
      </c>
      <c r="F2575" s="4" t="s">
        <v>17</v>
      </c>
      <c r="G2575" s="1" t="s">
        <v>18</v>
      </c>
      <c r="H2575" s="1" t="s">
        <v>19</v>
      </c>
      <c r="I2575" s="1" t="s">
        <v>20</v>
      </c>
      <c r="J2575" s="1" t="s">
        <v>11291</v>
      </c>
      <c r="K2575" s="1" t="s">
        <v>22</v>
      </c>
      <c r="L2575" s="1" t="str">
        <f>HYPERLINK("https://files.afu.se/Downloads/Transcripts/0%20-%20Government/USA%20-%20NASA%20Johnson/2012 11 17 - NASA Johnson - Expedition 33 34 Change of Command_d777X1E1ga8 - transcript (automated).pdf","Transcript Link")</f>
        <v>Transcript Link</v>
      </c>
      <c r="M2575" s="2" t="str">
        <f>HYPERLINK("https://files.afu.se/Downloads/Transcripts/0%20-%20Government/USA%20-%20NASA%20Johnson/2012 11 17 - NASA Johnson - Expedition 33 34 Change of Command_d777X1E1ga8 - transcript (automated).pdf","Transcript Link")</f>
        <v>Transcript Link</v>
      </c>
    </row>
    <row r="2576" ht="330" spans="1:13">
      <c r="A2576" s="1" t="s">
        <v>11292</v>
      </c>
      <c r="B2576" s="1" t="s">
        <v>13</v>
      </c>
      <c r="C2576" s="4" t="s">
        <v>11293</v>
      </c>
      <c r="D2576" s="1" t="s">
        <v>11294</v>
      </c>
      <c r="E2576" s="1" t="s">
        <v>11295</v>
      </c>
      <c r="F2576" s="4" t="s">
        <v>17</v>
      </c>
      <c r="G2576" s="1" t="s">
        <v>18</v>
      </c>
      <c r="H2576" s="1" t="s">
        <v>19</v>
      </c>
      <c r="I2576" s="1" t="s">
        <v>20</v>
      </c>
      <c r="J2576" s="1" t="s">
        <v>11296</v>
      </c>
      <c r="K2576" s="1" t="s">
        <v>22</v>
      </c>
      <c r="L2576" s="1" t="str">
        <f>HYPERLINK("https://files.afu.se/Downloads/Transcripts/0%20-%20Government/USA%20-%20NASA%20Johnson/2012 11 16 - NASA Johnson - ISS Update  NASA Astronaut Anna Fisher_esbzReqv4ts - transcript (automated).pdf","Transcript Link")</f>
        <v>Transcript Link</v>
      </c>
      <c r="M2576" s="2" t="str">
        <f>HYPERLINK("https://files.afu.se/Downloads/Transcripts/0%20-%20Government/USA%20-%20NASA%20Johnson/2012 11 16 - NASA Johnson - ISS Update  NASA Astronaut Anna Fisher_esbzReqv4ts - transcript (automated).pdf","Transcript Link")</f>
        <v>Transcript Link</v>
      </c>
    </row>
    <row r="2577" ht="180" spans="1:13">
      <c r="A2577" s="1" t="s">
        <v>11292</v>
      </c>
      <c r="B2577" s="1" t="s">
        <v>13</v>
      </c>
      <c r="C2577" s="4" t="s">
        <v>11297</v>
      </c>
      <c r="D2577" s="1" t="s">
        <v>11298</v>
      </c>
      <c r="E2577" s="1" t="s">
        <v>11299</v>
      </c>
      <c r="F2577" s="4" t="s">
        <v>17</v>
      </c>
      <c r="G2577" s="1" t="s">
        <v>18</v>
      </c>
      <c r="H2577" s="1" t="s">
        <v>19</v>
      </c>
      <c r="I2577" s="1" t="s">
        <v>20</v>
      </c>
      <c r="J2577" s="1" t="s">
        <v>11300</v>
      </c>
      <c r="K2577" s="1" t="s">
        <v>22</v>
      </c>
      <c r="L2577" s="1" t="str">
        <f>HYPERLINK("https://files.afu.se/Downloads/Transcripts/0%20-%20Government/USA%20-%20NASA%20Johnson/2012 11 16 - NASA Johnson - Johnson Space Center 2012 Highlights_L2Wx5w9-KnQ - transcript (automated).pdf","Transcript Link")</f>
        <v>Transcript Link</v>
      </c>
      <c r="M2577" s="2" t="str">
        <f>HYPERLINK("https://files.afu.se/Downloads/Transcripts/0%20-%20Government/USA%20-%20NASA%20Johnson/2012 11 16 - NASA Johnson - Johnson Space Center 2012 Highlights_L2Wx5w9-KnQ - transcript (automated).pdf","Transcript Link")</f>
        <v>Transcript Link</v>
      </c>
    </row>
    <row r="2578" ht="180" spans="1:13">
      <c r="A2578" s="1" t="s">
        <v>11292</v>
      </c>
      <c r="B2578" s="1" t="s">
        <v>13</v>
      </c>
      <c r="C2578" s="4" t="s">
        <v>11301</v>
      </c>
      <c r="D2578" s="1" t="s">
        <v>11302</v>
      </c>
      <c r="E2578" s="1" t="s">
        <v>11303</v>
      </c>
      <c r="F2578" s="4" t="s">
        <v>17</v>
      </c>
      <c r="G2578" s="1" t="s">
        <v>18</v>
      </c>
      <c r="H2578" s="1" t="s">
        <v>19</v>
      </c>
      <c r="I2578" s="1" t="s">
        <v>20</v>
      </c>
      <c r="J2578" s="1" t="s">
        <v>11304</v>
      </c>
      <c r="K2578" s="1" t="s">
        <v>22</v>
      </c>
      <c r="L2578" s="1" t="str">
        <f>HYPERLINK("https://files.afu.se/Downloads/Transcripts/0%20-%20Government/USA%20-%20NASA%20Johnson/2012 11 16 - NASA Johnson - ISS Update  Weekly Recap for Nov. 16, 2012_HX9l_DtrhIQ - transcript (automated).pdf","Transcript Link")</f>
        <v>Transcript Link</v>
      </c>
      <c r="M2578" s="2" t="str">
        <f>HYPERLINK("https://files.afu.se/Downloads/Transcripts/0%20-%20Government/USA%20-%20NASA%20Johnson/2012 11 16 - NASA Johnson - ISS Update  Weekly Recap for Nov. 16, 2012_HX9l_DtrhIQ - transcript (automated).pdf","Transcript Link")</f>
        <v>Transcript Link</v>
      </c>
    </row>
    <row r="2579" ht="180" spans="1:13">
      <c r="A2579" s="1" t="s">
        <v>11305</v>
      </c>
      <c r="B2579" s="1" t="s">
        <v>13</v>
      </c>
      <c r="C2579" s="4" t="s">
        <v>11306</v>
      </c>
      <c r="D2579" s="1" t="s">
        <v>11307</v>
      </c>
      <c r="E2579" s="1" t="s">
        <v>11308</v>
      </c>
      <c r="F2579" s="4" t="s">
        <v>17</v>
      </c>
      <c r="G2579" s="1" t="s">
        <v>18</v>
      </c>
      <c r="H2579" s="1" t="s">
        <v>19</v>
      </c>
      <c r="I2579" s="1" t="s">
        <v>20</v>
      </c>
      <c r="J2579" s="1" t="s">
        <v>11309</v>
      </c>
      <c r="K2579" s="1" t="s">
        <v>22</v>
      </c>
      <c r="L2579" s="1" t="str">
        <f>HYPERLINK("https://files.afu.se/Downloads/Transcripts/0%20-%20Government/USA%20-%20NASA%20Johnson/2012 11 15 - NASA Johnson - ISS Update - Nov. 15, 2012_CpLvIxrBEx0 - transcript (automated).pdf","Transcript Link")</f>
        <v>Transcript Link</v>
      </c>
      <c r="M2579" s="2" t="str">
        <f>HYPERLINK("https://files.afu.se/Downloads/Transcripts/0%20-%20Government/USA%20-%20NASA%20Johnson/2012 11 15 - NASA Johnson - ISS Update - Nov. 15, 2012_CpLvIxrBEx0 - transcript (automated).pdf","Transcript Link")</f>
        <v>Transcript Link</v>
      </c>
    </row>
    <row r="2580" ht="405" spans="1:13">
      <c r="A2580" s="1" t="s">
        <v>11310</v>
      </c>
      <c r="B2580" s="1" t="s">
        <v>13</v>
      </c>
      <c r="C2580" s="4" t="s">
        <v>11311</v>
      </c>
      <c r="D2580" s="1" t="s">
        <v>11312</v>
      </c>
      <c r="E2580" s="1" t="s">
        <v>11313</v>
      </c>
      <c r="F2580" s="4" t="s">
        <v>17</v>
      </c>
      <c r="G2580" s="1" t="s">
        <v>18</v>
      </c>
      <c r="H2580" s="1" t="s">
        <v>19</v>
      </c>
      <c r="I2580" s="1" t="s">
        <v>20</v>
      </c>
      <c r="J2580" s="1" t="s">
        <v>11314</v>
      </c>
      <c r="K2580" s="1" t="s">
        <v>22</v>
      </c>
      <c r="L2580" s="1" t="str">
        <f>HYPERLINK("https://files.afu.se/Downloads/Transcripts/0%20-%20Government/USA%20-%20NASA%20Johnson/2012 11 14 - NASA Johnson - ISS Update  Station Crew Departure Preps_9J-xkMH558E - transcript (automated).pdf","Transcript Link")</f>
        <v>Transcript Link</v>
      </c>
      <c r="M2580" s="2" t="str">
        <f>HYPERLINK("https://files.afu.se/Downloads/Transcripts/0%20-%20Government/USA%20-%20NASA%20Johnson/2012 11 14 - NASA Johnson - ISS Update  Station Crew Departure Preps_9J-xkMH558E - transcript (automated).pdf","Transcript Link")</f>
        <v>Transcript Link</v>
      </c>
    </row>
    <row r="2581" ht="180" spans="1:13">
      <c r="A2581" s="1" t="s">
        <v>11310</v>
      </c>
      <c r="B2581" s="1" t="s">
        <v>13</v>
      </c>
      <c r="C2581" s="4" t="s">
        <v>11315</v>
      </c>
      <c r="D2581" s="1" t="s">
        <v>11316</v>
      </c>
      <c r="E2581" s="1" t="s">
        <v>11317</v>
      </c>
      <c r="F2581" s="4" t="s">
        <v>17</v>
      </c>
      <c r="G2581" s="1" t="s">
        <v>18</v>
      </c>
      <c r="H2581" s="1" t="s">
        <v>19</v>
      </c>
      <c r="I2581" s="1" t="s">
        <v>20</v>
      </c>
      <c r="J2581" s="1" t="s">
        <v>11318</v>
      </c>
      <c r="K2581" s="1" t="s">
        <v>22</v>
      </c>
      <c r="L2581" s="1" t="str">
        <f>HYPERLINK("https://files.afu.se/Downloads/Transcripts/0%20-%20Government/USA%20-%20NASA%20Johnson/2012 11 14 - NASA Johnson - ISS Update - Nov. 14, 2012_z5yxS7Wqd7A - transcript (automated).pdf","Transcript Link")</f>
        <v>Transcript Link</v>
      </c>
      <c r="M2581" s="2" t="str">
        <f>HYPERLINK("https://files.afu.se/Downloads/Transcripts/0%20-%20Government/USA%20-%20NASA%20Johnson/2012 11 14 - NASA Johnson - ISS Update - Nov. 14, 2012_z5yxS7Wqd7A - transcript (automated).pdf","Transcript Link")</f>
        <v>Transcript Link</v>
      </c>
    </row>
    <row r="2582" ht="375" spans="1:13">
      <c r="A2582" s="1" t="s">
        <v>11319</v>
      </c>
      <c r="B2582" s="1" t="s">
        <v>13</v>
      </c>
      <c r="C2582" s="4" t="s">
        <v>11320</v>
      </c>
      <c r="D2582" s="1" t="s">
        <v>11321</v>
      </c>
      <c r="E2582" s="1" t="s">
        <v>11322</v>
      </c>
      <c r="F2582" s="4" t="s">
        <v>17</v>
      </c>
      <c r="G2582" s="1" t="s">
        <v>18</v>
      </c>
      <c r="H2582" s="1" t="s">
        <v>19</v>
      </c>
      <c r="I2582" s="1" t="s">
        <v>20</v>
      </c>
      <c r="J2582" s="1" t="s">
        <v>11323</v>
      </c>
      <c r="K2582" s="1" t="s">
        <v>22</v>
      </c>
      <c r="L2582" s="1" t="str">
        <f>HYPERLINK("https://files.afu.se/Downloads/Transcripts/0%20-%20Government/USA%20-%20NASA%20Johnson/2012 11 13 - NASA Johnson - ISS Update  Earth Knowledge Acquired by Middle School Students (EarthKAM)_KfAluCg8Qb4 - transcript (automated).pdf","Transcript Link")</f>
        <v>Transcript Link</v>
      </c>
      <c r="M2582" s="2" t="str">
        <f>HYPERLINK("https://files.afu.se/Downloads/Transcripts/0%20-%20Government/USA%20-%20NASA%20Johnson/2012 11 13 - NASA Johnson - ISS Update  Earth Knowledge Acquired by Middle School Students (EarthKAM)_KfAluCg8Qb4 - transcript (automated).pdf","Transcript Link")</f>
        <v>Transcript Link</v>
      </c>
    </row>
    <row r="2583" ht="180" spans="1:13">
      <c r="A2583" s="1" t="s">
        <v>11319</v>
      </c>
      <c r="B2583" s="1" t="s">
        <v>13</v>
      </c>
      <c r="C2583" s="4" t="s">
        <v>11324</v>
      </c>
      <c r="D2583" s="1" t="s">
        <v>11325</v>
      </c>
      <c r="E2583" s="1" t="s">
        <v>11326</v>
      </c>
      <c r="F2583" s="4" t="s">
        <v>17</v>
      </c>
      <c r="G2583" s="1" t="s">
        <v>18</v>
      </c>
      <c r="H2583" s="1" t="s">
        <v>19</v>
      </c>
      <c r="I2583" s="1" t="s">
        <v>20</v>
      </c>
      <c r="J2583" s="1" t="s">
        <v>11327</v>
      </c>
      <c r="K2583" s="1" t="s">
        <v>22</v>
      </c>
      <c r="L2583" s="1" t="str">
        <f>HYPERLINK("https://files.afu.se/Downloads/Transcripts/0%20-%20Government/USA%20-%20NASA%20Johnson/2012 11 13 - NASA Johnson - ISS Update - Nov. 13, 2012_ECwir9-jhoI - transcript (automated).pdf","Transcript Link")</f>
        <v>Transcript Link</v>
      </c>
      <c r="M2583" s="2" t="str">
        <f>HYPERLINK("https://files.afu.se/Downloads/Transcripts/0%20-%20Government/USA%20-%20NASA%20Johnson/2012 11 13 - NASA Johnson - ISS Update - Nov. 13, 2012_ECwir9-jhoI - transcript (automated).pdf","Transcript Link")</f>
        <v>Transcript Link</v>
      </c>
    </row>
    <row r="2584" ht="180" spans="1:13">
      <c r="A2584" s="1" t="s">
        <v>11328</v>
      </c>
      <c r="B2584" s="1" t="s">
        <v>13</v>
      </c>
      <c r="C2584" s="4" t="s">
        <v>11329</v>
      </c>
      <c r="D2584" s="1" t="s">
        <v>11330</v>
      </c>
      <c r="E2584" s="1" t="s">
        <v>11331</v>
      </c>
      <c r="F2584" s="4" t="s">
        <v>17</v>
      </c>
      <c r="G2584" s="1" t="s">
        <v>18</v>
      </c>
      <c r="H2584" s="1" t="s">
        <v>19</v>
      </c>
      <c r="I2584" s="1" t="s">
        <v>20</v>
      </c>
      <c r="J2584" s="1" t="s">
        <v>11332</v>
      </c>
      <c r="K2584" s="1" t="s">
        <v>22</v>
      </c>
      <c r="L2584" s="1" t="str">
        <f>HYPERLINK("https://files.afu.se/Downloads/Transcripts/0%20-%20Government/USA%20-%20NASA%20Johnson/2012 11 09 - NASA Johnson - ISS Update - Nov. 9, 2012_mpXcdOQeSHg - transcript (automated).pdf","Transcript Link")</f>
        <v>Transcript Link</v>
      </c>
      <c r="M2584" s="2" t="str">
        <f>HYPERLINK("https://files.afu.se/Downloads/Transcripts/0%20-%20Government/USA%20-%20NASA%20Johnson/2012 11 09 - NASA Johnson - ISS Update - Nov. 9, 2012_mpXcdOQeSHg - transcript (automated).pdf","Transcript Link")</f>
        <v>Transcript Link</v>
      </c>
    </row>
    <row r="2585" ht="180" spans="1:13">
      <c r="A2585" s="1" t="s">
        <v>11333</v>
      </c>
      <c r="B2585" s="1" t="s">
        <v>13</v>
      </c>
      <c r="C2585" s="4" t="s">
        <v>11334</v>
      </c>
      <c r="D2585" s="1" t="s">
        <v>11335</v>
      </c>
      <c r="E2585" s="1" t="s">
        <v>11336</v>
      </c>
      <c r="F2585" s="4" t="s">
        <v>17</v>
      </c>
      <c r="G2585" s="1" t="s">
        <v>18</v>
      </c>
      <c r="H2585" s="1" t="s">
        <v>19</v>
      </c>
      <c r="I2585" s="1" t="s">
        <v>20</v>
      </c>
      <c r="J2585" s="1" t="s">
        <v>11337</v>
      </c>
      <c r="K2585" s="1" t="s">
        <v>22</v>
      </c>
      <c r="L2585" s="1" t="str">
        <f>HYPERLINK("https://files.afu.se/Downloads/Transcripts/0%20-%20Government/USA%20-%20NASA%20Johnson/2012 11 08 - NASA Johnson - ISS Update - Nov. 8, 2012_BHuh4xoCziY - transcript (automated).pdf","Transcript Link")</f>
        <v>Transcript Link</v>
      </c>
      <c r="M2585" s="2" t="str">
        <f>HYPERLINK("https://files.afu.se/Downloads/Transcripts/0%20-%20Government/USA%20-%20NASA%20Johnson/2012 11 08 - NASA Johnson - ISS Update - Nov. 8, 2012_BHuh4xoCziY - transcript (automated).pdf","Transcript Link")</f>
        <v>Transcript Link</v>
      </c>
    </row>
    <row r="2586" ht="180" spans="1:13">
      <c r="A2586" s="1" t="s">
        <v>11338</v>
      </c>
      <c r="B2586" s="1" t="s">
        <v>13</v>
      </c>
      <c r="C2586" s="4" t="s">
        <v>11339</v>
      </c>
      <c r="D2586" s="1" t="s">
        <v>11340</v>
      </c>
      <c r="E2586" s="1" t="s">
        <v>11341</v>
      </c>
      <c r="F2586" s="4" t="s">
        <v>17</v>
      </c>
      <c r="G2586" s="1" t="s">
        <v>18</v>
      </c>
      <c r="H2586" s="1" t="s">
        <v>19</v>
      </c>
      <c r="I2586" s="1" t="s">
        <v>20</v>
      </c>
      <c r="J2586" s="1" t="s">
        <v>11342</v>
      </c>
      <c r="K2586" s="1" t="s">
        <v>22</v>
      </c>
      <c r="L2586" s="1" t="str">
        <f>HYPERLINK("https://files.afu.se/Downloads/Transcripts/0%20-%20Government/USA%20-%20NASA%20Johnson/2012 11 07 - NASA Johnson - ISS Update - Nov. 7, 2012_EHf9Gy-hVAw - transcript (automated).pdf","Transcript Link")</f>
        <v>Transcript Link</v>
      </c>
      <c r="M2586" s="2" t="str">
        <f>HYPERLINK("https://files.afu.se/Downloads/Transcripts/0%20-%20Government/USA%20-%20NASA%20Johnson/2012 11 07 - NASA Johnson - ISS Update - Nov. 7, 2012_EHf9Gy-hVAw - transcript (automated).pdf","Transcript Link")</f>
        <v>Transcript Link</v>
      </c>
    </row>
    <row r="2587" ht="300" spans="1:13">
      <c r="A2587" s="1" t="s">
        <v>11343</v>
      </c>
      <c r="B2587" s="1" t="s">
        <v>13</v>
      </c>
      <c r="C2587" s="4" t="s">
        <v>11344</v>
      </c>
      <c r="D2587" s="1" t="s">
        <v>11345</v>
      </c>
      <c r="E2587" s="1" t="s">
        <v>11346</v>
      </c>
      <c r="F2587" s="4" t="s">
        <v>17</v>
      </c>
      <c r="G2587" s="1" t="s">
        <v>18</v>
      </c>
      <c r="H2587" s="1" t="s">
        <v>19</v>
      </c>
      <c r="I2587" s="1" t="s">
        <v>20</v>
      </c>
      <c r="J2587" s="1" t="s">
        <v>11347</v>
      </c>
      <c r="K2587" s="1" t="s">
        <v>22</v>
      </c>
      <c r="L2587" s="1" t="str">
        <f>HYPERLINK("https://files.afu.se/Downloads/Transcripts/0%20-%20Government/USA%20-%20NASA%20Johnson/2012 11 06 - NASA Johnson - ISS Update  SPARTAN and the Spacewalk -- 11.06.12_BhU2a4RydlQ - transcript (automated).pdf","Transcript Link")</f>
        <v>Transcript Link</v>
      </c>
      <c r="M2587" s="2" t="str">
        <f>HYPERLINK("https://files.afu.se/Downloads/Transcripts/0%20-%20Government/USA%20-%20NASA%20Johnson/2012 11 06 - NASA Johnson - ISS Update  SPARTAN and the Spacewalk -- 11.06.12_BhU2a4RydlQ - transcript (automated).pdf","Transcript Link")</f>
        <v>Transcript Link</v>
      </c>
    </row>
    <row r="2588" ht="180" spans="1:13">
      <c r="A2588" s="1" t="s">
        <v>11343</v>
      </c>
      <c r="B2588" s="1" t="s">
        <v>13</v>
      </c>
      <c r="C2588" s="4" t="s">
        <v>11348</v>
      </c>
      <c r="D2588" s="1" t="s">
        <v>11349</v>
      </c>
      <c r="E2588" s="1" t="s">
        <v>11350</v>
      </c>
      <c r="F2588" s="4" t="s">
        <v>17</v>
      </c>
      <c r="G2588" s="1" t="s">
        <v>18</v>
      </c>
      <c r="H2588" s="1" t="s">
        <v>19</v>
      </c>
      <c r="I2588" s="1" t="s">
        <v>20</v>
      </c>
      <c r="J2588" s="1" t="s">
        <v>11351</v>
      </c>
      <c r="K2588" s="1" t="s">
        <v>22</v>
      </c>
      <c r="L2588" s="1" t="str">
        <f>HYPERLINK("https://files.afu.se/Downloads/Transcripts/0%20-%20Government/USA%20-%20NASA%20Johnson/2012 11 06 - NASA Johnson - ISS Update - Nov. 6, 2012_nP2M7HtnAKk - transcript (automated).pdf","Transcript Link")</f>
        <v>Transcript Link</v>
      </c>
      <c r="M2588" s="2" t="str">
        <f>HYPERLINK("https://files.afu.se/Downloads/Transcripts/0%20-%20Government/USA%20-%20NASA%20Johnson/2012 11 06 - NASA Johnson - ISS Update - Nov. 6, 2012_nP2M7HtnAKk - transcript (automated).pdf","Transcript Link")</f>
        <v>Transcript Link</v>
      </c>
    </row>
    <row r="2589" ht="180" spans="1:13">
      <c r="A2589" s="1" t="s">
        <v>11352</v>
      </c>
      <c r="B2589" s="1" t="s">
        <v>13</v>
      </c>
      <c r="C2589" s="4" t="s">
        <v>11353</v>
      </c>
      <c r="D2589" s="1" t="s">
        <v>11354</v>
      </c>
      <c r="E2589" s="1" t="s">
        <v>11355</v>
      </c>
      <c r="F2589" s="4" t="s">
        <v>17</v>
      </c>
      <c r="G2589" s="1" t="s">
        <v>18</v>
      </c>
      <c r="H2589" s="1" t="s">
        <v>19</v>
      </c>
      <c r="I2589" s="1" t="s">
        <v>20</v>
      </c>
      <c r="J2589" s="1" t="s">
        <v>11356</v>
      </c>
      <c r="K2589" s="1" t="s">
        <v>22</v>
      </c>
      <c r="L2589" s="1" t="str">
        <f>HYPERLINK("https://files.afu.se/Downloads/Transcripts/0%20-%20Government/USA%20-%20NASA%20Johnson/2012 11 05 - NASA Johnson - ISS Update - Nov. 5, 2012_Gi9JaLp0iSc - transcript (automated).pdf","Transcript Link")</f>
        <v>Transcript Link</v>
      </c>
      <c r="M2589" s="2" t="str">
        <f>HYPERLINK("https://files.afu.se/Downloads/Transcripts/0%20-%20Government/USA%20-%20NASA%20Johnson/2012 11 05 - NASA Johnson - ISS Update - Nov. 5, 2012_Gi9JaLp0iSc - transcript (automated).pdf","Transcript Link")</f>
        <v>Transcript Link</v>
      </c>
    </row>
    <row r="2590" ht="180" spans="1:13">
      <c r="A2590" s="1" t="s">
        <v>11357</v>
      </c>
      <c r="B2590" s="1" t="s">
        <v>13</v>
      </c>
      <c r="C2590" s="4" t="s">
        <v>11358</v>
      </c>
      <c r="D2590" s="1" t="s">
        <v>11359</v>
      </c>
      <c r="E2590" s="1" t="s">
        <v>11360</v>
      </c>
      <c r="F2590" s="4" t="s">
        <v>17</v>
      </c>
      <c r="G2590" s="1" t="s">
        <v>18</v>
      </c>
      <c r="H2590" s="1" t="s">
        <v>19</v>
      </c>
      <c r="I2590" s="1" t="s">
        <v>20</v>
      </c>
      <c r="J2590" s="1" t="s">
        <v>11361</v>
      </c>
      <c r="K2590" s="1" t="s">
        <v>22</v>
      </c>
      <c r="L2590" s="1" t="str">
        <f>HYPERLINK("https://files.afu.se/Downloads/Transcripts/0%20-%20Government/USA%20-%20NASA%20Johnson/2012 11 02 - NASA Johnson - ISS Update  Weekly Recap for Nov. 2, 2012_mCd1wFp-1Sk - transcript (automated).pdf","Transcript Link")</f>
        <v>Transcript Link</v>
      </c>
      <c r="M2590" s="2" t="str">
        <f>HYPERLINK("https://files.afu.se/Downloads/Transcripts/0%20-%20Government/USA%20-%20NASA%20Johnson/2012 11 02 - NASA Johnson - ISS Update  Weekly Recap for Nov. 2, 2012_mCd1wFp-1Sk - transcript (automated).pdf","Transcript Link")</f>
        <v>Transcript Link</v>
      </c>
    </row>
    <row r="2591" ht="180" spans="1:13">
      <c r="A2591" s="1" t="s">
        <v>11362</v>
      </c>
      <c r="B2591" s="1" t="s">
        <v>13</v>
      </c>
      <c r="C2591" s="4" t="s">
        <v>11363</v>
      </c>
      <c r="D2591" s="1" t="s">
        <v>11364</v>
      </c>
      <c r="E2591" s="1" t="s">
        <v>11365</v>
      </c>
      <c r="F2591" s="4" t="s">
        <v>17</v>
      </c>
      <c r="G2591" s="1" t="s">
        <v>18</v>
      </c>
      <c r="H2591" s="1" t="s">
        <v>19</v>
      </c>
      <c r="I2591" s="1" t="s">
        <v>20</v>
      </c>
      <c r="J2591" s="1" t="s">
        <v>11366</v>
      </c>
      <c r="K2591" s="1" t="s">
        <v>22</v>
      </c>
      <c r="L2591" s="1" t="str">
        <f>HYPERLINK("https://files.afu.se/Downloads/Transcripts/0%20-%20Government/USA%20-%20NASA%20Johnson/2012 10 31 - NASA Johnson - ISS Update - Oct. 31, 2012_s5WslVtLo1U - transcript (automated).pdf","Transcript Link")</f>
        <v>Transcript Link</v>
      </c>
      <c r="M2591" s="2" t="str">
        <f>HYPERLINK("https://files.afu.se/Downloads/Transcripts/0%20-%20Government/USA%20-%20NASA%20Johnson/2012 10 31 - NASA Johnson - ISS Update - Oct. 31, 2012_s5WslVtLo1U - transcript (automated).pdf","Transcript Link")</f>
        <v>Transcript Link</v>
      </c>
    </row>
    <row r="2592" ht="180" spans="1:13">
      <c r="A2592" s="1" t="s">
        <v>11362</v>
      </c>
      <c r="B2592" s="1" t="s">
        <v>13</v>
      </c>
      <c r="C2592" s="4" t="s">
        <v>11367</v>
      </c>
      <c r="D2592" s="1" t="s">
        <v>11368</v>
      </c>
      <c r="E2592" s="1" t="s">
        <v>11369</v>
      </c>
      <c r="F2592" s="4" t="s">
        <v>17</v>
      </c>
      <c r="G2592" s="1" t="s">
        <v>18</v>
      </c>
      <c r="H2592" s="1" t="s">
        <v>19</v>
      </c>
      <c r="I2592" s="1" t="s">
        <v>20</v>
      </c>
      <c r="J2592" s="1" t="s">
        <v>11370</v>
      </c>
      <c r="K2592" s="1" t="s">
        <v>22</v>
      </c>
      <c r="L2592" s="1" t="str">
        <f>HYPERLINK("https://files.afu.se/Downloads/Transcripts/0%20-%20Government/USA%20-%20NASA%20Johnson/2012 10 31 - NASA Johnson - Russian Cargo Craft Launches_IUS-WCbnULQ - transcript (automated).pdf","Transcript Link")</f>
        <v>Transcript Link</v>
      </c>
      <c r="M2592" s="2" t="str">
        <f>HYPERLINK("https://files.afu.se/Downloads/Transcripts/0%20-%20Government/USA%20-%20NASA%20Johnson/2012 10 31 - NASA Johnson - Russian Cargo Craft Launches_IUS-WCbnULQ - transcript (automated).pdf","Transcript Link")</f>
        <v>Transcript Link</v>
      </c>
    </row>
    <row r="2593" ht="180" spans="1:13">
      <c r="A2593" s="1" t="s">
        <v>11371</v>
      </c>
      <c r="B2593" s="1" t="s">
        <v>13</v>
      </c>
      <c r="C2593" s="4" t="s">
        <v>11372</v>
      </c>
      <c r="D2593" s="1" t="s">
        <v>11373</v>
      </c>
      <c r="E2593" s="1" t="s">
        <v>11374</v>
      </c>
      <c r="F2593" s="4" t="s">
        <v>17</v>
      </c>
      <c r="G2593" s="1" t="s">
        <v>18</v>
      </c>
      <c r="H2593" s="1" t="s">
        <v>19</v>
      </c>
      <c r="I2593" s="1" t="s">
        <v>20</v>
      </c>
      <c r="J2593" s="1" t="s">
        <v>11375</v>
      </c>
      <c r="K2593" s="1" t="s">
        <v>22</v>
      </c>
      <c r="L2593" s="1" t="str">
        <f>HYPERLINK("https://files.afu.se/Downloads/Transcripts/0%20-%20Government/USA%20-%20NASA%20Johnson/2012 10 30 - NASA Johnson - Post-Tropical Cyclone Sandy -- Oct. 30, 2012_BqrfsdGENgA - transcript (automated).pdf","Transcript Link")</f>
        <v>Transcript Link</v>
      </c>
      <c r="M2593" s="2" t="str">
        <f>HYPERLINK("https://files.afu.se/Downloads/Transcripts/0%20-%20Government/USA%20-%20NASA%20Johnson/2012 10 30 - NASA Johnson - Post-Tropical Cyclone Sandy -- Oct. 30, 2012_BqrfsdGENgA - transcript (automated).pdf","Transcript Link")</f>
        <v>Transcript Link</v>
      </c>
    </row>
    <row r="2594" ht="180" spans="1:13">
      <c r="A2594" s="1" t="s">
        <v>11371</v>
      </c>
      <c r="B2594" s="1" t="s">
        <v>13</v>
      </c>
      <c r="C2594" s="4" t="s">
        <v>11376</v>
      </c>
      <c r="D2594" s="1" t="s">
        <v>11377</v>
      </c>
      <c r="E2594" s="1" t="s">
        <v>11378</v>
      </c>
      <c r="F2594" s="4" t="s">
        <v>17</v>
      </c>
      <c r="G2594" s="1" t="s">
        <v>18</v>
      </c>
      <c r="H2594" s="1" t="s">
        <v>19</v>
      </c>
      <c r="I2594" s="1" t="s">
        <v>20</v>
      </c>
      <c r="J2594" s="1" t="s">
        <v>11379</v>
      </c>
      <c r="K2594" s="1" t="s">
        <v>22</v>
      </c>
      <c r="L2594" s="1" t="str">
        <f>HYPERLINK("https://files.afu.se/Downloads/Transcripts/0%20-%20Government/USA%20-%20NASA%20Johnson/2012 10 30 - NASA Johnson - ISS Update - Oct. 30, 2012_Atxa1LKyZAc - transcript (automated).pdf","Transcript Link")</f>
        <v>Transcript Link</v>
      </c>
      <c r="M2594" s="2" t="str">
        <f>HYPERLINK("https://files.afu.se/Downloads/Transcripts/0%20-%20Government/USA%20-%20NASA%20Johnson/2012 10 30 - NASA Johnson - ISS Update - Oct. 30, 2012_Atxa1LKyZAc - transcript (automated).pdf","Transcript Link")</f>
        <v>Transcript Link</v>
      </c>
    </row>
    <row r="2595" ht="180" spans="1:13">
      <c r="A2595" s="1" t="s">
        <v>11380</v>
      </c>
      <c r="B2595" s="1" t="s">
        <v>13</v>
      </c>
      <c r="C2595" s="4" t="s">
        <v>11381</v>
      </c>
      <c r="D2595" s="1" t="s">
        <v>11382</v>
      </c>
      <c r="E2595" s="1" t="s">
        <v>11383</v>
      </c>
      <c r="F2595" s="4" t="s">
        <v>17</v>
      </c>
      <c r="G2595" s="1" t="s">
        <v>18</v>
      </c>
      <c r="H2595" s="1" t="s">
        <v>19</v>
      </c>
      <c r="I2595" s="1" t="s">
        <v>20</v>
      </c>
      <c r="J2595" s="1" t="s">
        <v>11384</v>
      </c>
      <c r="K2595" s="1" t="s">
        <v>22</v>
      </c>
      <c r="L2595" s="1" t="str">
        <f>HYPERLINK("https://files.afu.se/Downloads/Transcripts/0%20-%20Government/USA%20-%20NASA%20Johnson/2012 10 29 - NASA Johnson - Hurricane Sandy -- Pass 2, Oct. 29, 2012_aLYn0vAwRVs - transcript (automated).pdf","Transcript Link")</f>
        <v>Transcript Link</v>
      </c>
      <c r="M2595" s="2" t="str">
        <f>HYPERLINK("https://files.afu.se/Downloads/Transcripts/0%20-%20Government/USA%20-%20NASA%20Johnson/2012 10 29 - NASA Johnson - Hurricane Sandy -- Pass 2, Oct. 29, 2012_aLYn0vAwRVs - transcript (automated).pdf","Transcript Link")</f>
        <v>Transcript Link</v>
      </c>
    </row>
    <row r="2596" ht="180" spans="1:13">
      <c r="A2596" s="1" t="s">
        <v>11380</v>
      </c>
      <c r="B2596" s="1" t="s">
        <v>13</v>
      </c>
      <c r="C2596" s="4" t="s">
        <v>11385</v>
      </c>
      <c r="D2596" s="1" t="s">
        <v>11386</v>
      </c>
      <c r="E2596" s="1" t="s">
        <v>11387</v>
      </c>
      <c r="F2596" s="4" t="s">
        <v>17</v>
      </c>
      <c r="G2596" s="1" t="s">
        <v>18</v>
      </c>
      <c r="H2596" s="1" t="s">
        <v>19</v>
      </c>
      <c r="I2596" s="1" t="s">
        <v>20</v>
      </c>
      <c r="J2596" s="1" t="s">
        <v>11388</v>
      </c>
      <c r="K2596" s="1" t="s">
        <v>22</v>
      </c>
      <c r="L2596" s="1" t="str">
        <f>HYPERLINK("https://files.afu.se/Downloads/Transcripts/0%20-%20Government/USA%20-%20NASA%20Johnson/2012 10 29 - NASA Johnson - ISS Update - Oct. 29, 2012_b8OTeh80Er0 - transcript (automated).pdf","Transcript Link")</f>
        <v>Transcript Link</v>
      </c>
      <c r="M2596" s="2" t="str">
        <f>HYPERLINK("https://files.afu.se/Downloads/Transcripts/0%20-%20Government/USA%20-%20NASA%20Johnson/2012 10 29 - NASA Johnson - ISS Update - Oct. 29, 2012_b8OTeh80Er0 - transcript (automated).pdf","Transcript Link")</f>
        <v>Transcript Link</v>
      </c>
    </row>
    <row r="2597" ht="180" spans="1:13">
      <c r="A2597" s="1" t="s">
        <v>11380</v>
      </c>
      <c r="B2597" s="1" t="s">
        <v>13</v>
      </c>
      <c r="C2597" s="4" t="s">
        <v>11389</v>
      </c>
      <c r="D2597" s="1" t="s">
        <v>11390</v>
      </c>
      <c r="E2597" s="1" t="s">
        <v>11383</v>
      </c>
      <c r="F2597" s="4" t="s">
        <v>17</v>
      </c>
      <c r="G2597" s="1" t="s">
        <v>18</v>
      </c>
      <c r="H2597" s="1" t="s">
        <v>19</v>
      </c>
      <c r="I2597" s="1" t="s">
        <v>20</v>
      </c>
      <c r="J2597" s="1" t="s">
        <v>11391</v>
      </c>
      <c r="K2597" s="1" t="s">
        <v>22</v>
      </c>
      <c r="L2597" s="1" t="str">
        <f>HYPERLINK("https://files.afu.se/Downloads/Transcripts/0%20-%20Government/USA%20-%20NASA%20Johnson/2012 10 29 - NASA Johnson - Hurricane Sandy -- Pass 1, Oct. 29, 2012_surnSwajScc - transcript (automated).pdf","Transcript Link")</f>
        <v>Transcript Link</v>
      </c>
      <c r="M2597" s="2" t="str">
        <f>HYPERLINK("https://files.afu.se/Downloads/Transcripts/0%20-%20Government/USA%20-%20NASA%20Johnson/2012 10 29 - NASA Johnson - Hurricane Sandy -- Pass 1, Oct. 29, 2012_surnSwajScc - transcript (automated).pdf","Transcript Link")</f>
        <v>Transcript Link</v>
      </c>
    </row>
    <row r="2598" ht="255" spans="1:13">
      <c r="A2598" s="1" t="s">
        <v>11380</v>
      </c>
      <c r="B2598" s="1" t="s">
        <v>13</v>
      </c>
      <c r="C2598" s="4" t="s">
        <v>11392</v>
      </c>
      <c r="D2598" s="1" t="s">
        <v>11393</v>
      </c>
      <c r="E2598" s="1" t="s">
        <v>11394</v>
      </c>
      <c r="F2598" s="4" t="s">
        <v>17</v>
      </c>
      <c r="G2598" s="1" t="s">
        <v>18</v>
      </c>
      <c r="H2598" s="1" t="s">
        <v>19</v>
      </c>
      <c r="I2598" s="1" t="s">
        <v>20</v>
      </c>
      <c r="J2598" s="1" t="s">
        <v>11395</v>
      </c>
      <c r="K2598" s="1" t="s">
        <v>22</v>
      </c>
      <c r="L2598" s="1" t="str">
        <f>HYPERLINK("https://files.afu.se/Downloads/Transcripts/0%20-%20Government/USA%20-%20NASA%20Johnson/2012 10 29 - NASA Johnson - Dragon Released From Station_h5EckrNyGFk - transcript (automated).pdf","Transcript Link")</f>
        <v>Transcript Link</v>
      </c>
      <c r="M2598" s="2" t="str">
        <f>HYPERLINK("https://files.afu.se/Downloads/Transcripts/0%20-%20Government/USA%20-%20NASA%20Johnson/2012 10 29 - NASA Johnson - Dragon Released From Station_h5EckrNyGFk - transcript (automated).pdf","Transcript Link")</f>
        <v>Transcript Link</v>
      </c>
    </row>
    <row r="2599" ht="180" spans="1:13">
      <c r="A2599" s="1" t="s">
        <v>11396</v>
      </c>
      <c r="B2599" s="1" t="s">
        <v>13</v>
      </c>
      <c r="C2599" s="4" t="s">
        <v>11397</v>
      </c>
      <c r="D2599" s="1" t="s">
        <v>11398</v>
      </c>
      <c r="E2599" s="1" t="s">
        <v>11399</v>
      </c>
      <c r="F2599" s="4" t="s">
        <v>17</v>
      </c>
      <c r="G2599" s="1" t="s">
        <v>18</v>
      </c>
      <c r="H2599" s="1" t="s">
        <v>19</v>
      </c>
      <c r="I2599" s="1" t="s">
        <v>20</v>
      </c>
      <c r="J2599" s="1" t="s">
        <v>11400</v>
      </c>
      <c r="K2599" s="1" t="s">
        <v>22</v>
      </c>
      <c r="L2599" s="1" t="str">
        <f>HYPERLINK("https://files.afu.se/Downloads/Transcripts/0%20-%20Government/USA%20-%20NASA%20Johnson/2012 10 26 - NASA Johnson - ISS Update  Science Aboard the Station -- 10.26.12_FRyHrvkhkJo - transcript (automated).pdf","Transcript Link")</f>
        <v>Transcript Link</v>
      </c>
      <c r="M2599" s="2" t="str">
        <f>HYPERLINK("https://files.afu.se/Downloads/Transcripts/0%20-%20Government/USA%20-%20NASA%20Johnson/2012 10 26 - NASA Johnson - ISS Update  Science Aboard the Station -- 10.26.12_FRyHrvkhkJo - transcript (automated).pdf","Transcript Link")</f>
        <v>Transcript Link</v>
      </c>
    </row>
    <row r="2600" ht="180" spans="1:13">
      <c r="A2600" s="1" t="s">
        <v>11396</v>
      </c>
      <c r="B2600" s="1" t="s">
        <v>13</v>
      </c>
      <c r="C2600" s="4" t="s">
        <v>11401</v>
      </c>
      <c r="D2600" s="1" t="s">
        <v>11402</v>
      </c>
      <c r="E2600" s="1" t="s">
        <v>11403</v>
      </c>
      <c r="F2600" s="4" t="s">
        <v>17</v>
      </c>
      <c r="G2600" s="1" t="s">
        <v>18</v>
      </c>
      <c r="H2600" s="1" t="s">
        <v>19</v>
      </c>
      <c r="I2600" s="1" t="s">
        <v>20</v>
      </c>
      <c r="J2600" s="1" t="s">
        <v>11404</v>
      </c>
      <c r="K2600" s="1" t="s">
        <v>22</v>
      </c>
      <c r="L2600" s="1" t="str">
        <f>HYPERLINK("https://files.afu.se/Downloads/Transcripts/0%20-%20Government/USA%20-%20NASA%20Johnson/2012 10 26 - NASA Johnson - Station View of Hurricane Sandy -- Pass 2, Oct. 26, 2012_pczVqGr-A3Y - transcript (automated).pdf","Transcript Link")</f>
        <v>Transcript Link</v>
      </c>
      <c r="M2600" s="2" t="str">
        <f>HYPERLINK("https://files.afu.se/Downloads/Transcripts/0%20-%20Government/USA%20-%20NASA%20Johnson/2012 10 26 - NASA Johnson - Station View of Hurricane Sandy -- Pass 2, Oct. 26, 2012_pczVqGr-A3Y - transcript (automated).pdf","Transcript Link")</f>
        <v>Transcript Link</v>
      </c>
    </row>
    <row r="2601" ht="180" spans="1:13">
      <c r="A2601" s="1" t="s">
        <v>11396</v>
      </c>
      <c r="B2601" s="1" t="s">
        <v>13</v>
      </c>
      <c r="C2601" s="4" t="s">
        <v>11405</v>
      </c>
      <c r="D2601" s="1" t="s">
        <v>11406</v>
      </c>
      <c r="E2601" s="1" t="s">
        <v>11403</v>
      </c>
      <c r="F2601" s="4" t="s">
        <v>17</v>
      </c>
      <c r="G2601" s="1" t="s">
        <v>18</v>
      </c>
      <c r="H2601" s="1" t="s">
        <v>19</v>
      </c>
      <c r="I2601" s="1" t="s">
        <v>20</v>
      </c>
      <c r="J2601" s="1" t="s">
        <v>11407</v>
      </c>
      <c r="K2601" s="1" t="s">
        <v>22</v>
      </c>
      <c r="L2601" s="1" t="str">
        <f>HYPERLINK("https://files.afu.se/Downloads/Transcripts/0%20-%20Government/USA%20-%20NASA%20Johnson/2012 10 26 - NASA Johnson - Station View of Hurricane Sandy -- Pass 1, Oct. 26, 2012_uDWYr1q51x4 - transcript (automated).pdf","Transcript Link")</f>
        <v>Transcript Link</v>
      </c>
      <c r="M2601" s="2" t="str">
        <f>HYPERLINK("https://files.afu.se/Downloads/Transcripts/0%20-%20Government/USA%20-%20NASA%20Johnson/2012 10 26 - NASA Johnson - Station View of Hurricane Sandy -- Pass 1, Oct. 26, 2012_uDWYr1q51x4 - transcript (automated).pdf","Transcript Link")</f>
        <v>Transcript Link</v>
      </c>
    </row>
    <row r="2602" ht="180" spans="1:13">
      <c r="A2602" s="1" t="s">
        <v>11396</v>
      </c>
      <c r="B2602" s="1" t="s">
        <v>13</v>
      </c>
      <c r="C2602" s="4" t="s">
        <v>11408</v>
      </c>
      <c r="D2602" s="1" t="s">
        <v>11409</v>
      </c>
      <c r="E2602" s="1" t="s">
        <v>11410</v>
      </c>
      <c r="F2602" s="4" t="s">
        <v>17</v>
      </c>
      <c r="G2602" s="1" t="s">
        <v>18</v>
      </c>
      <c r="H2602" s="1" t="s">
        <v>19</v>
      </c>
      <c r="I2602" s="1" t="s">
        <v>20</v>
      </c>
      <c r="J2602" s="1" t="s">
        <v>11411</v>
      </c>
      <c r="K2602" s="1" t="s">
        <v>22</v>
      </c>
      <c r="L2602" s="1" t="str">
        <f>HYPERLINK("https://files.afu.se/Downloads/Transcripts/0%20-%20Government/USA%20-%20NASA%20Johnson/2012 10 26 - NASA Johnson - ISS Update  Weekly Recap for Oct. 26, 2012_R46sj822Xvo - transcript (automated).pdf","Transcript Link")</f>
        <v>Transcript Link</v>
      </c>
      <c r="M2602" s="2" t="str">
        <f>HYPERLINK("https://files.afu.se/Downloads/Transcripts/0%20-%20Government/USA%20-%20NASA%20Johnson/2012 10 26 - NASA Johnson - ISS Update  Weekly Recap for Oct. 26, 2012_R46sj822Xvo - transcript (automated).pdf","Transcript Link")</f>
        <v>Transcript Link</v>
      </c>
    </row>
    <row r="2603" ht="180" spans="1:13">
      <c r="A2603" s="1" t="s">
        <v>11412</v>
      </c>
      <c r="B2603" s="1" t="s">
        <v>13</v>
      </c>
      <c r="C2603" s="4" t="s">
        <v>11413</v>
      </c>
      <c r="D2603" s="1" t="s">
        <v>9081</v>
      </c>
      <c r="E2603" s="1" t="s">
        <v>11414</v>
      </c>
      <c r="F2603" s="4" t="s">
        <v>17</v>
      </c>
      <c r="G2603" s="1" t="s">
        <v>18</v>
      </c>
      <c r="H2603" s="1" t="s">
        <v>19</v>
      </c>
      <c r="I2603" s="1" t="s">
        <v>20</v>
      </c>
      <c r="J2603" s="1" t="s">
        <v>11415</v>
      </c>
      <c r="K2603" s="1" t="s">
        <v>22</v>
      </c>
      <c r="L2603" s="1" t="str">
        <f>HYPERLINK("https://files.afu.se/Downloads/Transcripts/0%20-%20Government/USA%20-%20NASA%20Johnson/2012 10 25 - NASA Johnson - New Crewmates Welcomed Aboard Station_uk-a4LeUEZc - transcript (automated).pdf","Transcript Link")</f>
        <v>Transcript Link</v>
      </c>
      <c r="M2603" s="2" t="str">
        <f>HYPERLINK("https://files.afu.se/Downloads/Transcripts/0%20-%20Government/USA%20-%20NASA%20Johnson/2012 10 25 - NASA Johnson - New Crewmates Welcomed Aboard Station_uk-a4LeUEZc - transcript (automated).pdf","Transcript Link")</f>
        <v>Transcript Link</v>
      </c>
    </row>
    <row r="2604" ht="180" spans="1:13">
      <c r="A2604" s="1" t="s">
        <v>11412</v>
      </c>
      <c r="B2604" s="1" t="s">
        <v>13</v>
      </c>
      <c r="C2604" s="4" t="s">
        <v>11416</v>
      </c>
      <c r="D2604" s="1" t="s">
        <v>11417</v>
      </c>
      <c r="E2604" s="1" t="s">
        <v>11418</v>
      </c>
      <c r="F2604" s="4" t="s">
        <v>17</v>
      </c>
      <c r="G2604" s="1" t="s">
        <v>18</v>
      </c>
      <c r="H2604" s="1" t="s">
        <v>19</v>
      </c>
      <c r="I2604" s="1" t="s">
        <v>20</v>
      </c>
      <c r="J2604" s="1" t="s">
        <v>11419</v>
      </c>
      <c r="K2604" s="1" t="s">
        <v>22</v>
      </c>
      <c r="L2604" s="1" t="str">
        <f>HYPERLINK("https://files.afu.se/Downloads/Transcripts/0%20-%20Government/USA%20-%20NASA%20Johnson/2012 10 25 - NASA Johnson - Expedition 33 Soyuz Docks to Station_3g934mXdK8c - transcript (automated).pdf","Transcript Link")</f>
        <v>Transcript Link</v>
      </c>
      <c r="M2604" s="2" t="str">
        <f>HYPERLINK("https://files.afu.se/Downloads/Transcripts/0%20-%20Government/USA%20-%20NASA%20Johnson/2012 10 25 - NASA Johnson - Expedition 33 Soyuz Docks to Station_3g934mXdK8c - transcript (automated).pdf","Transcript Link")</f>
        <v>Transcript Link</v>
      </c>
    </row>
    <row r="2605" ht="180" spans="1:13">
      <c r="A2605" s="1" t="s">
        <v>11420</v>
      </c>
      <c r="B2605" s="1" t="s">
        <v>13</v>
      </c>
      <c r="C2605" s="4" t="s">
        <v>11421</v>
      </c>
      <c r="D2605" s="1" t="s">
        <v>11422</v>
      </c>
      <c r="E2605" s="1" t="s">
        <v>11423</v>
      </c>
      <c r="F2605" s="4" t="s">
        <v>17</v>
      </c>
      <c r="G2605" s="1" t="s">
        <v>18</v>
      </c>
      <c r="H2605" s="1" t="s">
        <v>19</v>
      </c>
      <c r="I2605" s="1" t="s">
        <v>20</v>
      </c>
      <c r="J2605" s="1" t="s">
        <v>11424</v>
      </c>
      <c r="K2605" s="1" t="s">
        <v>22</v>
      </c>
      <c r="L2605" s="1" t="str">
        <f>HYPERLINK("https://files.afu.se/Downloads/Transcripts/0%20-%20Government/USA%20-%20NASA%20Johnson/2012 10 24 - NASA Johnson - ISS Update - Oct. 24, 2012_Z_h6kCG3-zk - transcript (automated).pdf","Transcript Link")</f>
        <v>Transcript Link</v>
      </c>
      <c r="M2605" s="2" t="str">
        <f>HYPERLINK("https://files.afu.se/Downloads/Transcripts/0%20-%20Government/USA%20-%20NASA%20Johnson/2012 10 24 - NASA Johnson - ISS Update - Oct. 24, 2012_Z_h6kCG3-zk - transcript (automated).pdf","Transcript Link")</f>
        <v>Transcript Link</v>
      </c>
    </row>
    <row r="2606" ht="180" spans="1:13">
      <c r="A2606" s="1" t="s">
        <v>11425</v>
      </c>
      <c r="B2606" s="1" t="s">
        <v>13</v>
      </c>
      <c r="C2606" s="4" t="s">
        <v>11426</v>
      </c>
      <c r="D2606" s="1" t="s">
        <v>11427</v>
      </c>
      <c r="E2606" s="1" t="s">
        <v>11428</v>
      </c>
      <c r="F2606" s="4" t="s">
        <v>17</v>
      </c>
      <c r="G2606" s="1" t="s">
        <v>18</v>
      </c>
      <c r="H2606" s="1" t="s">
        <v>19</v>
      </c>
      <c r="I2606" s="1" t="s">
        <v>20</v>
      </c>
      <c r="J2606" s="1" t="s">
        <v>11429</v>
      </c>
      <c r="K2606" s="1" t="s">
        <v>22</v>
      </c>
      <c r="L2606" s="1" t="str">
        <f>HYPERLINK("https://files.afu.se/Downloads/Transcripts/0%20-%20Government/USA%20-%20NASA%20Johnson/2012 10 23 - NASA Johnson - ISS Update - Oct. 23, 2012_QT-fyF-aSkI - transcript (automated).pdf","Transcript Link")</f>
        <v>Transcript Link</v>
      </c>
      <c r="M2606" s="2" t="str">
        <f>HYPERLINK("https://files.afu.se/Downloads/Transcripts/0%20-%20Government/USA%20-%20NASA%20Johnson/2012 10 23 - NASA Johnson - ISS Update - Oct. 23, 2012_QT-fyF-aSkI - transcript (automated).pdf","Transcript Link")</f>
        <v>Transcript Link</v>
      </c>
    </row>
    <row r="2607" ht="180" spans="1:13">
      <c r="A2607" s="1" t="s">
        <v>11425</v>
      </c>
      <c r="B2607" s="1" t="s">
        <v>13</v>
      </c>
      <c r="C2607" s="4" t="s">
        <v>11430</v>
      </c>
      <c r="D2607" s="1" t="s">
        <v>11431</v>
      </c>
      <c r="E2607" s="1" t="s">
        <v>11432</v>
      </c>
      <c r="F2607" s="4" t="s">
        <v>17</v>
      </c>
      <c r="G2607" s="1" t="s">
        <v>18</v>
      </c>
      <c r="H2607" s="1" t="s">
        <v>19</v>
      </c>
      <c r="I2607" s="1" t="s">
        <v>20</v>
      </c>
      <c r="J2607" s="1" t="s">
        <v>11433</v>
      </c>
      <c r="K2607" s="1" t="s">
        <v>22</v>
      </c>
      <c r="L2607" s="1" t="str">
        <f>HYPERLINK("https://files.afu.se/Downloads/Transcripts/0%20-%20Government/USA%20-%20NASA%20Johnson/2012 10 23 - NASA Johnson - New Trio Launches to Join Expedition 33_Rmpcr8cWdKk - transcript (automated).pdf","Transcript Link")</f>
        <v>Transcript Link</v>
      </c>
      <c r="M2607" s="2" t="str">
        <f>HYPERLINK("https://files.afu.se/Downloads/Transcripts/0%20-%20Government/USA%20-%20NASA%20Johnson/2012 10 23 - NASA Johnson - New Trio Launches to Join Expedition 33_Rmpcr8cWdKk - transcript (automated).pdf","Transcript Link")</f>
        <v>Transcript Link</v>
      </c>
    </row>
    <row r="2608" ht="180" spans="1:13">
      <c r="A2608" s="1" t="s">
        <v>11434</v>
      </c>
      <c r="B2608" s="1" t="s">
        <v>13</v>
      </c>
      <c r="C2608" s="4" t="s">
        <v>11435</v>
      </c>
      <c r="D2608" s="1" t="s">
        <v>11436</v>
      </c>
      <c r="E2608" s="1" t="s">
        <v>11437</v>
      </c>
      <c r="F2608" s="4" t="s">
        <v>17</v>
      </c>
      <c r="G2608" s="1" t="s">
        <v>18</v>
      </c>
      <c r="H2608" s="1" t="s">
        <v>19</v>
      </c>
      <c r="I2608" s="1" t="s">
        <v>20</v>
      </c>
      <c r="J2608" s="1" t="s">
        <v>11438</v>
      </c>
      <c r="K2608" s="1" t="s">
        <v>22</v>
      </c>
      <c r="L2608" s="1" t="str">
        <f>HYPERLINK("https://files.afu.se/Downloads/Transcripts/0%20-%20Government/USA%20-%20NASA%20Johnson/2012 10 22 - NASA Johnson - ISS Update - Oct. 22, 2012_bNiM2oLLAqI - transcript (automated).pdf","Transcript Link")</f>
        <v>Transcript Link</v>
      </c>
      <c r="M2608" s="2" t="str">
        <f>HYPERLINK("https://files.afu.se/Downloads/Transcripts/0%20-%20Government/USA%20-%20NASA%20Johnson/2012 10 22 - NASA Johnson - ISS Update - Oct. 22, 2012_bNiM2oLLAqI - transcript (automated).pdf","Transcript Link")</f>
        <v>Transcript Link</v>
      </c>
    </row>
    <row r="2609" ht="180" spans="1:13">
      <c r="A2609" s="1" t="s">
        <v>11434</v>
      </c>
      <c r="B2609" s="1" t="s">
        <v>13</v>
      </c>
      <c r="C2609" s="4" t="s">
        <v>11439</v>
      </c>
      <c r="D2609" s="1" t="s">
        <v>11440</v>
      </c>
      <c r="E2609" s="1" t="s">
        <v>11441</v>
      </c>
      <c r="F2609" s="4" t="s">
        <v>17</v>
      </c>
      <c r="G2609" s="1" t="s">
        <v>18</v>
      </c>
      <c r="H2609" s="1" t="s">
        <v>19</v>
      </c>
      <c r="I2609" s="1" t="s">
        <v>20</v>
      </c>
      <c r="J2609" s="1" t="s">
        <v>11442</v>
      </c>
      <c r="K2609" s="1" t="s">
        <v>22</v>
      </c>
      <c r="L2609" s="1" t="str">
        <f>HYPERLINK("https://files.afu.se/Downloads/Transcripts/0%20-%20Government/USA%20-%20NASA%20Johnson/2012 10 22 - NASA Johnson - Soyuz TMA-06M Rolls Out To Launch Site_FxAR1cZprZc - transcript (automated).pdf","Transcript Link")</f>
        <v>Transcript Link</v>
      </c>
      <c r="M2609" s="2" t="str">
        <f>HYPERLINK("https://files.afu.se/Downloads/Transcripts/0%20-%20Government/USA%20-%20NASA%20Johnson/2012 10 22 - NASA Johnson - Soyuz TMA-06M Rolls Out To Launch Site_FxAR1cZprZc - transcript (automated).pdf","Transcript Link")</f>
        <v>Transcript Link</v>
      </c>
    </row>
    <row r="2610" ht="180" spans="1:13">
      <c r="A2610" s="1" t="s">
        <v>11434</v>
      </c>
      <c r="B2610" s="1" t="s">
        <v>13</v>
      </c>
      <c r="C2610" s="4" t="s">
        <v>11443</v>
      </c>
      <c r="D2610" s="1" t="s">
        <v>11444</v>
      </c>
      <c r="E2610" s="1" t="s">
        <v>11445</v>
      </c>
      <c r="F2610" s="4" t="s">
        <v>17</v>
      </c>
      <c r="G2610" s="1" t="s">
        <v>18</v>
      </c>
      <c r="H2610" s="1" t="s">
        <v>19</v>
      </c>
      <c r="I2610" s="1" t="s">
        <v>20</v>
      </c>
      <c r="J2610" s="1" t="s">
        <v>11446</v>
      </c>
      <c r="K2610" s="1" t="s">
        <v>22</v>
      </c>
      <c r="L2610" s="1" t="str">
        <f>HYPERLINK("https://files.afu.se/Downloads/Transcripts/0%20-%20Government/USA%20-%20NASA%20Johnson/2012 10 22 - NASA Johnson - Soyuz TMA-06M Spacecraft Mated to Rocket_-o7KoAVHvqs - transcript (automated).pdf","Transcript Link")</f>
        <v>Transcript Link</v>
      </c>
      <c r="M2610" s="2" t="str">
        <f>HYPERLINK("https://files.afu.se/Downloads/Transcripts/0%20-%20Government/USA%20-%20NASA%20Johnson/2012 10 22 - NASA Johnson - Soyuz TMA-06M Spacecraft Mated to Rocket_-o7KoAVHvqs - transcript (automated).pdf","Transcript Link")</f>
        <v>Transcript Link</v>
      </c>
    </row>
    <row r="2611" ht="240" spans="1:13">
      <c r="A2611" s="1" t="s">
        <v>11447</v>
      </c>
      <c r="B2611" s="1" t="s">
        <v>13</v>
      </c>
      <c r="C2611" s="4" t="s">
        <v>11448</v>
      </c>
      <c r="D2611" s="1" t="s">
        <v>11449</v>
      </c>
      <c r="E2611" s="1" t="s">
        <v>11450</v>
      </c>
      <c r="F2611" s="4" t="s">
        <v>17</v>
      </c>
      <c r="G2611" s="1" t="s">
        <v>18</v>
      </c>
      <c r="H2611" s="1" t="s">
        <v>19</v>
      </c>
      <c r="I2611" s="1" t="s">
        <v>20</v>
      </c>
      <c r="J2611" s="1" t="s">
        <v>11451</v>
      </c>
      <c r="K2611" s="1" t="s">
        <v>22</v>
      </c>
      <c r="L2611" s="1" t="str">
        <f>HYPERLINK("https://files.afu.se/Downloads/Transcripts/0%20-%20Government/USA%20-%20NASA%20Johnson/2012 10 19 - NASA Johnson - ISS Update  Update on Orbital Sciences Cargo Flights to Space Station_WacisRqYiCM - transcript (automated).pdf","Transcript Link")</f>
        <v>Transcript Link</v>
      </c>
      <c r="M2611" s="2" t="str">
        <f>HYPERLINK("https://files.afu.se/Downloads/Transcripts/0%20-%20Government/USA%20-%20NASA%20Johnson/2012 10 19 - NASA Johnson - ISS Update  Update on Orbital Sciences Cargo Flights to Space Station_WacisRqYiCM - transcript (automated).pdf","Transcript Link")</f>
        <v>Transcript Link</v>
      </c>
    </row>
    <row r="2612" ht="180" spans="1:13">
      <c r="A2612" s="1" t="s">
        <v>11447</v>
      </c>
      <c r="B2612" s="1" t="s">
        <v>13</v>
      </c>
      <c r="C2612" s="4" t="s">
        <v>11452</v>
      </c>
      <c r="D2612" s="1" t="s">
        <v>11453</v>
      </c>
      <c r="E2612" s="1" t="s">
        <v>11454</v>
      </c>
      <c r="F2612" s="4" t="s">
        <v>17</v>
      </c>
      <c r="G2612" s="1" t="s">
        <v>18</v>
      </c>
      <c r="H2612" s="1" t="s">
        <v>19</v>
      </c>
      <c r="I2612" s="1" t="s">
        <v>20</v>
      </c>
      <c r="J2612" s="1" t="s">
        <v>11455</v>
      </c>
      <c r="K2612" s="1" t="s">
        <v>22</v>
      </c>
      <c r="L2612" s="1" t="str">
        <f>HYPERLINK("https://files.afu.se/Downloads/Transcripts/0%20-%20Government/USA%20-%20NASA%20Johnson/2012 10 19 - NASA Johnson - ISS Update  Weekly Recap for Oct. 19, 2012_hsT_U3B5DHg - transcript (automated).pdf","Transcript Link")</f>
        <v>Transcript Link</v>
      </c>
      <c r="M2612" s="2" t="str">
        <f>HYPERLINK("https://files.afu.se/Downloads/Transcripts/0%20-%20Government/USA%20-%20NASA%20Johnson/2012 10 19 - NASA Johnson - ISS Update  Weekly Recap for Oct. 19, 2012_hsT_U3B5DHg - transcript (automated).pdf","Transcript Link")</f>
        <v>Transcript Link</v>
      </c>
    </row>
    <row r="2613" ht="180" spans="1:13">
      <c r="A2613" s="1" t="s">
        <v>11456</v>
      </c>
      <c r="B2613" s="1" t="s">
        <v>13</v>
      </c>
      <c r="C2613" s="4" t="s">
        <v>11457</v>
      </c>
      <c r="D2613" s="1" t="s">
        <v>11458</v>
      </c>
      <c r="E2613" s="1" t="s">
        <v>11459</v>
      </c>
      <c r="F2613" s="4" t="s">
        <v>17</v>
      </c>
      <c r="G2613" s="1" t="s">
        <v>18</v>
      </c>
      <c r="H2613" s="1" t="s">
        <v>19</v>
      </c>
      <c r="I2613" s="1" t="s">
        <v>20</v>
      </c>
      <c r="J2613" s="1" t="s">
        <v>11460</v>
      </c>
      <c r="K2613" s="1" t="s">
        <v>22</v>
      </c>
      <c r="L2613" s="1" t="str">
        <f>HYPERLINK("https://files.afu.se/Downloads/Transcripts/0%20-%20Government/USA%20-%20NASA%20Johnson/2012 10 18 - NASA Johnson - Expedition 33 34 Crew Prelaunch Activities_eHIpTCbmk8A - transcript (automated).pdf","Transcript Link")</f>
        <v>Transcript Link</v>
      </c>
      <c r="M2613" s="2" t="str">
        <f>HYPERLINK("https://files.afu.se/Downloads/Transcripts/0%20-%20Government/USA%20-%20NASA%20Johnson/2012 10 18 - NASA Johnson - Expedition 33 34 Crew Prelaunch Activities_eHIpTCbmk8A - transcript (automated).pdf","Transcript Link")</f>
        <v>Transcript Link</v>
      </c>
    </row>
    <row r="2614" ht="180" spans="1:13">
      <c r="A2614" s="1" t="s">
        <v>11456</v>
      </c>
      <c r="B2614" s="1" t="s">
        <v>13</v>
      </c>
      <c r="C2614" s="4" t="s">
        <v>11461</v>
      </c>
      <c r="D2614" s="1" t="s">
        <v>11462</v>
      </c>
      <c r="E2614" s="1" t="s">
        <v>11463</v>
      </c>
      <c r="F2614" s="4" t="s">
        <v>17</v>
      </c>
      <c r="G2614" s="1" t="s">
        <v>18</v>
      </c>
      <c r="H2614" s="1" t="s">
        <v>19</v>
      </c>
      <c r="I2614" s="1" t="s">
        <v>20</v>
      </c>
      <c r="J2614" s="1" t="s">
        <v>11464</v>
      </c>
      <c r="K2614" s="1" t="s">
        <v>22</v>
      </c>
      <c r="L2614" s="1" t="str">
        <f>HYPERLINK("https://files.afu.se/Downloads/Transcripts/0%20-%20Government/USA%20-%20NASA%20Johnson/2012 10 18 - NASA Johnson - ISS Update - Oct. 18, 2012_k9CWIh81Umo - transcript (automated).pdf","Transcript Link")</f>
        <v>Transcript Link</v>
      </c>
      <c r="M2614" s="2" t="str">
        <f>HYPERLINK("https://files.afu.se/Downloads/Transcripts/0%20-%20Government/USA%20-%20NASA%20Johnson/2012 10 18 - NASA Johnson - ISS Update - Oct. 18, 2012_k9CWIh81Umo - transcript (automated).pdf","Transcript Link")</f>
        <v>Transcript Link</v>
      </c>
    </row>
    <row r="2615" ht="180" spans="1:13">
      <c r="A2615" s="1" t="s">
        <v>11465</v>
      </c>
      <c r="B2615" s="1" t="s">
        <v>13</v>
      </c>
      <c r="C2615" s="4" t="s">
        <v>11466</v>
      </c>
      <c r="D2615" s="1" t="s">
        <v>11467</v>
      </c>
      <c r="E2615" s="1" t="s">
        <v>11468</v>
      </c>
      <c r="F2615" s="4" t="s">
        <v>17</v>
      </c>
      <c r="G2615" s="1" t="s">
        <v>18</v>
      </c>
      <c r="H2615" s="1" t="s">
        <v>19</v>
      </c>
      <c r="I2615" s="1" t="s">
        <v>20</v>
      </c>
      <c r="J2615" s="1" t="s">
        <v>11469</v>
      </c>
      <c r="K2615" s="1" t="s">
        <v>22</v>
      </c>
      <c r="L2615" s="1" t="str">
        <f>HYPERLINK("https://files.afu.se/Downloads/Transcripts/0%20-%20Government/USA%20-%20NASA%20Johnson/2012 10 17 - NASA Johnson - ISS Update - Oct. 17 2012_fx05H-wPizE - transcript (automated).pdf","Transcript Link")</f>
        <v>Transcript Link</v>
      </c>
      <c r="M2615" s="2" t="str">
        <f>HYPERLINK("https://files.afu.se/Downloads/Transcripts/0%20-%20Government/USA%20-%20NASA%20Johnson/2012 10 17 - NASA Johnson - ISS Update - Oct. 17 2012_fx05H-wPizE - transcript (automated).pdf","Transcript Link")</f>
        <v>Transcript Link</v>
      </c>
    </row>
    <row r="2616" ht="180" spans="1:13">
      <c r="A2616" s="1" t="s">
        <v>11470</v>
      </c>
      <c r="B2616" s="1" t="s">
        <v>13</v>
      </c>
      <c r="C2616" s="4" t="s">
        <v>11471</v>
      </c>
      <c r="D2616" s="1" t="s">
        <v>11472</v>
      </c>
      <c r="E2616" s="1" t="s">
        <v>11473</v>
      </c>
      <c r="F2616" s="4" t="s">
        <v>17</v>
      </c>
      <c r="G2616" s="1" t="s">
        <v>18</v>
      </c>
      <c r="H2616" s="1" t="s">
        <v>19</v>
      </c>
      <c r="I2616" s="1" t="s">
        <v>20</v>
      </c>
      <c r="J2616" s="1" t="s">
        <v>11474</v>
      </c>
      <c r="K2616" s="1" t="s">
        <v>22</v>
      </c>
      <c r="L2616" s="1" t="str">
        <f>HYPERLINK("https://files.afu.se/Downloads/Transcripts/0%20-%20Government/USA%20-%20NASA%20Johnson/2012 10 16 - NASA Johnson - ISS Update - Oct. 16, 2012_FKBmO4Qsrv4 - transcript (automated).pdf","Transcript Link")</f>
        <v>Transcript Link</v>
      </c>
      <c r="M2616" s="2" t="str">
        <f>HYPERLINK("https://files.afu.se/Downloads/Transcripts/0%20-%20Government/USA%20-%20NASA%20Johnson/2012 10 16 - NASA Johnson - ISS Update - Oct. 16, 2012_FKBmO4Qsrv4 - transcript (automated).pdf","Transcript Link")</f>
        <v>Transcript Link</v>
      </c>
    </row>
    <row r="2617" ht="345" spans="1:13">
      <c r="A2617" s="1" t="s">
        <v>11470</v>
      </c>
      <c r="B2617" s="1" t="s">
        <v>13</v>
      </c>
      <c r="C2617" s="4" t="s">
        <v>11475</v>
      </c>
      <c r="D2617" s="1" t="s">
        <v>11476</v>
      </c>
      <c r="E2617" s="1" t="s">
        <v>11477</v>
      </c>
      <c r="F2617" s="4" t="s">
        <v>17</v>
      </c>
      <c r="G2617" s="1" t="s">
        <v>18</v>
      </c>
      <c r="H2617" s="1" t="s">
        <v>19</v>
      </c>
      <c r="I2617" s="1" t="s">
        <v>20</v>
      </c>
      <c r="J2617" s="1" t="s">
        <v>11478</v>
      </c>
      <c r="K2617" s="1" t="s">
        <v>22</v>
      </c>
      <c r="L2617" s="1" t="str">
        <f>HYPERLINK("https://files.afu.se/Downloads/Transcripts/0%20-%20Government/USA%20-%20NASA%20Johnson/2012 10 16 - NASA Johnson - ISS Update  Capturing a Dragon_Hi-fBxxBmek - transcript (automated).pdf","Transcript Link")</f>
        <v>Transcript Link</v>
      </c>
      <c r="M2617" s="2" t="str">
        <f>HYPERLINK("https://files.afu.se/Downloads/Transcripts/0%20-%20Government/USA%20-%20NASA%20Johnson/2012 10 16 - NASA Johnson - ISS Update  Capturing a Dragon_Hi-fBxxBmek - transcript (automated).pdf","Transcript Link")</f>
        <v>Transcript Link</v>
      </c>
    </row>
    <row r="2618" ht="180" spans="1:13">
      <c r="A2618" s="1" t="s">
        <v>11470</v>
      </c>
      <c r="B2618" s="1" t="s">
        <v>13</v>
      </c>
      <c r="C2618" s="4" t="s">
        <v>11479</v>
      </c>
      <c r="D2618" s="1" t="s">
        <v>11480</v>
      </c>
      <c r="E2618" s="1" t="s">
        <v>11481</v>
      </c>
      <c r="F2618" s="4" t="s">
        <v>17</v>
      </c>
      <c r="G2618" s="1" t="s">
        <v>18</v>
      </c>
      <c r="H2618" s="1" t="s">
        <v>19</v>
      </c>
      <c r="I2618" s="1" t="s">
        <v>20</v>
      </c>
      <c r="J2618" s="1" t="s">
        <v>11482</v>
      </c>
      <c r="K2618" s="1" t="s">
        <v>22</v>
      </c>
      <c r="L2618" s="1" t="str">
        <f>HYPERLINK("https://files.afu.se/Downloads/Transcripts/0%20-%20Government/USA%20-%20NASA%20Johnson/2012 10 16 - NASA Johnson - NASA Safari 4 - Business at NASA_lGvxVKr04VY - transcript (automated).pdf","Transcript Link")</f>
        <v>Transcript Link</v>
      </c>
      <c r="M2618" s="2" t="str">
        <f>HYPERLINK("https://files.afu.se/Downloads/Transcripts/0%20-%20Government/USA%20-%20NASA%20Johnson/2012 10 16 - NASA Johnson - NASA Safari 4 - Business at NASA_lGvxVKr04VY - transcript (automated).pdf","Transcript Link")</f>
        <v>Transcript Link</v>
      </c>
    </row>
    <row r="2619" ht="180" spans="1:13">
      <c r="A2619" s="1" t="s">
        <v>11470</v>
      </c>
      <c r="B2619" s="1" t="s">
        <v>13</v>
      </c>
      <c r="C2619" s="4" t="s">
        <v>11483</v>
      </c>
      <c r="D2619" s="1" t="s">
        <v>11484</v>
      </c>
      <c r="E2619" s="1" t="s">
        <v>11481</v>
      </c>
      <c r="F2619" s="4" t="s">
        <v>17</v>
      </c>
      <c r="G2619" s="1" t="s">
        <v>18</v>
      </c>
      <c r="H2619" s="1" t="s">
        <v>19</v>
      </c>
      <c r="I2619" s="1" t="s">
        <v>20</v>
      </c>
      <c r="J2619" s="1" t="s">
        <v>11485</v>
      </c>
      <c r="K2619" s="1" t="s">
        <v>22</v>
      </c>
      <c r="L2619" s="1" t="str">
        <f>HYPERLINK("https://files.afu.se/Downloads/Transcripts/0%20-%20Government/USA%20-%20NASA%20Johnson/2012 10 16 - NASA Johnson - NASA Safari 3 - Orion Multi Purpose Crew Vehicle_im-XGJB2ygw - transcript (automated).pdf","Transcript Link")</f>
        <v>Transcript Link</v>
      </c>
      <c r="M2619" s="2" t="str">
        <f>HYPERLINK("https://files.afu.se/Downloads/Transcripts/0%20-%20Government/USA%20-%20NASA%20Johnson/2012 10 16 - NASA Johnson - NASA Safari 3 - Orion Multi Purpose Crew Vehicle_im-XGJB2ygw - transcript (automated).pdf","Transcript Link")</f>
        <v>Transcript Link</v>
      </c>
    </row>
    <row r="2620" ht="180" spans="1:13">
      <c r="A2620" s="1" t="s">
        <v>11470</v>
      </c>
      <c r="B2620" s="1" t="s">
        <v>13</v>
      </c>
      <c r="C2620" s="4" t="s">
        <v>11486</v>
      </c>
      <c r="D2620" s="1" t="s">
        <v>11487</v>
      </c>
      <c r="E2620" s="1" t="s">
        <v>11481</v>
      </c>
      <c r="F2620" s="4" t="s">
        <v>17</v>
      </c>
      <c r="G2620" s="1" t="s">
        <v>18</v>
      </c>
      <c r="H2620" s="1" t="s">
        <v>19</v>
      </c>
      <c r="I2620" s="1" t="s">
        <v>20</v>
      </c>
      <c r="J2620" s="1" t="s">
        <v>11488</v>
      </c>
      <c r="K2620" s="1" t="s">
        <v>22</v>
      </c>
      <c r="L2620" s="1" t="str">
        <f>HYPERLINK("https://files.afu.se/Downloads/Transcripts/0%20-%20Government/USA%20-%20NASA%20Johnson/2012 10 16 - NASA Johnson - NASA Safari 2 - Mission Control_9vZCz_90n3g - transcript (automated).pdf","Transcript Link")</f>
        <v>Transcript Link</v>
      </c>
      <c r="M2620" s="2" t="str">
        <f>HYPERLINK("https://files.afu.se/Downloads/Transcripts/0%20-%20Government/USA%20-%20NASA%20Johnson/2012 10 16 - NASA Johnson - NASA Safari 2 - Mission Control_9vZCz_90n3g - transcript (automated).pdf","Transcript Link")</f>
        <v>Transcript Link</v>
      </c>
    </row>
    <row r="2621" ht="180" spans="1:13">
      <c r="A2621" s="1" t="s">
        <v>11470</v>
      </c>
      <c r="B2621" s="1" t="s">
        <v>13</v>
      </c>
      <c r="C2621" s="4" t="s">
        <v>11489</v>
      </c>
      <c r="D2621" s="1" t="s">
        <v>11490</v>
      </c>
      <c r="E2621" s="1" t="s">
        <v>11481</v>
      </c>
      <c r="F2621" s="4" t="s">
        <v>17</v>
      </c>
      <c r="G2621" s="1" t="s">
        <v>18</v>
      </c>
      <c r="H2621" s="1" t="s">
        <v>19</v>
      </c>
      <c r="I2621" s="1" t="s">
        <v>20</v>
      </c>
      <c r="J2621" s="1" t="s">
        <v>11491</v>
      </c>
      <c r="K2621" s="1" t="s">
        <v>22</v>
      </c>
      <c r="L2621" s="1" t="str">
        <f>HYPERLINK("https://files.afu.se/Downloads/Transcripts/0%20-%20Government/USA%20-%20NASA%20Johnson/2012 10 16 - NASA Johnson - NASA Safari 1 - An Introduction_IWWtvzaKRXw - transcript (automated).pdf","Transcript Link")</f>
        <v>Transcript Link</v>
      </c>
      <c r="M2621" s="2" t="str">
        <f>HYPERLINK("https://files.afu.se/Downloads/Transcripts/0%20-%20Government/USA%20-%20NASA%20Johnson/2012 10 16 - NASA Johnson - NASA Safari 1 - An Introduction_IWWtvzaKRXw - transcript (automated).pdf","Transcript Link")</f>
        <v>Transcript Link</v>
      </c>
    </row>
    <row r="2622" ht="180" spans="1:13">
      <c r="A2622" s="1" t="s">
        <v>11492</v>
      </c>
      <c r="B2622" s="1" t="s">
        <v>13</v>
      </c>
      <c r="C2622" s="4" t="s">
        <v>11493</v>
      </c>
      <c r="D2622" s="1" t="s">
        <v>11494</v>
      </c>
      <c r="E2622" s="1" t="s">
        <v>11495</v>
      </c>
      <c r="F2622" s="4" t="s">
        <v>17</v>
      </c>
      <c r="G2622" s="1" t="s">
        <v>18</v>
      </c>
      <c r="H2622" s="1" t="s">
        <v>19</v>
      </c>
      <c r="I2622" s="1" t="s">
        <v>20</v>
      </c>
      <c r="J2622" s="1" t="s">
        <v>11496</v>
      </c>
      <c r="K2622" s="1" t="s">
        <v>22</v>
      </c>
      <c r="L2622" s="1" t="str">
        <f>HYPERLINK("https://files.afu.se/Downloads/Transcripts/0%20-%20Government/USA%20-%20NASA%20Johnson/2012 10 15 - NASA Johnson - ISS Update - Oct. 15, 2012_kI21JD_x-cA - transcript (automated).pdf","Transcript Link")</f>
        <v>Transcript Link</v>
      </c>
      <c r="M2622" s="2" t="str">
        <f>HYPERLINK("https://files.afu.se/Downloads/Transcripts/0%20-%20Government/USA%20-%20NASA%20Johnson/2012 10 15 - NASA Johnson - ISS Update - Oct. 15, 2012_kI21JD_x-cA - transcript (automated).pdf","Transcript Link")</f>
        <v>Transcript Link</v>
      </c>
    </row>
    <row r="2623" ht="180" spans="1:13">
      <c r="A2623" s="1" t="s">
        <v>11497</v>
      </c>
      <c r="B2623" s="1" t="s">
        <v>13</v>
      </c>
      <c r="C2623" s="4" t="s">
        <v>11498</v>
      </c>
      <c r="D2623" s="1" t="s">
        <v>11499</v>
      </c>
      <c r="E2623" s="1" t="s">
        <v>11500</v>
      </c>
      <c r="F2623" s="4" t="s">
        <v>17</v>
      </c>
      <c r="G2623" s="1" t="s">
        <v>18</v>
      </c>
      <c r="H2623" s="1" t="s">
        <v>19</v>
      </c>
      <c r="I2623" s="1" t="s">
        <v>20</v>
      </c>
      <c r="J2623" s="1" t="s">
        <v>11501</v>
      </c>
      <c r="K2623" s="1" t="s">
        <v>22</v>
      </c>
      <c r="L2623" s="1" t="str">
        <f>HYPERLINK("https://files.afu.se/Downloads/Transcripts/0%20-%20Government/USA%20-%20NASA%20Johnson/2012 10 12 - NASA Johnson - ISS Update  Weekly Recap for Oct. 12, 2012_fyLNkzc79Z8 - transcript (automated).pdf","Transcript Link")</f>
        <v>Transcript Link</v>
      </c>
      <c r="M2623" s="2" t="str">
        <f>HYPERLINK("https://files.afu.se/Downloads/Transcripts/0%20-%20Government/USA%20-%20NASA%20Johnson/2012 10 12 - NASA Johnson - ISS Update  Weekly Recap for Oct. 12, 2012_fyLNkzc79Z8 - transcript (automated).pdf","Transcript Link")</f>
        <v>Transcript Link</v>
      </c>
    </row>
    <row r="2624" ht="180" spans="1:13">
      <c r="A2624" s="1" t="s">
        <v>11502</v>
      </c>
      <c r="B2624" s="1" t="s">
        <v>13</v>
      </c>
      <c r="C2624" s="4" t="s">
        <v>11503</v>
      </c>
      <c r="D2624" s="1" t="s">
        <v>11504</v>
      </c>
      <c r="E2624" s="1" t="s">
        <v>11505</v>
      </c>
      <c r="F2624" s="4" t="s">
        <v>17</v>
      </c>
      <c r="G2624" s="1" t="s">
        <v>18</v>
      </c>
      <c r="H2624" s="1" t="s">
        <v>19</v>
      </c>
      <c r="I2624" s="1" t="s">
        <v>20</v>
      </c>
      <c r="J2624" s="1" t="s">
        <v>11506</v>
      </c>
      <c r="K2624" s="1" t="s">
        <v>22</v>
      </c>
      <c r="L2624" s="1" t="str">
        <f>HYPERLINK("https://files.afu.se/Downloads/Transcripts/0%20-%20Government/USA%20-%20NASA%20Johnson/2012 10 11 - NASA Johnson - ISS Update - Oct. 11, 2012_7FdYeNIzJr0 - transcript (automated).pdf","Transcript Link")</f>
        <v>Transcript Link</v>
      </c>
      <c r="M2624" s="2" t="str">
        <f>HYPERLINK("https://files.afu.se/Downloads/Transcripts/0%20-%20Government/USA%20-%20NASA%20Johnson/2012 10 11 - NASA Johnson - ISS Update - Oct. 11, 2012_7FdYeNIzJr0 - transcript (automated).pdf","Transcript Link")</f>
        <v>Transcript Link</v>
      </c>
    </row>
    <row r="2625" ht="180" spans="1:13">
      <c r="A2625" s="1" t="s">
        <v>11507</v>
      </c>
      <c r="B2625" s="1" t="s">
        <v>13</v>
      </c>
      <c r="C2625" s="4" t="s">
        <v>11508</v>
      </c>
      <c r="D2625" s="1" t="s">
        <v>11509</v>
      </c>
      <c r="E2625" s="1" t="s">
        <v>11510</v>
      </c>
      <c r="F2625" s="4" t="s">
        <v>17</v>
      </c>
      <c r="G2625" s="1" t="s">
        <v>18</v>
      </c>
      <c r="H2625" s="1" t="s">
        <v>19</v>
      </c>
      <c r="I2625" s="1" t="s">
        <v>20</v>
      </c>
      <c r="J2625" s="1" t="s">
        <v>11511</v>
      </c>
      <c r="K2625" s="1" t="s">
        <v>22</v>
      </c>
      <c r="L2625" s="1" t="str">
        <f>HYPERLINK("https://files.afu.se/Downloads/Transcripts/0%20-%20Government/USA%20-%20NASA%20Johnson/2012 10 10 - NASA Johnson - Dragon Captured and Berthed to Station_h8n0_w5CnTw - transcript (automated).pdf","Transcript Link")</f>
        <v>Transcript Link</v>
      </c>
      <c r="M2625" s="2" t="str">
        <f>HYPERLINK("https://files.afu.se/Downloads/Transcripts/0%20-%20Government/USA%20-%20NASA%20Johnson/2012 10 10 - NASA Johnson - Dragon Captured and Berthed to Station_h8n0_w5CnTw - transcript (automated).pdf","Transcript Link")</f>
        <v>Transcript Link</v>
      </c>
    </row>
    <row r="2626" ht="180" spans="1:13">
      <c r="A2626" s="1" t="s">
        <v>11507</v>
      </c>
      <c r="B2626" s="1" t="s">
        <v>13</v>
      </c>
      <c r="C2626" s="4" t="s">
        <v>11512</v>
      </c>
      <c r="D2626" s="1" t="s">
        <v>11513</v>
      </c>
      <c r="E2626" s="1" t="s">
        <v>11514</v>
      </c>
      <c r="F2626" s="4" t="s">
        <v>17</v>
      </c>
      <c r="G2626" s="1" t="s">
        <v>18</v>
      </c>
      <c r="H2626" s="1" t="s">
        <v>19</v>
      </c>
      <c r="I2626" s="1" t="s">
        <v>20</v>
      </c>
      <c r="J2626" s="1" t="s">
        <v>11515</v>
      </c>
      <c r="K2626" s="1" t="s">
        <v>22</v>
      </c>
      <c r="L2626" s="1" t="str">
        <f>HYPERLINK("https://files.afu.se/Downloads/Transcripts/0%20-%20Government/USA%20-%20NASA%20Johnson/2012 10 10 - NASA Johnson - Station Crew Opens Dragon Hatch_1CO5sgMxbGI - transcript (automated).pdf","Transcript Link")</f>
        <v>Transcript Link</v>
      </c>
      <c r="M2626" s="2" t="str">
        <f>HYPERLINK("https://files.afu.se/Downloads/Transcripts/0%20-%20Government/USA%20-%20NASA%20Johnson/2012 10 10 - NASA Johnson - Station Crew Opens Dragon Hatch_1CO5sgMxbGI - transcript (automated).pdf","Transcript Link")</f>
        <v>Transcript Link</v>
      </c>
    </row>
    <row r="2627" ht="180" spans="1:13">
      <c r="A2627" s="1" t="s">
        <v>11507</v>
      </c>
      <c r="B2627" s="1" t="s">
        <v>13</v>
      </c>
      <c r="C2627" s="4" t="s">
        <v>11516</v>
      </c>
      <c r="D2627" s="1" t="s">
        <v>11517</v>
      </c>
      <c r="E2627" s="1" t="s">
        <v>11518</v>
      </c>
      <c r="F2627" s="4" t="s">
        <v>17</v>
      </c>
      <c r="G2627" s="1" t="s">
        <v>18</v>
      </c>
      <c r="H2627" s="1" t="s">
        <v>19</v>
      </c>
      <c r="I2627" s="1" t="s">
        <v>20</v>
      </c>
      <c r="J2627" s="1" t="s">
        <v>11519</v>
      </c>
      <c r="K2627" s="1" t="s">
        <v>22</v>
      </c>
      <c r="L2627" s="1" t="str">
        <f>HYPERLINK("https://files.afu.se/Downloads/Transcripts/0%20-%20Government/USA%20-%20NASA%20Johnson/2012 10 10 - NASA Johnson - ISS Update  Bill Gerstenmaier Interview -- 10.10.12_hYtOWxu4UFo - transcript (automated).pdf","Transcript Link")</f>
        <v>Transcript Link</v>
      </c>
      <c r="M2627" s="2" t="str">
        <f>HYPERLINK("https://files.afu.se/Downloads/Transcripts/0%20-%20Government/USA%20-%20NASA%20Johnson/2012 10 10 - NASA Johnson - ISS Update  Bill Gerstenmaier Interview -- 10.10.12_hYtOWxu4UFo - transcript (automated).pdf","Transcript Link")</f>
        <v>Transcript Link</v>
      </c>
    </row>
    <row r="2628" ht="180" spans="1:13">
      <c r="A2628" s="1" t="s">
        <v>11507</v>
      </c>
      <c r="B2628" s="1" t="s">
        <v>13</v>
      </c>
      <c r="C2628" s="4" t="s">
        <v>11520</v>
      </c>
      <c r="D2628" s="1" t="s">
        <v>11521</v>
      </c>
      <c r="E2628" s="1" t="s">
        <v>11522</v>
      </c>
      <c r="F2628" s="4" t="s">
        <v>17</v>
      </c>
      <c r="G2628" s="1" t="s">
        <v>18</v>
      </c>
      <c r="H2628" s="1" t="s">
        <v>19</v>
      </c>
      <c r="I2628" s="1" t="s">
        <v>20</v>
      </c>
      <c r="J2628" s="1" t="s">
        <v>11523</v>
      </c>
      <c r="K2628" s="1" t="s">
        <v>22</v>
      </c>
      <c r="L2628" s="1" t="str">
        <f>HYPERLINK("https://files.afu.se/Downloads/Transcripts/0%20-%20Government/USA%20-%20NASA%20Johnson/2012 10 10 - NASA Johnson - ISS Update - Oct. 10, 2012_3WdXNaYszys - transcript (automated).pdf","Transcript Link")</f>
        <v>Transcript Link</v>
      </c>
      <c r="M2628" s="2" t="str">
        <f>HYPERLINK("https://files.afu.se/Downloads/Transcripts/0%20-%20Government/USA%20-%20NASA%20Johnson/2012 10 10 - NASA Johnson - ISS Update - Oct. 10, 2012_3WdXNaYszys - transcript (automated).pdf","Transcript Link")</f>
        <v>Transcript Link</v>
      </c>
    </row>
    <row r="2629" ht="180" spans="1:13">
      <c r="A2629" s="1" t="s">
        <v>11524</v>
      </c>
      <c r="B2629" s="1" t="s">
        <v>13</v>
      </c>
      <c r="C2629" s="4" t="s">
        <v>11525</v>
      </c>
      <c r="D2629" s="1" t="s">
        <v>11526</v>
      </c>
      <c r="E2629" s="1" t="s">
        <v>11527</v>
      </c>
      <c r="F2629" s="4" t="s">
        <v>17</v>
      </c>
      <c r="G2629" s="1" t="s">
        <v>18</v>
      </c>
      <c r="H2629" s="1" t="s">
        <v>19</v>
      </c>
      <c r="I2629" s="1" t="s">
        <v>20</v>
      </c>
      <c r="J2629" s="1" t="s">
        <v>11528</v>
      </c>
      <c r="K2629" s="1" t="s">
        <v>22</v>
      </c>
      <c r="L2629" s="1" t="str">
        <f>HYPERLINK("https://files.afu.se/Downloads/Transcripts/0%20-%20Government/USA%20-%20NASA%20Johnson/2012 10 09 - NASA Johnson - ISS Update - Oct. 9, 2012_hIDeOJNVzjE - transcript (automated).pdf","Transcript Link")</f>
        <v>Transcript Link</v>
      </c>
      <c r="M2629" s="2" t="str">
        <f>HYPERLINK("https://files.afu.se/Downloads/Transcripts/0%20-%20Government/USA%20-%20NASA%20Johnson/2012 10 09 - NASA Johnson - ISS Update - Oct. 9, 2012_hIDeOJNVzjE - transcript (automated).pdf","Transcript Link")</f>
        <v>Transcript Link</v>
      </c>
    </row>
    <row r="2630" ht="180" spans="1:13">
      <c r="A2630" s="1" t="s">
        <v>11524</v>
      </c>
      <c r="B2630" s="1" t="s">
        <v>13</v>
      </c>
      <c r="C2630" s="4" t="s">
        <v>11529</v>
      </c>
      <c r="D2630" s="1" t="s">
        <v>11530</v>
      </c>
      <c r="E2630" s="1" t="s">
        <v>11531</v>
      </c>
      <c r="F2630" s="4" t="s">
        <v>17</v>
      </c>
      <c r="G2630" s="1" t="s">
        <v>18</v>
      </c>
      <c r="H2630" s="1" t="s">
        <v>19</v>
      </c>
      <c r="I2630" s="1" t="s">
        <v>20</v>
      </c>
      <c r="J2630" s="1" t="s">
        <v>11532</v>
      </c>
      <c r="K2630" s="1" t="s">
        <v>22</v>
      </c>
      <c r="L2630" s="1" t="str">
        <f>HYPERLINK("https://files.afu.se/Downloads/Transcripts/0%20-%20Government/USA%20-%20NASA%20Johnson/2012 10 09 - NASA Johnson - Expedition 33 34 Crew Departs for Kazakh Launch Site_LOqI32AhNs4 - transcript (automated).pdf","Transcript Link")</f>
        <v>Transcript Link</v>
      </c>
      <c r="M2630" s="2" t="str">
        <f>HYPERLINK("https://files.afu.se/Downloads/Transcripts/0%20-%20Government/USA%20-%20NASA%20Johnson/2012 10 09 - NASA Johnson - Expedition 33 34 Crew Departs for Kazakh Launch Site_LOqI32AhNs4 - transcript (automated).pdf","Transcript Link")</f>
        <v>Transcript Link</v>
      </c>
    </row>
    <row r="2631" ht="180" spans="1:13">
      <c r="A2631" s="1" t="s">
        <v>11533</v>
      </c>
      <c r="B2631" s="1" t="s">
        <v>13</v>
      </c>
      <c r="C2631" s="4" t="s">
        <v>11534</v>
      </c>
      <c r="D2631" s="1" t="s">
        <v>11535</v>
      </c>
      <c r="E2631" s="1" t="s">
        <v>11536</v>
      </c>
      <c r="F2631" s="4" t="s">
        <v>17</v>
      </c>
      <c r="G2631" s="1" t="s">
        <v>18</v>
      </c>
      <c r="H2631" s="1" t="s">
        <v>19</v>
      </c>
      <c r="I2631" s="1" t="s">
        <v>20</v>
      </c>
      <c r="J2631" s="1" t="s">
        <v>11537</v>
      </c>
      <c r="K2631" s="1" t="s">
        <v>22</v>
      </c>
      <c r="L2631" s="1" t="str">
        <f>HYPERLINK("https://files.afu.se/Downloads/Transcripts/0%20-%20Government/USA%20-%20NASA%20Johnson/2012 10 05 - NASA Johnson - Expedition 33 Crew Profile, Version 1_QNli_cJt6YY - transcript (automated).pdf","Transcript Link")</f>
        <v>Transcript Link</v>
      </c>
      <c r="M2631" s="2" t="str">
        <f>HYPERLINK("https://files.afu.se/Downloads/Transcripts/0%20-%20Government/USA%20-%20NASA%20Johnson/2012 10 05 - NASA Johnson - Expedition 33 Crew Profile, Version 1_QNli_cJt6YY - transcript (automated).pdf","Transcript Link")</f>
        <v>Transcript Link</v>
      </c>
    </row>
    <row r="2632" ht="180" spans="1:13">
      <c r="A2632" s="1" t="s">
        <v>11533</v>
      </c>
      <c r="B2632" s="1" t="s">
        <v>13</v>
      </c>
      <c r="C2632" s="4" t="s">
        <v>11538</v>
      </c>
      <c r="D2632" s="1" t="s">
        <v>11539</v>
      </c>
      <c r="E2632" s="1" t="s">
        <v>11540</v>
      </c>
      <c r="F2632" s="4" t="s">
        <v>17</v>
      </c>
      <c r="G2632" s="1" t="s">
        <v>18</v>
      </c>
      <c r="H2632" s="1" t="s">
        <v>19</v>
      </c>
      <c r="I2632" s="1" t="s">
        <v>20</v>
      </c>
      <c r="J2632" s="1" t="s">
        <v>11541</v>
      </c>
      <c r="K2632" s="1" t="s">
        <v>22</v>
      </c>
      <c r="L2632" s="1" t="str">
        <f>HYPERLINK("https://files.afu.se/Downloads/Transcripts/0%20-%20Government/USA%20-%20NASA%20Johnson/2012 10 05 - NASA Johnson - ISS Update  Weekly Recap for Oct. 5, 2012_rLwW4o5vacs - transcript (automated).pdf","Transcript Link")</f>
        <v>Transcript Link</v>
      </c>
      <c r="M2632" s="2" t="str">
        <f>HYPERLINK("https://files.afu.se/Downloads/Transcripts/0%20-%20Government/USA%20-%20NASA%20Johnson/2012 10 05 - NASA Johnson - ISS Update  Weekly Recap for Oct. 5, 2012_rLwW4o5vacs - transcript (automated).pdf","Transcript Link")</f>
        <v>Transcript Link</v>
      </c>
    </row>
    <row r="2633" ht="180" spans="1:13">
      <c r="A2633" s="1" t="s">
        <v>11542</v>
      </c>
      <c r="B2633" s="1" t="s">
        <v>13</v>
      </c>
      <c r="C2633" s="4" t="s">
        <v>11543</v>
      </c>
      <c r="D2633" s="1" t="s">
        <v>11544</v>
      </c>
      <c r="E2633" s="1" t="s">
        <v>11545</v>
      </c>
      <c r="F2633" s="4" t="s">
        <v>17</v>
      </c>
      <c r="G2633" s="1" t="s">
        <v>18</v>
      </c>
      <c r="H2633" s="1" t="s">
        <v>19</v>
      </c>
      <c r="I2633" s="1" t="s">
        <v>20</v>
      </c>
      <c r="J2633" s="1" t="s">
        <v>11546</v>
      </c>
      <c r="K2633" s="1" t="s">
        <v>22</v>
      </c>
      <c r="L2633" s="1" t="str">
        <f>HYPERLINK("https://files.afu.se/Downloads/Transcripts/0%20-%20Government/USA%20-%20NASA%20Johnson/2012 10 04 - NASA Johnson - Astronaut Clay Anderson Speaks With S.C. Students_Nq6-OZyV4wE - transcript (automated).pdf","Transcript Link")</f>
        <v>Transcript Link</v>
      </c>
      <c r="M2633" s="2" t="str">
        <f>HYPERLINK("https://files.afu.se/Downloads/Transcripts/0%20-%20Government/USA%20-%20NASA%20Johnson/2012 10 04 - NASA Johnson - Astronaut Clay Anderson Speaks With S.C. Students_Nq6-OZyV4wE - transcript (automated).pdf","Transcript Link")</f>
        <v>Transcript Link</v>
      </c>
    </row>
    <row r="2634" ht="180" spans="1:13">
      <c r="A2634" s="1" t="s">
        <v>11542</v>
      </c>
      <c r="B2634" s="1" t="s">
        <v>13</v>
      </c>
      <c r="C2634" s="4" t="s">
        <v>11547</v>
      </c>
      <c r="D2634" s="1" t="s">
        <v>11548</v>
      </c>
      <c r="E2634" s="1" t="s">
        <v>11549</v>
      </c>
      <c r="F2634" s="4" t="s">
        <v>17</v>
      </c>
      <c r="G2634" s="1" t="s">
        <v>18</v>
      </c>
      <c r="H2634" s="1" t="s">
        <v>19</v>
      </c>
      <c r="I2634" s="1" t="s">
        <v>20</v>
      </c>
      <c r="J2634" s="1" t="s">
        <v>11550</v>
      </c>
      <c r="K2634" s="1" t="s">
        <v>22</v>
      </c>
      <c r="L2634" s="1" t="str">
        <f>HYPERLINK("https://files.afu.se/Downloads/Transcripts/0%20-%20Government/USA%20-%20NASA%20Johnson/2012 10 04 - NASA Johnson - ISS Update - Oct. 4, 2012_IoNSlxWgnuU - transcript (automated).pdf","Transcript Link")</f>
        <v>Transcript Link</v>
      </c>
      <c r="M2634" s="2" t="str">
        <f>HYPERLINK("https://files.afu.se/Downloads/Transcripts/0%20-%20Government/USA%20-%20NASA%20Johnson/2012 10 04 - NASA Johnson - ISS Update - Oct. 4, 2012_IoNSlxWgnuU - transcript (automated).pdf","Transcript Link")</f>
        <v>Transcript Link</v>
      </c>
    </row>
    <row r="2635" ht="180" spans="1:13">
      <c r="A2635" s="1" t="s">
        <v>11551</v>
      </c>
      <c r="B2635" s="1" t="s">
        <v>13</v>
      </c>
      <c r="C2635" s="4" t="s">
        <v>11552</v>
      </c>
      <c r="D2635" s="1" t="s">
        <v>11553</v>
      </c>
      <c r="E2635" s="1" t="s">
        <v>11554</v>
      </c>
      <c r="F2635" s="4" t="s">
        <v>17</v>
      </c>
      <c r="G2635" s="1" t="s">
        <v>18</v>
      </c>
      <c r="H2635" s="1" t="s">
        <v>19</v>
      </c>
      <c r="I2635" s="1" t="s">
        <v>20</v>
      </c>
      <c r="J2635" s="1" t="s">
        <v>11555</v>
      </c>
      <c r="K2635" s="1" t="s">
        <v>22</v>
      </c>
      <c r="L2635" s="1" t="str">
        <f>HYPERLINK("https://files.afu.se/Downloads/Transcripts/0%20-%20Government/USA%20-%20NASA%20Johnson/2012 10 03 - NASA Johnson - ISS Update - Oct. 3, 2012_ywPn7MMr4Yo - transcript (automated).pdf","Transcript Link")</f>
        <v>Transcript Link</v>
      </c>
      <c r="M2635" s="2" t="str">
        <f>HYPERLINK("https://files.afu.se/Downloads/Transcripts/0%20-%20Government/USA%20-%20NASA%20Johnson/2012 10 03 - NASA Johnson - ISS Update - Oct. 3, 2012_ywPn7MMr4Yo - transcript (automated).pdf","Transcript Link")</f>
        <v>Transcript Link</v>
      </c>
    </row>
    <row r="2636" ht="180" spans="1:13">
      <c r="A2636" s="1" t="s">
        <v>11556</v>
      </c>
      <c r="B2636" s="1" t="s">
        <v>13</v>
      </c>
      <c r="C2636" s="4" t="s">
        <v>11557</v>
      </c>
      <c r="D2636" s="1" t="s">
        <v>11558</v>
      </c>
      <c r="E2636" s="1" t="s">
        <v>11559</v>
      </c>
      <c r="F2636" s="4" t="s">
        <v>17</v>
      </c>
      <c r="G2636" s="1" t="s">
        <v>18</v>
      </c>
      <c r="H2636" s="1" t="s">
        <v>19</v>
      </c>
      <c r="I2636" s="1" t="s">
        <v>20</v>
      </c>
      <c r="J2636" s="1" t="s">
        <v>11560</v>
      </c>
      <c r="K2636" s="1" t="s">
        <v>22</v>
      </c>
      <c r="L2636" s="1" t="str">
        <f>HYPERLINK("https://files.afu.se/Downloads/Transcripts/0%20-%20Government/USA%20-%20NASA%20Johnson/2012 10 02 - NASA Johnson - ISS Update - Oct. 2, 2012_Kh9j4cXbWLE - transcript (automated).pdf","Transcript Link")</f>
        <v>Transcript Link</v>
      </c>
      <c r="M2636" s="2" t="str">
        <f>HYPERLINK("https://files.afu.se/Downloads/Transcripts/0%20-%20Government/USA%20-%20NASA%20Johnson/2012 10 02 - NASA Johnson - ISS Update - Oct. 2, 2012_Kh9j4cXbWLE - transcript (automated).pdf","Transcript Link")</f>
        <v>Transcript Link</v>
      </c>
    </row>
    <row r="2637" ht="210" spans="1:13">
      <c r="A2637" s="1" t="s">
        <v>11561</v>
      </c>
      <c r="B2637" s="1" t="s">
        <v>13</v>
      </c>
      <c r="C2637" s="4" t="s">
        <v>11562</v>
      </c>
      <c r="D2637" s="1" t="s">
        <v>11563</v>
      </c>
      <c r="E2637" s="1" t="s">
        <v>11564</v>
      </c>
      <c r="F2637" s="4" t="s">
        <v>17</v>
      </c>
      <c r="G2637" s="1" t="s">
        <v>18</v>
      </c>
      <c r="H2637" s="1" t="s">
        <v>19</v>
      </c>
      <c r="I2637" s="1" t="s">
        <v>20</v>
      </c>
      <c r="J2637" s="1" t="s">
        <v>11565</v>
      </c>
      <c r="K2637" s="1" t="s">
        <v>22</v>
      </c>
      <c r="L2637" s="1" t="str">
        <f>HYPERLINK("https://files.afu.se/Downloads/Transcripts/0%20-%20Government/USA%20-%20NASA%20Johnson/2012 10 01 - NASA Johnson - Expedition 33 34 Mission Overview_9UaHd89lQnk - transcript (automated).pdf","Transcript Link")</f>
        <v>Transcript Link</v>
      </c>
      <c r="M2637" s="2" t="str">
        <f>HYPERLINK("https://files.afu.se/Downloads/Transcripts/0%20-%20Government/USA%20-%20NASA%20Johnson/2012 10 01 - NASA Johnson - Expedition 33 34 Mission Overview_9UaHd89lQnk - transcript (automated).pdf","Transcript Link")</f>
        <v>Transcript Link</v>
      </c>
    </row>
    <row r="2638" ht="180" spans="1:13">
      <c r="A2638" s="1" t="s">
        <v>11561</v>
      </c>
      <c r="B2638" s="1" t="s">
        <v>13</v>
      </c>
      <c r="C2638" s="4" t="s">
        <v>11566</v>
      </c>
      <c r="D2638" s="1" t="s">
        <v>11567</v>
      </c>
      <c r="E2638" s="1" t="s">
        <v>11568</v>
      </c>
      <c r="F2638" s="4" t="s">
        <v>17</v>
      </c>
      <c r="G2638" s="1" t="s">
        <v>18</v>
      </c>
      <c r="H2638" s="1" t="s">
        <v>19</v>
      </c>
      <c r="I2638" s="1" t="s">
        <v>20</v>
      </c>
      <c r="J2638" s="1" t="s">
        <v>11569</v>
      </c>
      <c r="K2638" s="1" t="s">
        <v>22</v>
      </c>
      <c r="L2638" s="1" t="str">
        <f>HYPERLINK("https://files.afu.se/Downloads/Transcripts/0%20-%20Government/USA%20-%20NASA%20Johnson/2012 10 01 - NASA Johnson - ISS Update - Oct. 1, 2012_I03AFoafmV4 - transcript (automated).pdf","Transcript Link")</f>
        <v>Transcript Link</v>
      </c>
      <c r="M2638" s="2" t="str">
        <f>HYPERLINK("https://files.afu.se/Downloads/Transcripts/0%20-%20Government/USA%20-%20NASA%20Johnson/2012 10 01 - NASA Johnson - ISS Update - Oct. 1, 2012_I03AFoafmV4 - transcript (automated).pdf","Transcript Link")</f>
        <v>Transcript Link</v>
      </c>
    </row>
    <row r="2639" ht="180" spans="1:13">
      <c r="A2639" s="1" t="s">
        <v>11570</v>
      </c>
      <c r="B2639" s="1" t="s">
        <v>13</v>
      </c>
      <c r="C2639" s="4" t="s">
        <v>11571</v>
      </c>
      <c r="D2639" s="1" t="s">
        <v>11572</v>
      </c>
      <c r="E2639" s="1" t="s">
        <v>11573</v>
      </c>
      <c r="F2639" s="4" t="s">
        <v>17</v>
      </c>
      <c r="G2639" s="1" t="s">
        <v>18</v>
      </c>
      <c r="H2639" s="1" t="s">
        <v>19</v>
      </c>
      <c r="I2639" s="1" t="s">
        <v>20</v>
      </c>
      <c r="J2639" s="1" t="s">
        <v>11574</v>
      </c>
      <c r="K2639" s="1" t="s">
        <v>22</v>
      </c>
      <c r="L2639" s="1" t="str">
        <f>HYPERLINK("https://files.afu.se/Downloads/Transcripts/0%20-%20Government/USA%20-%20NASA%20Johnson/2012 09 28 - NASA Johnson - ISS Update  Weekly Recap for Sept. 28, 2012_nt3sAAUQk9g - transcript (automated).pdf","Transcript Link")</f>
        <v>Transcript Link</v>
      </c>
      <c r="M2639" s="2" t="str">
        <f>HYPERLINK("https://files.afu.se/Downloads/Transcripts/0%20-%20Government/USA%20-%20NASA%20Johnson/2012 09 28 - NASA Johnson - ISS Update  Weekly Recap for Sept. 28, 2012_nt3sAAUQk9g - transcript (automated).pdf","Transcript Link")</f>
        <v>Transcript Link</v>
      </c>
    </row>
    <row r="2640" ht="180" spans="1:13">
      <c r="A2640" s="1" t="s">
        <v>11575</v>
      </c>
      <c r="B2640" s="1" t="s">
        <v>13</v>
      </c>
      <c r="C2640" s="4" t="s">
        <v>11576</v>
      </c>
      <c r="D2640" s="1" t="s">
        <v>11577</v>
      </c>
      <c r="E2640" s="1" t="s">
        <v>11578</v>
      </c>
      <c r="F2640" s="4" t="s">
        <v>17</v>
      </c>
      <c r="G2640" s="1" t="s">
        <v>18</v>
      </c>
      <c r="H2640" s="1" t="s">
        <v>19</v>
      </c>
      <c r="I2640" s="1" t="s">
        <v>20</v>
      </c>
      <c r="J2640" s="1" t="s">
        <v>11579</v>
      </c>
      <c r="K2640" s="1" t="s">
        <v>22</v>
      </c>
      <c r="L2640" s="1" t="str">
        <f>HYPERLINK("https://files.afu.se/Downloads/Transcripts/0%20-%20Government/USA%20-%20NASA%20Johnson/2012 09 27 - NASA Johnson - ISS Update  Logistics Reduction and Repurposing (Part 1)_P0_6XEx0_kA - transcript (automated).pdf","Transcript Link")</f>
        <v>Transcript Link</v>
      </c>
      <c r="M2640" s="2" t="str">
        <f>HYPERLINK("https://files.afu.se/Downloads/Transcripts/0%20-%20Government/USA%20-%20NASA%20Johnson/2012 09 27 - NASA Johnson - ISS Update  Logistics Reduction and Repurposing (Part 1)_P0_6XEx0_kA - transcript (automated).pdf","Transcript Link")</f>
        <v>Transcript Link</v>
      </c>
    </row>
    <row r="2641" ht="180" spans="1:13">
      <c r="A2641" s="1" t="s">
        <v>11575</v>
      </c>
      <c r="B2641" s="1" t="s">
        <v>13</v>
      </c>
      <c r="C2641" s="4" t="s">
        <v>11580</v>
      </c>
      <c r="D2641" s="1" t="s">
        <v>11581</v>
      </c>
      <c r="E2641" s="1" t="s">
        <v>11582</v>
      </c>
      <c r="F2641" s="4" t="s">
        <v>17</v>
      </c>
      <c r="G2641" s="1" t="s">
        <v>18</v>
      </c>
      <c r="H2641" s="1" t="s">
        <v>19</v>
      </c>
      <c r="I2641" s="1" t="s">
        <v>20</v>
      </c>
      <c r="J2641" s="1" t="s">
        <v>11583</v>
      </c>
      <c r="K2641" s="1" t="s">
        <v>22</v>
      </c>
      <c r="L2641" s="1" t="str">
        <f>HYPERLINK("https://files.afu.se/Downloads/Transcripts/0%20-%20Government/USA%20-%20NASA%20Johnson/2012 09 27 - NASA Johnson - ISS Update  Logistics Reduction and Repurposing (Part 2)_kYRKf_JBe3k - transcript (automated).pdf","Transcript Link")</f>
        <v>Transcript Link</v>
      </c>
      <c r="M2641" s="2" t="str">
        <f>HYPERLINK("https://files.afu.se/Downloads/Transcripts/0%20-%20Government/USA%20-%20NASA%20Johnson/2012 09 27 - NASA Johnson - ISS Update  Logistics Reduction and Repurposing (Part 2)_kYRKf_JBe3k - transcript (automated).pdf","Transcript Link")</f>
        <v>Transcript Link</v>
      </c>
    </row>
    <row r="2642" ht="180" spans="1:13">
      <c r="A2642" s="1" t="s">
        <v>11575</v>
      </c>
      <c r="B2642" s="1" t="s">
        <v>13</v>
      </c>
      <c r="C2642" s="4" t="s">
        <v>11584</v>
      </c>
      <c r="D2642" s="1" t="s">
        <v>11585</v>
      </c>
      <c r="E2642" s="1" t="s">
        <v>11586</v>
      </c>
      <c r="F2642" s="4" t="s">
        <v>17</v>
      </c>
      <c r="G2642" s="1" t="s">
        <v>18</v>
      </c>
      <c r="H2642" s="1" t="s">
        <v>19</v>
      </c>
      <c r="I2642" s="1" t="s">
        <v>20</v>
      </c>
      <c r="J2642" s="1" t="s">
        <v>11587</v>
      </c>
      <c r="K2642" s="1" t="s">
        <v>22</v>
      </c>
      <c r="L2642" s="1" t="str">
        <f>HYPERLINK("https://files.afu.se/Downloads/Transcripts/0%20-%20Government/USA%20-%20NASA%20Johnson/2012 09 27 - NASA Johnson - ISS Update - Sept. 27, 2012_GWh35PwTdOo - transcript (automated).pdf","Transcript Link")</f>
        <v>Transcript Link</v>
      </c>
      <c r="M2642" s="2" t="str">
        <f>HYPERLINK("https://files.afu.se/Downloads/Transcripts/0%20-%20Government/USA%20-%20NASA%20Johnson/2012 09 27 - NASA Johnson - ISS Update - Sept. 27, 2012_GWh35PwTdOo - transcript (automated).pdf","Transcript Link")</f>
        <v>Transcript Link</v>
      </c>
    </row>
    <row r="2643" ht="240" spans="1:13">
      <c r="A2643" s="1" t="s">
        <v>11588</v>
      </c>
      <c r="B2643" s="1" t="s">
        <v>13</v>
      </c>
      <c r="C2643" s="4" t="s">
        <v>11589</v>
      </c>
      <c r="D2643" s="1" t="s">
        <v>11590</v>
      </c>
      <c r="E2643" s="1" t="s">
        <v>11591</v>
      </c>
      <c r="F2643" s="4" t="s">
        <v>17</v>
      </c>
      <c r="G2643" s="1" t="s">
        <v>18</v>
      </c>
      <c r="H2643" s="1" t="s">
        <v>19</v>
      </c>
      <c r="I2643" s="1" t="s">
        <v>20</v>
      </c>
      <c r="J2643" s="1" t="s">
        <v>11592</v>
      </c>
      <c r="K2643" s="1" t="s">
        <v>22</v>
      </c>
      <c r="L2643" s="1" t="str">
        <f>HYPERLINK("https://files.afu.se/Downloads/Transcripts/0%20-%20Government/USA%20-%20NASA%20Johnson/2012 09 26 - NASA Johnson - ISS Update  JAXA Small Satellite Orbital Deployer_L4-RL4HwrKE - transcript (automated).pdf","Transcript Link")</f>
        <v>Transcript Link</v>
      </c>
      <c r="M2643" s="2" t="str">
        <f>HYPERLINK("https://files.afu.se/Downloads/Transcripts/0%20-%20Government/USA%20-%20NASA%20Johnson/2012 09 26 - NASA Johnson - ISS Update  JAXA Small Satellite Orbital Deployer_L4-RL4HwrKE - transcript (automated).pdf","Transcript Link")</f>
        <v>Transcript Link</v>
      </c>
    </row>
    <row r="2644" ht="180" spans="1:13">
      <c r="A2644" s="1" t="s">
        <v>11588</v>
      </c>
      <c r="B2644" s="1" t="s">
        <v>13</v>
      </c>
      <c r="C2644" s="4" t="s">
        <v>11593</v>
      </c>
      <c r="D2644" s="1" t="s">
        <v>11594</v>
      </c>
      <c r="E2644" s="1" t="s">
        <v>11595</v>
      </c>
      <c r="F2644" s="4" t="s">
        <v>17</v>
      </c>
      <c r="G2644" s="1" t="s">
        <v>18</v>
      </c>
      <c r="H2644" s="1" t="s">
        <v>19</v>
      </c>
      <c r="I2644" s="1" t="s">
        <v>20</v>
      </c>
      <c r="J2644" s="1" t="s">
        <v>11596</v>
      </c>
      <c r="K2644" s="1" t="s">
        <v>22</v>
      </c>
      <c r="L2644" s="1" t="str">
        <f>HYPERLINK("https://files.afu.se/Downloads/Transcripts/0%20-%20Government/USA%20-%20NASA%20Johnson/2012 09 26 - NASA Johnson - ISS Update - Sept. 26, 2012_4lABhbdKBVY - transcript (automated).pdf","Transcript Link")</f>
        <v>Transcript Link</v>
      </c>
      <c r="M2644" s="2" t="str">
        <f>HYPERLINK("https://files.afu.se/Downloads/Transcripts/0%20-%20Government/USA%20-%20NASA%20Johnson/2012 09 26 - NASA Johnson - ISS Update - Sept. 26, 2012_4lABhbdKBVY - transcript (automated).pdf","Transcript Link")</f>
        <v>Transcript Link</v>
      </c>
    </row>
    <row r="2645" ht="180" spans="1:13">
      <c r="A2645" s="1" t="s">
        <v>11597</v>
      </c>
      <c r="B2645" s="1" t="s">
        <v>13</v>
      </c>
      <c r="C2645" s="4" t="s">
        <v>11598</v>
      </c>
      <c r="D2645" s="1" t="s">
        <v>11599</v>
      </c>
      <c r="E2645" s="1" t="s">
        <v>11600</v>
      </c>
      <c r="F2645" s="4" t="s">
        <v>17</v>
      </c>
      <c r="G2645" s="1" t="s">
        <v>18</v>
      </c>
      <c r="H2645" s="1" t="s">
        <v>19</v>
      </c>
      <c r="I2645" s="1" t="s">
        <v>20</v>
      </c>
      <c r="J2645" s="1" t="s">
        <v>11601</v>
      </c>
      <c r="K2645" s="1" t="s">
        <v>22</v>
      </c>
      <c r="L2645" s="1" t="str">
        <f>HYPERLINK("https://files.afu.se/Downloads/Transcripts/0%20-%20Government/USA%20-%20NASA%20Johnson/2012 09 25 - NASA Johnson - Expedition 33 34 Crew Ceremonies in Moscow_a6LvSTZEvys - transcript (automated).pdf","Transcript Link")</f>
        <v>Transcript Link</v>
      </c>
      <c r="M2645" s="2" t="str">
        <f>HYPERLINK("https://files.afu.se/Downloads/Transcripts/0%20-%20Government/USA%20-%20NASA%20Johnson/2012 09 25 - NASA Johnson - Expedition 33 34 Crew Ceremonies in Moscow_a6LvSTZEvys - transcript (automated).pdf","Transcript Link")</f>
        <v>Transcript Link</v>
      </c>
    </row>
    <row r="2646" ht="180" spans="1:13">
      <c r="A2646" s="1" t="s">
        <v>11597</v>
      </c>
      <c r="B2646" s="1" t="s">
        <v>13</v>
      </c>
      <c r="C2646" s="4" t="s">
        <v>11602</v>
      </c>
      <c r="D2646" s="1" t="s">
        <v>11603</v>
      </c>
      <c r="E2646" s="1" t="s">
        <v>11604</v>
      </c>
      <c r="F2646" s="4" t="s">
        <v>17</v>
      </c>
      <c r="G2646" s="1" t="s">
        <v>18</v>
      </c>
      <c r="H2646" s="1" t="s">
        <v>19</v>
      </c>
      <c r="I2646" s="1" t="s">
        <v>20</v>
      </c>
      <c r="J2646" s="1" t="s">
        <v>11605</v>
      </c>
      <c r="K2646" s="1" t="s">
        <v>22</v>
      </c>
      <c r="L2646" s="1" t="str">
        <f>HYPERLINK("https://files.afu.se/Downloads/Transcripts/0%20-%20Government/USA%20-%20NASA%20Johnson/2012 09 25 - NASA Johnson - ISS Update - Sept. 25, 2012_yFxecbe8XA8 - transcript (automated).pdf","Transcript Link")</f>
        <v>Transcript Link</v>
      </c>
      <c r="M2646" s="2" t="str">
        <f>HYPERLINK("https://files.afu.se/Downloads/Transcripts/0%20-%20Government/USA%20-%20NASA%20Johnson/2012 09 25 - NASA Johnson - ISS Update - Sept. 25, 2012_yFxecbe8XA8 - transcript (automated).pdf","Transcript Link")</f>
        <v>Transcript Link</v>
      </c>
    </row>
    <row r="2647" ht="345" spans="1:13">
      <c r="A2647" s="1" t="s">
        <v>11606</v>
      </c>
      <c r="B2647" s="1" t="s">
        <v>13</v>
      </c>
      <c r="C2647" s="4" t="s">
        <v>11607</v>
      </c>
      <c r="D2647" s="1" t="s">
        <v>11608</v>
      </c>
      <c r="E2647" s="1" t="s">
        <v>11609</v>
      </c>
      <c r="F2647" s="4" t="s">
        <v>17</v>
      </c>
      <c r="G2647" s="1" t="s">
        <v>18</v>
      </c>
      <c r="H2647" s="1" t="s">
        <v>19</v>
      </c>
      <c r="I2647" s="1" t="s">
        <v>20</v>
      </c>
      <c r="J2647" s="1" t="s">
        <v>11610</v>
      </c>
      <c r="K2647" s="1" t="s">
        <v>22</v>
      </c>
      <c r="L2647" s="1" t="str">
        <f>HYPERLINK("https://files.afu.se/Downloads/Transcripts/0%20-%20Government/USA%20-%20NASA%20Johnson/2012 09 24 - NASA Johnson - ISS Update  ATV-3 ReEntry Breakup Recorder_AHaDrVvokNo - transcript (automated).pdf","Transcript Link")</f>
        <v>Transcript Link</v>
      </c>
      <c r="M2647" s="2" t="str">
        <f>HYPERLINK("https://files.afu.se/Downloads/Transcripts/0%20-%20Government/USA%20-%20NASA%20Johnson/2012 09 24 - NASA Johnson - ISS Update  ATV-3 ReEntry Breakup Recorder_AHaDrVvokNo - transcript (automated).pdf","Transcript Link")</f>
        <v>Transcript Link</v>
      </c>
    </row>
    <row r="2648" ht="180" spans="1:13">
      <c r="A2648" s="1" t="s">
        <v>11606</v>
      </c>
      <c r="B2648" s="1" t="s">
        <v>13</v>
      </c>
      <c r="C2648" s="4" t="s">
        <v>11611</v>
      </c>
      <c r="D2648" s="1" t="s">
        <v>11612</v>
      </c>
      <c r="E2648" s="1" t="s">
        <v>11613</v>
      </c>
      <c r="F2648" s="4" t="s">
        <v>17</v>
      </c>
      <c r="G2648" s="1" t="s">
        <v>18</v>
      </c>
      <c r="H2648" s="1" t="s">
        <v>19</v>
      </c>
      <c r="I2648" s="1" t="s">
        <v>20</v>
      </c>
      <c r="J2648" s="1" t="s">
        <v>11614</v>
      </c>
      <c r="K2648" s="1" t="s">
        <v>22</v>
      </c>
      <c r="L2648" s="1" t="str">
        <f>HYPERLINK("https://files.afu.se/Downloads/Transcripts/0%20-%20Government/USA%20-%20NASA%20Johnson/2012 09 24 - NASA Johnson - ISS Update - Sept. 24, 2012_X_TPpCReclc - transcript (automated).pdf","Transcript Link")</f>
        <v>Transcript Link</v>
      </c>
      <c r="M2648" s="2" t="str">
        <f>HYPERLINK("https://files.afu.se/Downloads/Transcripts/0%20-%20Government/USA%20-%20NASA%20Johnson/2012 09 24 - NASA Johnson - ISS Update - Sept. 24, 2012_X_TPpCReclc - transcript (automated).pdf","Transcript Link")</f>
        <v>Transcript Link</v>
      </c>
    </row>
    <row r="2649" ht="240" spans="1:13">
      <c r="A2649" s="1" t="s">
        <v>11615</v>
      </c>
      <c r="B2649" s="1" t="s">
        <v>13</v>
      </c>
      <c r="C2649" s="4" t="s">
        <v>11616</v>
      </c>
      <c r="D2649" s="1" t="s">
        <v>11617</v>
      </c>
      <c r="E2649" s="1" t="s">
        <v>11618</v>
      </c>
      <c r="F2649" s="4" t="s">
        <v>17</v>
      </c>
      <c r="G2649" s="1" t="s">
        <v>18</v>
      </c>
      <c r="H2649" s="1" t="s">
        <v>19</v>
      </c>
      <c r="I2649" s="1" t="s">
        <v>20</v>
      </c>
      <c r="J2649" s="1" t="s">
        <v>11619</v>
      </c>
      <c r="K2649" s="1" t="s">
        <v>22</v>
      </c>
      <c r="L2649" s="1" t="str">
        <f>HYPERLINK("https://files.afu.se/Downloads/Transcripts/0%20-%20Government/USA%20-%20NASA%20Johnson/2012 09 21 - NASA Johnson - ISS Update  Z1 Spacesuit and Suitport Testing_-tDuwIu_b9g - transcript (automated).pdf","Transcript Link")</f>
        <v>Transcript Link</v>
      </c>
      <c r="M2649" s="2" t="str">
        <f>HYPERLINK("https://files.afu.se/Downloads/Transcripts/0%20-%20Government/USA%20-%20NASA%20Johnson/2012 09 21 - NASA Johnson - ISS Update  Z1 Spacesuit and Suitport Testing_-tDuwIu_b9g - transcript (automated).pdf","Transcript Link")</f>
        <v>Transcript Link</v>
      </c>
    </row>
    <row r="2650" ht="180" spans="1:13">
      <c r="A2650" s="1" t="s">
        <v>11615</v>
      </c>
      <c r="B2650" s="1" t="s">
        <v>13</v>
      </c>
      <c r="C2650" s="4" t="s">
        <v>11620</v>
      </c>
      <c r="D2650" s="1" t="s">
        <v>11621</v>
      </c>
      <c r="E2650" s="1" t="s">
        <v>11622</v>
      </c>
      <c r="F2650" s="4" t="s">
        <v>17</v>
      </c>
      <c r="G2650" s="1" t="s">
        <v>18</v>
      </c>
      <c r="H2650" s="1" t="s">
        <v>19</v>
      </c>
      <c r="I2650" s="1" t="s">
        <v>20</v>
      </c>
      <c r="J2650" s="1" t="s">
        <v>11623</v>
      </c>
      <c r="K2650" s="1" t="s">
        <v>22</v>
      </c>
      <c r="L2650" s="1" t="str">
        <f>HYPERLINK("https://files.afu.se/Downloads/Transcripts/0%20-%20Government/USA%20-%20NASA%20Johnson/2012 09 21 - NASA Johnson - ISS Update  Weekly Recap for Sept. 21, 2012_jBSdHCvpl1k - transcript (automated).pdf","Transcript Link")</f>
        <v>Transcript Link</v>
      </c>
      <c r="M2650" s="2" t="str">
        <f>HYPERLINK("https://files.afu.se/Downloads/Transcripts/0%20-%20Government/USA%20-%20NASA%20Johnson/2012 09 21 - NASA Johnson - ISS Update  Weekly Recap for Sept. 21, 2012_jBSdHCvpl1k - transcript (automated).pdf","Transcript Link")</f>
        <v>Transcript Link</v>
      </c>
    </row>
    <row r="2651" ht="180" spans="1:13">
      <c r="A2651" s="1" t="s">
        <v>11615</v>
      </c>
      <c r="B2651" s="1" t="s">
        <v>13</v>
      </c>
      <c r="C2651" s="4" t="s">
        <v>11624</v>
      </c>
      <c r="D2651" s="1" t="s">
        <v>11625</v>
      </c>
      <c r="E2651" s="1" t="s">
        <v>11626</v>
      </c>
      <c r="F2651" s="4" t="s">
        <v>17</v>
      </c>
      <c r="G2651" s="1" t="s">
        <v>18</v>
      </c>
      <c r="H2651" s="1" t="s">
        <v>19</v>
      </c>
      <c r="I2651" s="1" t="s">
        <v>20</v>
      </c>
      <c r="J2651" s="1" t="s">
        <v>11627</v>
      </c>
      <c r="K2651" s="1" t="s">
        <v>22</v>
      </c>
      <c r="L2651" s="1" t="str">
        <f>HYPERLINK("https://files.afu.se/Downloads/Transcripts/0%20-%20Government/USA%20-%20NASA%20Johnson/2012 09 21 - NASA Johnson - Expedition 33 34 Crew Conducts Final Qualification Training_gW-gOleCuLQ - transcript (automated).pdf","Transcript Link")</f>
        <v>Transcript Link</v>
      </c>
      <c r="M2651" s="2" t="str">
        <f>HYPERLINK("https://files.afu.se/Downloads/Transcripts/0%20-%20Government/USA%20-%20NASA%20Johnson/2012 09 21 - NASA Johnson - Expedition 33 34 Crew Conducts Final Qualification Training_gW-gOleCuLQ - transcript (automated).pdf","Transcript Link")</f>
        <v>Transcript Link</v>
      </c>
    </row>
    <row r="2652" ht="180" spans="1:13">
      <c r="A2652" s="1" t="s">
        <v>11628</v>
      </c>
      <c r="B2652" s="1" t="s">
        <v>13</v>
      </c>
      <c r="C2652" s="4" t="s">
        <v>11629</v>
      </c>
      <c r="D2652" s="1" t="s">
        <v>11630</v>
      </c>
      <c r="E2652" s="1" t="s">
        <v>11631</v>
      </c>
      <c r="F2652" s="4" t="s">
        <v>17</v>
      </c>
      <c r="G2652" s="1" t="s">
        <v>18</v>
      </c>
      <c r="H2652" s="1" t="s">
        <v>19</v>
      </c>
      <c r="I2652" s="1" t="s">
        <v>20</v>
      </c>
      <c r="J2652" s="1" t="s">
        <v>11632</v>
      </c>
      <c r="K2652" s="1" t="s">
        <v>22</v>
      </c>
      <c r="L2652" s="1" t="str">
        <f>HYPERLINK("https://files.afu.se/Downloads/Transcripts/0%20-%20Government/USA%20-%20NASA%20Johnson/2012 09 20 - NASA Johnson - ISS Update - Sept. 20, 2012_TB9Q0K-1B8E - transcript (automated).pdf","Transcript Link")</f>
        <v>Transcript Link</v>
      </c>
      <c r="M2652" s="2" t="str">
        <f>HYPERLINK("https://files.afu.se/Downloads/Transcripts/0%20-%20Government/USA%20-%20NASA%20Johnson/2012 09 20 - NASA Johnson - ISS Update - Sept. 20, 2012_TB9Q0K-1B8E - transcript (automated).pdf","Transcript Link")</f>
        <v>Transcript Link</v>
      </c>
    </row>
    <row r="2653" ht="180" spans="1:13">
      <c r="A2653" s="1" t="s">
        <v>11628</v>
      </c>
      <c r="B2653" s="1" t="s">
        <v>13</v>
      </c>
      <c r="C2653" s="4" t="s">
        <v>11633</v>
      </c>
      <c r="D2653" s="1" t="s">
        <v>11634</v>
      </c>
      <c r="E2653" s="1" t="s">
        <v>11635</v>
      </c>
      <c r="F2653" s="4" t="s">
        <v>17</v>
      </c>
      <c r="G2653" s="1" t="s">
        <v>18</v>
      </c>
      <c r="H2653" s="1" t="s">
        <v>19</v>
      </c>
      <c r="I2653" s="1" t="s">
        <v>20</v>
      </c>
      <c r="J2653" s="1" t="s">
        <v>11636</v>
      </c>
      <c r="K2653" s="1" t="s">
        <v>22</v>
      </c>
      <c r="L2653" s="1" t="str">
        <f>HYPERLINK("https://files.afu.se/Downloads/Transcripts/0%20-%20Government/USA%20-%20NASA%20Johnson/2012 09 20 - NASA Johnson - Endeavour Departs Ellington Field_M2NHU_R8ngk - transcript (automated).pdf","Transcript Link")</f>
        <v>Transcript Link</v>
      </c>
      <c r="M2653" s="2" t="str">
        <f>HYPERLINK("https://files.afu.se/Downloads/Transcripts/0%20-%20Government/USA%20-%20NASA%20Johnson/2012 09 20 - NASA Johnson - Endeavour Departs Ellington Field_M2NHU_R8ngk - transcript (automated).pdf","Transcript Link")</f>
        <v>Transcript Link</v>
      </c>
    </row>
    <row r="2654" ht="180" spans="1:13">
      <c r="A2654" s="1" t="s">
        <v>11628</v>
      </c>
      <c r="B2654" s="1" t="s">
        <v>13</v>
      </c>
      <c r="C2654" s="4" t="s">
        <v>11637</v>
      </c>
      <c r="D2654" s="1" t="s">
        <v>11638</v>
      </c>
      <c r="E2654" s="1" t="s">
        <v>11639</v>
      </c>
      <c r="F2654" s="4" t="s">
        <v>17</v>
      </c>
      <c r="G2654" s="1" t="s">
        <v>18</v>
      </c>
      <c r="H2654" s="1" t="s">
        <v>19</v>
      </c>
      <c r="I2654" s="1" t="s">
        <v>20</v>
      </c>
      <c r="J2654" s="1" t="s">
        <v>11640</v>
      </c>
      <c r="K2654" s="1" t="s">
        <v>22</v>
      </c>
      <c r="L2654" s="1" t="str">
        <f>HYPERLINK("https://files.afu.se/Downloads/Transcripts/0%20-%20Government/USA%20-%20NASA%20Johnson/2012 09 20 - NASA Johnson - Endeavour Soars Over Houston_oBegeMCqPtY - transcript (automated).pdf","Transcript Link")</f>
        <v>Transcript Link</v>
      </c>
      <c r="M2654" s="2" t="str">
        <f>HYPERLINK("https://files.afu.se/Downloads/Transcripts/0%20-%20Government/USA%20-%20NASA%20Johnson/2012 09 20 - NASA Johnson - Endeavour Soars Over Houston_oBegeMCqPtY - transcript (automated).pdf","Transcript Link")</f>
        <v>Transcript Link</v>
      </c>
    </row>
    <row r="2655" ht="180" spans="1:13">
      <c r="A2655" s="1" t="s">
        <v>11641</v>
      </c>
      <c r="B2655" s="1" t="s">
        <v>13</v>
      </c>
      <c r="C2655" s="4" t="s">
        <v>11642</v>
      </c>
      <c r="D2655" s="1" t="s">
        <v>11643</v>
      </c>
      <c r="E2655" s="1" t="s">
        <v>11644</v>
      </c>
      <c r="F2655" s="4" t="s">
        <v>17</v>
      </c>
      <c r="G2655" s="1" t="s">
        <v>18</v>
      </c>
      <c r="H2655" s="1" t="s">
        <v>19</v>
      </c>
      <c r="I2655" s="1" t="s">
        <v>20</v>
      </c>
      <c r="J2655" s="1" t="s">
        <v>11645</v>
      </c>
      <c r="K2655" s="1" t="s">
        <v>22</v>
      </c>
      <c r="L2655" s="1" t="str">
        <f>HYPERLINK("https://files.afu.se/Downloads/Transcripts/0%20-%20Government/USA%20-%20NASA%20Johnson/2012 09 19 - NASA Johnson - Endeavour Lands in Houston on Ferry Flight_UrnNS9zCk2g - transcript (automated).pdf","Transcript Link")</f>
        <v>Transcript Link</v>
      </c>
      <c r="M2655" s="2" t="str">
        <f>HYPERLINK("https://files.afu.se/Downloads/Transcripts/0%20-%20Government/USA%20-%20NASA%20Johnson/2012 09 19 - NASA Johnson - Endeavour Lands in Houston on Ferry Flight_UrnNS9zCk2g - transcript (automated).pdf","Transcript Link")</f>
        <v>Transcript Link</v>
      </c>
    </row>
    <row r="2656" ht="180" spans="1:13">
      <c r="A2656" s="1" t="s">
        <v>11641</v>
      </c>
      <c r="B2656" s="1" t="s">
        <v>13</v>
      </c>
      <c r="C2656" s="4" t="s">
        <v>11646</v>
      </c>
      <c r="D2656" s="1" t="s">
        <v>11647</v>
      </c>
      <c r="E2656" s="1" t="s">
        <v>11648</v>
      </c>
      <c r="F2656" s="4" t="s">
        <v>17</v>
      </c>
      <c r="G2656" s="1" t="s">
        <v>18</v>
      </c>
      <c r="H2656" s="1" t="s">
        <v>19</v>
      </c>
      <c r="I2656" s="1" t="s">
        <v>20</v>
      </c>
      <c r="J2656" s="1" t="s">
        <v>11649</v>
      </c>
      <c r="K2656" s="1" t="s">
        <v>22</v>
      </c>
      <c r="L2656" s="1" t="str">
        <f>HYPERLINK("https://files.afu.se/Downloads/Transcripts/0%20-%20Government/USA%20-%20NASA%20Johnson/2012 09 19 - NASA Johnson - Mike Coats Endeavour Message_eKrFowKvWao - transcript (automated).pdf","Transcript Link")</f>
        <v>Transcript Link</v>
      </c>
      <c r="M2656" s="2" t="str">
        <f>HYPERLINK("https://files.afu.se/Downloads/Transcripts/0%20-%20Government/USA%20-%20NASA%20Johnson/2012 09 19 - NASA Johnson - Mike Coats Endeavour Message_eKrFowKvWao - transcript (automated).pdf","Transcript Link")</f>
        <v>Transcript Link</v>
      </c>
    </row>
    <row r="2657" ht="180" spans="1:13">
      <c r="A2657" s="1" t="s">
        <v>11641</v>
      </c>
      <c r="B2657" s="1" t="s">
        <v>13</v>
      </c>
      <c r="C2657" s="4" t="s">
        <v>11650</v>
      </c>
      <c r="D2657" s="1" t="s">
        <v>11651</v>
      </c>
      <c r="E2657" s="1" t="s">
        <v>11652</v>
      </c>
      <c r="F2657" s="4" t="s">
        <v>17</v>
      </c>
      <c r="G2657" s="1" t="s">
        <v>18</v>
      </c>
      <c r="H2657" s="1" t="s">
        <v>19</v>
      </c>
      <c r="I2657" s="1" t="s">
        <v>20</v>
      </c>
      <c r="J2657" s="1" t="s">
        <v>11653</v>
      </c>
      <c r="K2657" s="1" t="s">
        <v>22</v>
      </c>
      <c r="L2657" s="1" t="str">
        <f>HYPERLINK("https://files.afu.se/Downloads/Transcripts/0%20-%20Government/USA%20-%20NASA%20Johnson/2012 09 19 - NASA Johnson - Birthday Wishes for Suni Williams from Sally Ride's Family_MlvKG5X7ARU - transcript (automated).pdf","Transcript Link")</f>
        <v>Transcript Link</v>
      </c>
      <c r="M2657" s="2" t="str">
        <f>HYPERLINK("https://files.afu.se/Downloads/Transcripts/0%20-%20Government/USA%20-%20NASA%20Johnson/2012 09 19 - NASA Johnson - Birthday Wishes for Suni Williams from Sally Ride's Family_MlvKG5X7ARU - transcript (automated).pdf","Transcript Link")</f>
        <v>Transcript Link</v>
      </c>
    </row>
    <row r="2658" ht="180" spans="1:13">
      <c r="A2658" s="1" t="s">
        <v>11654</v>
      </c>
      <c r="B2658" s="1" t="s">
        <v>13</v>
      </c>
      <c r="C2658" s="4" t="s">
        <v>11655</v>
      </c>
      <c r="D2658" s="1" t="s">
        <v>11656</v>
      </c>
      <c r="E2658" s="1" t="s">
        <v>11657</v>
      </c>
      <c r="F2658" s="4" t="s">
        <v>17</v>
      </c>
      <c r="G2658" s="1" t="s">
        <v>18</v>
      </c>
      <c r="H2658" s="1" t="s">
        <v>19</v>
      </c>
      <c r="I2658" s="1" t="s">
        <v>20</v>
      </c>
      <c r="J2658" s="1" t="s">
        <v>11658</v>
      </c>
      <c r="K2658" s="1" t="s">
        <v>22</v>
      </c>
      <c r="L2658" s="1" t="str">
        <f>HYPERLINK("https://files.afu.se/Downloads/Transcripts/0%20-%20Government/USA%20-%20NASA%20Johnson/2012 09 18 - NASA Johnson - ISS Update - Sept. 18, 2012_4xqPCa-Y6xo - transcript (automated).pdf","Transcript Link")</f>
        <v>Transcript Link</v>
      </c>
      <c r="M2658" s="2" t="str">
        <f>HYPERLINK("https://files.afu.se/Downloads/Transcripts/0%20-%20Government/USA%20-%20NASA%20Johnson/2012 09 18 - NASA Johnson - ISS Update - Sept. 18, 2012_4xqPCa-Y6xo - transcript (automated).pdf","Transcript Link")</f>
        <v>Transcript Link</v>
      </c>
    </row>
    <row r="2659" ht="180" spans="1:13">
      <c r="A2659" s="1" t="s">
        <v>11659</v>
      </c>
      <c r="B2659" s="1" t="s">
        <v>13</v>
      </c>
      <c r="C2659" s="4" t="s">
        <v>11660</v>
      </c>
      <c r="D2659" s="1" t="s">
        <v>11661</v>
      </c>
      <c r="E2659" s="1" t="s">
        <v>11662</v>
      </c>
      <c r="F2659" s="4" t="s">
        <v>17</v>
      </c>
      <c r="G2659" s="1" t="s">
        <v>18</v>
      </c>
      <c r="H2659" s="1" t="s">
        <v>19</v>
      </c>
      <c r="I2659" s="1" t="s">
        <v>20</v>
      </c>
      <c r="J2659" s="1" t="s">
        <v>11663</v>
      </c>
      <c r="K2659" s="1" t="s">
        <v>22</v>
      </c>
      <c r="L2659" s="1" t="str">
        <f>HYPERLINK("https://files.afu.se/Downloads/Transcripts/0%20-%20Government/USA%20-%20NASA%20Johnson/2012 09 17 - NASA Johnson - Astronaut Completes Triathlon in Space_PP2-NCe9EmQ - transcript (automated).pdf","Transcript Link")</f>
        <v>Transcript Link</v>
      </c>
      <c r="M2659" s="2" t="str">
        <f>HYPERLINK("https://files.afu.se/Downloads/Transcripts/0%20-%20Government/USA%20-%20NASA%20Johnson/2012 09 17 - NASA Johnson - Astronaut Completes Triathlon in Space_PP2-NCe9EmQ - transcript (automated).pdf","Transcript Link")</f>
        <v>Transcript Link</v>
      </c>
    </row>
    <row r="2660" ht="180" spans="1:13">
      <c r="A2660" s="1" t="s">
        <v>11659</v>
      </c>
      <c r="B2660" s="1" t="s">
        <v>13</v>
      </c>
      <c r="C2660" s="4" t="s">
        <v>11664</v>
      </c>
      <c r="D2660" s="1" t="s">
        <v>11665</v>
      </c>
      <c r="E2660" s="1" t="s">
        <v>11666</v>
      </c>
      <c r="F2660" s="4" t="s">
        <v>17</v>
      </c>
      <c r="G2660" s="1" t="s">
        <v>18</v>
      </c>
      <c r="H2660" s="1" t="s">
        <v>19</v>
      </c>
      <c r="I2660" s="1" t="s">
        <v>20</v>
      </c>
      <c r="J2660" s="1" t="s">
        <v>11667</v>
      </c>
      <c r="K2660" s="1" t="s">
        <v>22</v>
      </c>
      <c r="L2660" s="1" t="str">
        <f>HYPERLINK("https://files.afu.se/Downloads/Transcripts/0%20-%20Government/USA%20-%20NASA%20Johnson/2012 09 17 - NASA Johnson - ISS Update - Sept. 17, 2012_0fj-pZauThs - transcript (automated).pdf","Transcript Link")</f>
        <v>Transcript Link</v>
      </c>
      <c r="M2660" s="2" t="str">
        <f>HYPERLINK("https://files.afu.se/Downloads/Transcripts/0%20-%20Government/USA%20-%20NASA%20Johnson/2012 09 17 - NASA Johnson - ISS Update - Sept. 17, 2012_0fj-pZauThs - transcript (automated).pdf","Transcript Link")</f>
        <v>Transcript Link</v>
      </c>
    </row>
    <row r="2661" ht="180" spans="1:13">
      <c r="A2661" s="1" t="s">
        <v>11668</v>
      </c>
      <c r="B2661" s="1" t="s">
        <v>13</v>
      </c>
      <c r="C2661" s="4" t="s">
        <v>11669</v>
      </c>
      <c r="D2661" s="1" t="s">
        <v>11670</v>
      </c>
      <c r="E2661" s="1" t="s">
        <v>11671</v>
      </c>
      <c r="F2661" s="4" t="s">
        <v>17</v>
      </c>
      <c r="G2661" s="1" t="s">
        <v>18</v>
      </c>
      <c r="H2661" s="1" t="s">
        <v>19</v>
      </c>
      <c r="I2661" s="1" t="s">
        <v>20</v>
      </c>
      <c r="J2661" s="1" t="s">
        <v>11672</v>
      </c>
      <c r="K2661" s="1" t="s">
        <v>22</v>
      </c>
      <c r="L2661" s="1" t="str">
        <f>HYPERLINK("https://files.afu.se/Downloads/Transcripts/0%20-%20Government/USA%20-%20NASA%20Johnson/2012 09 14 - NASA Johnson - Astronaut Steve Bowen Discusses Material Analysis for Space and Undersea__7pxJs5Td2s - transcript (automated).pdf","Transcript Link")</f>
        <v>Transcript Link</v>
      </c>
      <c r="M2661" s="2" t="str">
        <f>HYPERLINK("https://files.afu.se/Downloads/Transcripts/0%20-%20Government/USA%20-%20NASA%20Johnson/2012 09 14 - NASA Johnson - Astronaut Steve Bowen Discusses Material Analysis for Space and Undersea__7pxJs5Td2s - transcript (automated).pdf","Transcript Link")</f>
        <v>Transcript Link</v>
      </c>
    </row>
    <row r="2662" ht="180" spans="1:13">
      <c r="A2662" s="1" t="s">
        <v>11668</v>
      </c>
      <c r="B2662" s="1" t="s">
        <v>13</v>
      </c>
      <c r="C2662" s="4" t="s">
        <v>11673</v>
      </c>
      <c r="D2662" s="1" t="s">
        <v>11674</v>
      </c>
      <c r="E2662" s="1" t="s">
        <v>11675</v>
      </c>
      <c r="F2662" s="4" t="s">
        <v>17</v>
      </c>
      <c r="G2662" s="1" t="s">
        <v>18</v>
      </c>
      <c r="H2662" s="1" t="s">
        <v>19</v>
      </c>
      <c r="I2662" s="1" t="s">
        <v>20</v>
      </c>
      <c r="J2662" s="1" t="s">
        <v>11676</v>
      </c>
      <c r="K2662" s="1" t="s">
        <v>22</v>
      </c>
      <c r="L2662" s="1" t="str">
        <f>HYPERLINK("https://files.afu.se/Downloads/Transcripts/0%20-%20Government/USA%20-%20NASA%20Johnson/2012 09 14 - NASA Johnson - ISS Update  Weekly Recap for Sept. 14, 2012_Ov_FPngIn64 - transcript (automated).pdf","Transcript Link")</f>
        <v>Transcript Link</v>
      </c>
      <c r="M2662" s="2" t="str">
        <f>HYPERLINK("https://files.afu.se/Downloads/Transcripts/0%20-%20Government/USA%20-%20NASA%20Johnson/2012 09 14 - NASA Johnson - ISS Update  Weekly Recap for Sept. 14, 2012_Ov_FPngIn64 - transcript (automated).pdf","Transcript Link")</f>
        <v>Transcript Link</v>
      </c>
    </row>
    <row r="2663" ht="180" spans="1:13">
      <c r="A2663" s="1" t="s">
        <v>11677</v>
      </c>
      <c r="B2663" s="1" t="s">
        <v>13</v>
      </c>
      <c r="C2663" s="4" t="s">
        <v>11678</v>
      </c>
      <c r="D2663" s="1" t="s">
        <v>11679</v>
      </c>
      <c r="E2663" s="1" t="s">
        <v>11680</v>
      </c>
      <c r="F2663" s="4" t="s">
        <v>17</v>
      </c>
      <c r="G2663" s="1" t="s">
        <v>18</v>
      </c>
      <c r="H2663" s="1" t="s">
        <v>19</v>
      </c>
      <c r="I2663" s="1" t="s">
        <v>20</v>
      </c>
      <c r="J2663" s="1" t="s">
        <v>11681</v>
      </c>
      <c r="K2663" s="1" t="s">
        <v>22</v>
      </c>
      <c r="L2663" s="1" t="str">
        <f>HYPERLINK("https://files.afu.se/Downloads/Transcripts/0%20-%20Government/USA%20-%20NASA%20Johnson/2012 09 13 - NASA Johnson - Astronaut Greets YouTube Space Lab Participants_d37yEa-L2eM - transcript (automated).pdf","Transcript Link")</f>
        <v>Transcript Link</v>
      </c>
      <c r="M2663" s="2" t="str">
        <f>HYPERLINK("https://files.afu.se/Downloads/Transcripts/0%20-%20Government/USA%20-%20NASA%20Johnson/2012 09 13 - NASA Johnson - Astronaut Greets YouTube Space Lab Participants_d37yEa-L2eM - transcript (automated).pdf","Transcript Link")</f>
        <v>Transcript Link</v>
      </c>
    </row>
    <row r="2664" ht="180" spans="1:13">
      <c r="A2664" s="1" t="s">
        <v>11682</v>
      </c>
      <c r="B2664" s="1" t="s">
        <v>13</v>
      </c>
      <c r="C2664" s="4" t="s">
        <v>11683</v>
      </c>
      <c r="D2664" s="1" t="s">
        <v>11684</v>
      </c>
      <c r="E2664" s="1" t="s">
        <v>11684</v>
      </c>
      <c r="F2664" s="4" t="s">
        <v>17</v>
      </c>
      <c r="G2664" s="1" t="s">
        <v>18</v>
      </c>
      <c r="H2664" s="1" t="s">
        <v>19</v>
      </c>
      <c r="I2664" s="1" t="s">
        <v>20</v>
      </c>
      <c r="J2664" s="1" t="s">
        <v>11685</v>
      </c>
      <c r="K2664" s="1" t="s">
        <v>22</v>
      </c>
      <c r="L2664" s="1" t="str">
        <f>HYPERLINK("https://files.afu.se/Downloads/Transcripts/0%20-%20Government/USA%20-%20NASA%20Johnson/2012 09 12 - NASA Johnson - ISS Update - Sept. 12, 2012_khivVK2_QCk - transcript (automated).pdf","Transcript Link")</f>
        <v>Transcript Link</v>
      </c>
      <c r="M2664" s="2" t="str">
        <f>HYPERLINK("https://files.afu.se/Downloads/Transcripts/0%20-%20Government/USA%20-%20NASA%20Johnson/2012 09 12 - NASA Johnson - ISS Update - Sept. 12, 2012_khivVK2_QCk - transcript (automated).pdf","Transcript Link")</f>
        <v>Transcript Link</v>
      </c>
    </row>
    <row r="2665" ht="180" spans="1:13">
      <c r="A2665" s="1" t="s">
        <v>11686</v>
      </c>
      <c r="B2665" s="1" t="s">
        <v>13</v>
      </c>
      <c r="C2665" s="4" t="s">
        <v>11687</v>
      </c>
      <c r="D2665" s="1" t="s">
        <v>11688</v>
      </c>
      <c r="E2665" s="1" t="s">
        <v>11689</v>
      </c>
      <c r="F2665" s="4" t="s">
        <v>17</v>
      </c>
      <c r="G2665" s="1" t="s">
        <v>18</v>
      </c>
      <c r="H2665" s="1" t="s">
        <v>19</v>
      </c>
      <c r="I2665" s="1" t="s">
        <v>20</v>
      </c>
      <c r="J2665" s="1" t="s">
        <v>11690</v>
      </c>
      <c r="K2665" s="1" t="s">
        <v>22</v>
      </c>
      <c r="L2665" s="1" t="str">
        <f>HYPERLINK("https://files.afu.se/Downloads/Transcripts/0%20-%20Government/USA%20-%20NASA%20Johnson/2012 09 11 - NASA Johnson - ISS Update - Sept. 11, 2012_iYJ7RwxhBCQ - transcript (automated).pdf","Transcript Link")</f>
        <v>Transcript Link</v>
      </c>
      <c r="M2665" s="2" t="str">
        <f>HYPERLINK("https://files.afu.se/Downloads/Transcripts/0%20-%20Government/USA%20-%20NASA%20Johnson/2012 09 11 - NASA Johnson - ISS Update - Sept. 11, 2012_iYJ7RwxhBCQ - transcript (automated).pdf","Transcript Link")</f>
        <v>Transcript Link</v>
      </c>
    </row>
    <row r="2666" ht="180" spans="1:13">
      <c r="A2666" s="1" t="s">
        <v>11691</v>
      </c>
      <c r="B2666" s="1" t="s">
        <v>13</v>
      </c>
      <c r="C2666" s="4" t="s">
        <v>11692</v>
      </c>
      <c r="D2666" s="1" t="s">
        <v>11693</v>
      </c>
      <c r="E2666" s="1" t="s">
        <v>11694</v>
      </c>
      <c r="F2666" s="4" t="s">
        <v>17</v>
      </c>
      <c r="G2666" s="1" t="s">
        <v>18</v>
      </c>
      <c r="H2666" s="1" t="s">
        <v>19</v>
      </c>
      <c r="I2666" s="1" t="s">
        <v>20</v>
      </c>
      <c r="J2666" s="1" t="s">
        <v>11695</v>
      </c>
      <c r="K2666" s="1" t="s">
        <v>22</v>
      </c>
      <c r="L2666" s="1" t="str">
        <f>HYPERLINK("https://files.afu.se/Downloads/Transcripts/0%20-%20Government/USA%20-%20NASA%20Johnson/2012 09 10 - NASA Johnson - ISS Update - Sept. 10, 2012_VOMiCIU45JA - transcript (automated).pdf","Transcript Link")</f>
        <v>Transcript Link</v>
      </c>
      <c r="M2666" s="2" t="str">
        <f>HYPERLINK("https://files.afu.se/Downloads/Transcripts/0%20-%20Government/USA%20-%20NASA%20Johnson/2012 09 10 - NASA Johnson - ISS Update - Sept. 10, 2012_VOMiCIU45JA - transcript (automated).pdf","Transcript Link")</f>
        <v>Transcript Link</v>
      </c>
    </row>
    <row r="2667" ht="345" spans="1:13">
      <c r="A2667" s="1" t="s">
        <v>11696</v>
      </c>
      <c r="B2667" s="1" t="s">
        <v>13</v>
      </c>
      <c r="C2667" s="4" t="s">
        <v>11697</v>
      </c>
      <c r="D2667" s="1" t="s">
        <v>11698</v>
      </c>
      <c r="E2667" s="1" t="s">
        <v>11699</v>
      </c>
      <c r="F2667" s="4" t="s">
        <v>17</v>
      </c>
      <c r="G2667" s="1" t="s">
        <v>18</v>
      </c>
      <c r="H2667" s="1" t="s">
        <v>19</v>
      </c>
      <c r="I2667" s="1" t="s">
        <v>20</v>
      </c>
      <c r="J2667" s="1" t="s">
        <v>11700</v>
      </c>
      <c r="K2667" s="1" t="s">
        <v>22</v>
      </c>
      <c r="L2667" s="1" t="str">
        <f>HYPERLINK("https://files.afu.se/Downloads/Transcripts/0%20-%20Government/USA%20-%20NASA%20Johnson/2012 09 07 - NASA Johnson - ISS Update  Flight Surgeon Keeps Astronauts Healthy_D-l_YrEY2Kk - transcript (automated).pdf","Transcript Link")</f>
        <v>Transcript Link</v>
      </c>
      <c r="M2667" s="2" t="str">
        <f>HYPERLINK("https://files.afu.se/Downloads/Transcripts/0%20-%20Government/USA%20-%20NASA%20Johnson/2012 09 07 - NASA Johnson - ISS Update  Flight Surgeon Keeps Astronauts Healthy_D-l_YrEY2Kk - transcript (automated).pdf","Transcript Link")</f>
        <v>Transcript Link</v>
      </c>
    </row>
    <row r="2668" ht="180" spans="1:13">
      <c r="A2668" s="1" t="s">
        <v>11696</v>
      </c>
      <c r="B2668" s="1" t="s">
        <v>13</v>
      </c>
      <c r="C2668" s="4" t="s">
        <v>11701</v>
      </c>
      <c r="D2668" s="1" t="s">
        <v>11702</v>
      </c>
      <c r="E2668" s="1" t="s">
        <v>11703</v>
      </c>
      <c r="F2668" s="4" t="s">
        <v>17</v>
      </c>
      <c r="G2668" s="1" t="s">
        <v>18</v>
      </c>
      <c r="H2668" s="1" t="s">
        <v>19</v>
      </c>
      <c r="I2668" s="1" t="s">
        <v>20</v>
      </c>
      <c r="J2668" s="1" t="s">
        <v>11704</v>
      </c>
      <c r="K2668" s="1" t="s">
        <v>22</v>
      </c>
      <c r="L2668" s="1" t="str">
        <f>HYPERLINK("https://files.afu.se/Downloads/Transcripts/0%20-%20Government/USA%20-%20NASA%20Johnson/2012 09 07 - NASA Johnson - ISS Update  Weekly Recap for Sept. 7, 2012_okLa9oIgk0U - transcript (automated).pdf","Transcript Link")</f>
        <v>Transcript Link</v>
      </c>
      <c r="M2668" s="2" t="str">
        <f>HYPERLINK("https://files.afu.se/Downloads/Transcripts/0%20-%20Government/USA%20-%20NASA%20Johnson/2012 09 07 - NASA Johnson - ISS Update  Weekly Recap for Sept. 7, 2012_okLa9oIgk0U - transcript (automated).pdf","Transcript Link")</f>
        <v>Transcript Link</v>
      </c>
    </row>
    <row r="2669" ht="180" spans="1:13">
      <c r="A2669" s="1" t="s">
        <v>11705</v>
      </c>
      <c r="B2669" s="1" t="s">
        <v>13</v>
      </c>
      <c r="C2669" s="4" t="s">
        <v>11706</v>
      </c>
      <c r="D2669" s="1" t="s">
        <v>11707</v>
      </c>
      <c r="E2669" s="1" t="s">
        <v>11708</v>
      </c>
      <c r="F2669" s="4" t="s">
        <v>17</v>
      </c>
      <c r="G2669" s="1" t="s">
        <v>18</v>
      </c>
      <c r="H2669" s="1" t="s">
        <v>19</v>
      </c>
      <c r="I2669" s="1" t="s">
        <v>20</v>
      </c>
      <c r="J2669" s="1" t="s">
        <v>11709</v>
      </c>
      <c r="K2669" s="1" t="s">
        <v>22</v>
      </c>
      <c r="L2669" s="1" t="str">
        <f>HYPERLINK("https://files.afu.se/Downloads/Transcripts/0%20-%20Government/USA%20-%20NASA%20Johnson/2012 09 06 - NASA Johnson - Space Campers Speak With Station Science Communication Coordinator_53jq03WCpkQ - transcript (automated).pdf","Transcript Link")</f>
        <v>Transcript Link</v>
      </c>
      <c r="M2669" s="2" t="str">
        <f>HYPERLINK("https://files.afu.se/Downloads/Transcripts/0%20-%20Government/USA%20-%20NASA%20Johnson/2012 09 06 - NASA Johnson - Space Campers Speak With Station Science Communication Coordinator_53jq03WCpkQ - transcript (automated).pdf","Transcript Link")</f>
        <v>Transcript Link</v>
      </c>
    </row>
    <row r="2670" ht="180" spans="1:13">
      <c r="A2670" s="1" t="s">
        <v>11705</v>
      </c>
      <c r="B2670" s="1" t="s">
        <v>13</v>
      </c>
      <c r="C2670" s="4" t="s">
        <v>11710</v>
      </c>
      <c r="D2670" s="1" t="s">
        <v>11711</v>
      </c>
      <c r="E2670" s="1" t="s">
        <v>11712</v>
      </c>
      <c r="F2670" s="4" t="s">
        <v>17</v>
      </c>
      <c r="G2670" s="1" t="s">
        <v>18</v>
      </c>
      <c r="H2670" s="1" t="s">
        <v>19</v>
      </c>
      <c r="I2670" s="1" t="s">
        <v>20</v>
      </c>
      <c r="J2670" s="1" t="s">
        <v>11713</v>
      </c>
      <c r="K2670" s="1" t="s">
        <v>22</v>
      </c>
      <c r="L2670" s="1" t="str">
        <f>HYPERLINK("https://files.afu.se/Downloads/Transcripts/0%20-%20Government/USA%20-%20NASA%20Johnson/2012 09 06 - NASA Johnson - ISS Update - Sept. 6, 2012_jUAAWx28r9I - transcript (automated).pdf","Transcript Link")</f>
        <v>Transcript Link</v>
      </c>
      <c r="M2670" s="2" t="str">
        <f>HYPERLINK("https://files.afu.se/Downloads/Transcripts/0%20-%20Government/USA%20-%20NASA%20Johnson/2012 09 06 - NASA Johnson - ISS Update - Sept. 6, 2012_jUAAWx28r9I - transcript (automated).pdf","Transcript Link")</f>
        <v>Transcript Link</v>
      </c>
    </row>
    <row r="2671" ht="180" spans="1:13">
      <c r="A2671" s="1" t="s">
        <v>11714</v>
      </c>
      <c r="B2671" s="1" t="s">
        <v>13</v>
      </c>
      <c r="C2671" s="4" t="s">
        <v>11715</v>
      </c>
      <c r="D2671" s="1" t="s">
        <v>11716</v>
      </c>
      <c r="E2671" s="1" t="s">
        <v>11717</v>
      </c>
      <c r="F2671" s="4" t="s">
        <v>17</v>
      </c>
      <c r="G2671" s="1" t="s">
        <v>18</v>
      </c>
      <c r="H2671" s="1" t="s">
        <v>19</v>
      </c>
      <c r="I2671" s="1" t="s">
        <v>20</v>
      </c>
      <c r="J2671" s="1" t="s">
        <v>11718</v>
      </c>
      <c r="K2671" s="1" t="s">
        <v>22</v>
      </c>
      <c r="L2671" s="1" t="str">
        <f>HYPERLINK("https://files.afu.se/Downloads/Transcripts/0%20-%20Government/USA%20-%20NASA%20Johnson/2012 09 05 - NASA Johnson - Orion Parachute Test, Aug. 28, 2012_AMXLDfQLENc - transcript (automated).pdf","Transcript Link")</f>
        <v>Transcript Link</v>
      </c>
      <c r="M2671" s="2" t="str">
        <f>HYPERLINK("https://files.afu.se/Downloads/Transcripts/0%20-%20Government/USA%20-%20NASA%20Johnson/2012 09 05 - NASA Johnson - Orion Parachute Test, Aug. 28, 2012_AMXLDfQLENc - transcript (automated).pdf","Transcript Link")</f>
        <v>Transcript Link</v>
      </c>
    </row>
    <row r="2672" ht="180" spans="1:13">
      <c r="A2672" s="1" t="s">
        <v>11719</v>
      </c>
      <c r="B2672" s="1" t="s">
        <v>13</v>
      </c>
      <c r="C2672" s="4" t="s">
        <v>11720</v>
      </c>
      <c r="D2672" s="1" t="s">
        <v>11721</v>
      </c>
      <c r="E2672" s="1" t="s">
        <v>11722</v>
      </c>
      <c r="F2672" s="4" t="s">
        <v>17</v>
      </c>
      <c r="G2672" s="1" t="s">
        <v>18</v>
      </c>
      <c r="H2672" s="1" t="s">
        <v>19</v>
      </c>
      <c r="I2672" s="1" t="s">
        <v>20</v>
      </c>
      <c r="J2672" s="1" t="s">
        <v>11723</v>
      </c>
      <c r="K2672" s="1" t="s">
        <v>22</v>
      </c>
      <c r="L2672" s="1" t="str">
        <f>HYPERLINK("https://files.afu.se/Downloads/Transcripts/0%20-%20Government/USA%20-%20NASA%20Johnson/2012 09 04 - NASA Johnson - ISS Update  Sept. 4, 2012_GTZjdETqvVQ - transcript (automated).pdf","Transcript Link")</f>
        <v>Transcript Link</v>
      </c>
      <c r="M2672" s="2" t="str">
        <f>HYPERLINK("https://files.afu.se/Downloads/Transcripts/0%20-%20Government/USA%20-%20NASA%20Johnson/2012 09 04 - NASA Johnson - ISS Update  Sept. 4, 2012_GTZjdETqvVQ - transcript (automated).pdf","Transcript Link")</f>
        <v>Transcript Link</v>
      </c>
    </row>
    <row r="2673" ht="180" spans="1:13">
      <c r="A2673" s="1" t="s">
        <v>11724</v>
      </c>
      <c r="B2673" s="1" t="s">
        <v>13</v>
      </c>
      <c r="C2673" s="4" t="s">
        <v>11725</v>
      </c>
      <c r="D2673" s="1" t="s">
        <v>11726</v>
      </c>
      <c r="E2673" s="1" t="s">
        <v>11727</v>
      </c>
      <c r="F2673" s="4" t="s">
        <v>17</v>
      </c>
      <c r="G2673" s="1" t="s">
        <v>18</v>
      </c>
      <c r="H2673" s="1" t="s">
        <v>19</v>
      </c>
      <c r="I2673" s="1" t="s">
        <v>20</v>
      </c>
      <c r="J2673" s="1" t="s">
        <v>11728</v>
      </c>
      <c r="K2673" s="1" t="s">
        <v>22</v>
      </c>
      <c r="L2673" s="1" t="str">
        <f>HYPERLINK("https://files.afu.se/Downloads/Transcripts/0%20-%20Government/USA%20-%20NASA%20Johnson/2012 08 31 - NASA Johnson - ISS Update  Weekly Recap for Aug. 31, 2012_9KQ52MgLloQ - transcript (automated).pdf","Transcript Link")</f>
        <v>Transcript Link</v>
      </c>
      <c r="M2673" s="2" t="str">
        <f>HYPERLINK("https://files.afu.se/Downloads/Transcripts/0%20-%20Government/USA%20-%20NASA%20Johnson/2012 08 31 - NASA Johnson - ISS Update  Weekly Recap for Aug. 31, 2012_9KQ52MgLloQ - transcript (automated).pdf","Transcript Link")</f>
        <v>Transcript Link</v>
      </c>
    </row>
    <row r="2674" ht="180" spans="1:13">
      <c r="A2674" s="1" t="s">
        <v>11729</v>
      </c>
      <c r="B2674" s="1" t="s">
        <v>13</v>
      </c>
      <c r="C2674" s="4" t="s">
        <v>11730</v>
      </c>
      <c r="D2674" s="1" t="s">
        <v>11731</v>
      </c>
      <c r="E2674" s="1" t="s">
        <v>11732</v>
      </c>
      <c r="F2674" s="4" t="s">
        <v>17</v>
      </c>
      <c r="G2674" s="1" t="s">
        <v>18</v>
      </c>
      <c r="H2674" s="1" t="s">
        <v>19</v>
      </c>
      <c r="I2674" s="1" t="s">
        <v>20</v>
      </c>
      <c r="J2674" s="1" t="s">
        <v>11733</v>
      </c>
      <c r="K2674" s="1" t="s">
        <v>22</v>
      </c>
      <c r="L2674" s="1" t="str">
        <f>HYPERLINK("https://files.afu.se/Downloads/Transcripts/0%20-%20Government/USA%20-%20NASA%20Johnson/2012 08 29 - NASA Johnson - Science off the Sphere  Yo-Yos in Space_EXRiblU54E8 - transcript (automated).pdf","Transcript Link")</f>
        <v>Transcript Link</v>
      </c>
      <c r="M2674" s="2" t="str">
        <f>HYPERLINK("https://files.afu.se/Downloads/Transcripts/0%20-%20Government/USA%20-%20NASA%20Johnson/2012 08 29 - NASA Johnson - Science off the Sphere  Yo-Yos in Space_EXRiblU54E8 - transcript (automated).pdf","Transcript Link")</f>
        <v>Transcript Link</v>
      </c>
    </row>
    <row r="2675" ht="180" spans="1:13">
      <c r="A2675" s="1" t="s">
        <v>11729</v>
      </c>
      <c r="B2675" s="1" t="s">
        <v>13</v>
      </c>
      <c r="C2675" s="4" t="s">
        <v>11734</v>
      </c>
      <c r="D2675" s="1" t="s">
        <v>11735</v>
      </c>
      <c r="E2675" s="1" t="s">
        <v>11736</v>
      </c>
      <c r="F2675" s="4" t="s">
        <v>17</v>
      </c>
      <c r="G2675" s="1" t="s">
        <v>18</v>
      </c>
      <c r="H2675" s="1" t="s">
        <v>19</v>
      </c>
      <c r="I2675" s="1" t="s">
        <v>20</v>
      </c>
      <c r="J2675" s="1" t="s">
        <v>11737</v>
      </c>
      <c r="K2675" s="1" t="s">
        <v>22</v>
      </c>
      <c r="L2675" s="1" t="str">
        <f>HYPERLINK("https://files.afu.se/Downloads/Transcripts/0%20-%20Government/USA%20-%20NASA%20Johnson/2012 08 29 - NASA Johnson - Hurricane Isaac_SmoNDJObvkw - transcript (automated).pdf","Transcript Link")</f>
        <v>Transcript Link</v>
      </c>
      <c r="M2675" s="2" t="str">
        <f>HYPERLINK("https://files.afu.se/Downloads/Transcripts/0%20-%20Government/USA%20-%20NASA%20Johnson/2012 08 29 - NASA Johnson - Hurricane Isaac_SmoNDJObvkw - transcript (automated).pdf","Transcript Link")</f>
        <v>Transcript Link</v>
      </c>
    </row>
    <row r="2676" ht="330" spans="1:13">
      <c r="A2676" s="1" t="s">
        <v>11729</v>
      </c>
      <c r="B2676" s="1" t="s">
        <v>13</v>
      </c>
      <c r="C2676" s="4" t="s">
        <v>11738</v>
      </c>
      <c r="D2676" s="1" t="s">
        <v>11739</v>
      </c>
      <c r="E2676" s="1" t="s">
        <v>11740</v>
      </c>
      <c r="F2676" s="4" t="s">
        <v>17</v>
      </c>
      <c r="G2676" s="1" t="s">
        <v>18</v>
      </c>
      <c r="H2676" s="1" t="s">
        <v>19</v>
      </c>
      <c r="I2676" s="1" t="s">
        <v>20</v>
      </c>
      <c r="J2676" s="1" t="s">
        <v>11741</v>
      </c>
      <c r="K2676" s="1" t="s">
        <v>22</v>
      </c>
      <c r="L2676" s="1" t="str">
        <f>HYPERLINK("https://files.afu.se/Downloads/Transcripts/0%20-%20Government/USA%20-%20NASA%20Johnson/2012 08 29 - NASA Johnson - ISS Update  RATS Principal Investigator Andrew Abercromby -- 08.29.12_jG5snBinOKQ - transcript (automated).pdf","Transcript Link")</f>
        <v>Transcript Link</v>
      </c>
      <c r="M2676" s="2" t="str">
        <f>HYPERLINK("https://files.afu.se/Downloads/Transcripts/0%20-%20Government/USA%20-%20NASA%20Johnson/2012 08 29 - NASA Johnson - ISS Update  RATS Principal Investigator Andrew Abercromby -- 08.29.12_jG5snBinOKQ - transcript (automated).pdf","Transcript Link")</f>
        <v>Transcript Link</v>
      </c>
    </row>
    <row r="2677" ht="255" spans="1:13">
      <c r="A2677" s="1" t="s">
        <v>11729</v>
      </c>
      <c r="B2677" s="1" t="s">
        <v>13</v>
      </c>
      <c r="C2677" s="4" t="s">
        <v>11742</v>
      </c>
      <c r="D2677" s="1" t="s">
        <v>11743</v>
      </c>
      <c r="E2677" s="1" t="s">
        <v>11744</v>
      </c>
      <c r="F2677" s="4" t="s">
        <v>17</v>
      </c>
      <c r="G2677" s="1" t="s">
        <v>18</v>
      </c>
      <c r="H2677" s="1" t="s">
        <v>19</v>
      </c>
      <c r="I2677" s="1" t="s">
        <v>20</v>
      </c>
      <c r="J2677" s="1" t="s">
        <v>11745</v>
      </c>
      <c r="K2677" s="1" t="s">
        <v>22</v>
      </c>
      <c r="L2677" s="1" t="str">
        <f>HYPERLINK("https://files.afu.se/Downloads/Transcripts/0%20-%20Government/USA%20-%20NASA%20Johnson/2012 08 29 - NASA Johnson - ISS Update  RATS Crew Member Dave Coan -- 08.29.12_B9M_bT4PeAk - transcript (automated).pdf","Transcript Link")</f>
        <v>Transcript Link</v>
      </c>
      <c r="M2677" s="2" t="str">
        <f>HYPERLINK("https://files.afu.se/Downloads/Transcripts/0%20-%20Government/USA%20-%20NASA%20Johnson/2012 08 29 - NASA Johnson - ISS Update  RATS Crew Member Dave Coan -- 08.29.12_B9M_bT4PeAk - transcript (automated).pdf","Transcript Link")</f>
        <v>Transcript Link</v>
      </c>
    </row>
    <row r="2678" ht="180" spans="1:13">
      <c r="A2678" s="1" t="s">
        <v>11729</v>
      </c>
      <c r="B2678" s="1" t="s">
        <v>13</v>
      </c>
      <c r="C2678" s="4" t="s">
        <v>11746</v>
      </c>
      <c r="D2678" s="1" t="s">
        <v>11747</v>
      </c>
      <c r="E2678" s="1" t="s">
        <v>11748</v>
      </c>
      <c r="F2678" s="4" t="s">
        <v>17</v>
      </c>
      <c r="G2678" s="1" t="s">
        <v>18</v>
      </c>
      <c r="H2678" s="1" t="s">
        <v>19</v>
      </c>
      <c r="I2678" s="1" t="s">
        <v>20</v>
      </c>
      <c r="J2678" s="1" t="s">
        <v>11749</v>
      </c>
      <c r="K2678" s="1" t="s">
        <v>22</v>
      </c>
      <c r="L2678" s="1" t="str">
        <f>HYPERLINK("https://files.afu.se/Downloads/Transcripts/0%20-%20Government/USA%20-%20NASA%20Johnson/2012 08 29 - NASA Johnson - ISS Update - Aug. 29, 2012_L6DhsHP3IDM - transcript (automated).pdf","Transcript Link")</f>
        <v>Transcript Link</v>
      </c>
      <c r="M2678" s="2" t="str">
        <f>HYPERLINK("https://files.afu.se/Downloads/Transcripts/0%20-%20Government/USA%20-%20NASA%20Johnson/2012 08 29 - NASA Johnson - ISS Update - Aug. 29, 2012_L6DhsHP3IDM - transcript (automated).pdf","Transcript Link")</f>
        <v>Transcript Link</v>
      </c>
    </row>
    <row r="2679" ht="180" spans="1:13">
      <c r="A2679" s="1" t="s">
        <v>11750</v>
      </c>
      <c r="B2679" s="1" t="s">
        <v>13</v>
      </c>
      <c r="C2679" s="4" t="s">
        <v>11751</v>
      </c>
      <c r="D2679" s="1" t="s">
        <v>11752</v>
      </c>
      <c r="E2679" s="1" t="s">
        <v>11753</v>
      </c>
      <c r="F2679" s="4" t="s">
        <v>17</v>
      </c>
      <c r="G2679" s="1" t="s">
        <v>18</v>
      </c>
      <c r="H2679" s="1" t="s">
        <v>19</v>
      </c>
      <c r="I2679" s="1" t="s">
        <v>20</v>
      </c>
      <c r="J2679" s="1" t="s">
        <v>11754</v>
      </c>
      <c r="K2679" s="1" t="s">
        <v>22</v>
      </c>
      <c r="L2679" s="1" t="str">
        <f>HYPERLINK("https://files.afu.se/Downloads/Transcripts/0%20-%20Government/USA%20-%20NASA%20Johnson/2012 08 28 - NASA Johnson - ISS Update - Aug. 28, 2012_L91zu1IF1Vk - transcript (automated).pdf","Transcript Link")</f>
        <v>Transcript Link</v>
      </c>
      <c r="M2679" s="2" t="str">
        <f>HYPERLINK("https://files.afu.se/Downloads/Transcripts/0%20-%20Government/USA%20-%20NASA%20Johnson/2012 08 28 - NASA Johnson - ISS Update - Aug. 28, 2012_L91zu1IF1Vk - transcript (automated).pdf","Transcript Link")</f>
        <v>Transcript Link</v>
      </c>
    </row>
    <row r="2680" ht="180" spans="1:13">
      <c r="A2680" s="1" t="s">
        <v>11755</v>
      </c>
      <c r="B2680" s="1" t="s">
        <v>13</v>
      </c>
      <c r="C2680" s="4" t="s">
        <v>11756</v>
      </c>
      <c r="D2680" s="1" t="s">
        <v>11757</v>
      </c>
      <c r="E2680" s="1" t="s">
        <v>11758</v>
      </c>
      <c r="F2680" s="4" t="s">
        <v>17</v>
      </c>
      <c r="G2680" s="1" t="s">
        <v>18</v>
      </c>
      <c r="H2680" s="1" t="s">
        <v>19</v>
      </c>
      <c r="I2680" s="1" t="s">
        <v>20</v>
      </c>
      <c r="J2680" s="1" t="s">
        <v>11759</v>
      </c>
      <c r="K2680" s="1" t="s">
        <v>22</v>
      </c>
      <c r="L2680" s="1" t="str">
        <f>HYPERLINK("https://files.afu.se/Downloads/Transcripts/0%20-%20Government/USA%20-%20NASA%20Johnson/2012 08 27 - NASA Johnson - ISS Update - Aug. 27, 2012_qRPdhgeke7g - transcript (automated).pdf","Transcript Link")</f>
        <v>Transcript Link</v>
      </c>
      <c r="M2680" s="2" t="str">
        <f>HYPERLINK("https://files.afu.se/Downloads/Transcripts/0%20-%20Government/USA%20-%20NASA%20Johnson/2012 08 27 - NASA Johnson - ISS Update - Aug. 27, 2012_qRPdhgeke7g - transcript (automated).pdf","Transcript Link")</f>
        <v>Transcript Link</v>
      </c>
    </row>
    <row r="2681" ht="255" spans="1:13">
      <c r="A2681" s="1" t="s">
        <v>11760</v>
      </c>
      <c r="B2681" s="1" t="s">
        <v>13</v>
      </c>
      <c r="C2681" s="4" t="s">
        <v>11761</v>
      </c>
      <c r="D2681" s="1" t="s">
        <v>11762</v>
      </c>
      <c r="E2681" s="1" t="s">
        <v>11763</v>
      </c>
      <c r="F2681" s="4" t="s">
        <v>17</v>
      </c>
      <c r="G2681" s="1" t="s">
        <v>18</v>
      </c>
      <c r="H2681" s="1" t="s">
        <v>19</v>
      </c>
      <c r="I2681" s="1" t="s">
        <v>20</v>
      </c>
      <c r="J2681" s="1" t="s">
        <v>11764</v>
      </c>
      <c r="K2681" s="1" t="s">
        <v>22</v>
      </c>
      <c r="L2681" s="1" t="str">
        <f>HYPERLINK("https://files.afu.se/Downloads/Transcripts/0%20-%20Government/USA%20-%20NASA%20Johnson/2012 08 24 - NASA Johnson - ISS Update  Active Response Gravity Offload System -- 08.24.12_7miMbf3DGtA - transcript (automated).pdf","Transcript Link")</f>
        <v>Transcript Link</v>
      </c>
      <c r="M2681" s="2" t="str">
        <f>HYPERLINK("https://files.afu.se/Downloads/Transcripts/0%20-%20Government/USA%20-%20NASA%20Johnson/2012 08 24 - NASA Johnson - ISS Update  Active Response Gravity Offload System -- 08.24.12_7miMbf3DGtA - transcript (automated).pdf","Transcript Link")</f>
        <v>Transcript Link</v>
      </c>
    </row>
    <row r="2682" ht="409.5" spans="1:13">
      <c r="A2682" s="1" t="s">
        <v>11760</v>
      </c>
      <c r="B2682" s="1" t="s">
        <v>13</v>
      </c>
      <c r="C2682" s="4" t="s">
        <v>11765</v>
      </c>
      <c r="D2682" s="1" t="s">
        <v>11766</v>
      </c>
      <c r="E2682" s="1" t="s">
        <v>11767</v>
      </c>
      <c r="F2682" s="4" t="s">
        <v>17</v>
      </c>
      <c r="G2682" s="1" t="s">
        <v>18</v>
      </c>
      <c r="H2682" s="1" t="s">
        <v>19</v>
      </c>
      <c r="I2682" s="1" t="s">
        <v>20</v>
      </c>
      <c r="J2682" s="1" t="s">
        <v>11768</v>
      </c>
      <c r="K2682" s="1" t="s">
        <v>22</v>
      </c>
      <c r="L2682" s="1" t="str">
        <f>HYPERLINK("https://files.afu.se/Downloads/Transcripts/0%20-%20Government/USA%20-%20NASA%20Johnson/2012 08 24 - NASA Johnson - ISS Update  Powering the Space Exploration Vehicle_pxu3zm4qiC4 - transcript (automated).pdf","Transcript Link")</f>
        <v>Transcript Link</v>
      </c>
      <c r="M2682" s="2" t="str">
        <f>HYPERLINK("https://files.afu.se/Downloads/Transcripts/0%20-%20Government/USA%20-%20NASA%20Johnson/2012 08 24 - NASA Johnson - ISS Update  Powering the Space Exploration Vehicle_pxu3zm4qiC4 - transcript (automated).pdf","Transcript Link")</f>
        <v>Transcript Link</v>
      </c>
    </row>
    <row r="2683" ht="180" spans="1:13">
      <c r="A2683" s="1" t="s">
        <v>11760</v>
      </c>
      <c r="B2683" s="1" t="s">
        <v>13</v>
      </c>
      <c r="C2683" s="4" t="s">
        <v>11769</v>
      </c>
      <c r="D2683" s="1" t="s">
        <v>11770</v>
      </c>
      <c r="E2683" s="1" t="s">
        <v>11771</v>
      </c>
      <c r="F2683" s="4" t="s">
        <v>17</v>
      </c>
      <c r="G2683" s="1" t="s">
        <v>18</v>
      </c>
      <c r="H2683" s="1" t="s">
        <v>19</v>
      </c>
      <c r="I2683" s="1" t="s">
        <v>20</v>
      </c>
      <c r="J2683" s="1" t="s">
        <v>11772</v>
      </c>
      <c r="K2683" s="1" t="s">
        <v>22</v>
      </c>
      <c r="L2683" s="1" t="str">
        <f>HYPERLINK("https://files.afu.se/Downloads/Transcripts/0%20-%20Government/USA%20-%20NASA%20Johnson/2012 08 24 - NASA Johnson - ISS Update  Weekly Recap for Aug. 24, 2012_l7rLv9C6cfg - transcript (automated).pdf","Transcript Link")</f>
        <v>Transcript Link</v>
      </c>
      <c r="M2683" s="2" t="str">
        <f>HYPERLINK("https://files.afu.se/Downloads/Transcripts/0%20-%20Government/USA%20-%20NASA%20Johnson/2012 08 24 - NASA Johnson - ISS Update  Weekly Recap for Aug. 24, 2012_l7rLv9C6cfg - transcript (automated).pdf","Transcript Link")</f>
        <v>Transcript Link</v>
      </c>
    </row>
    <row r="2684" ht="180" spans="1:13">
      <c r="A2684" s="1" t="s">
        <v>11773</v>
      </c>
      <c r="B2684" s="1" t="s">
        <v>13</v>
      </c>
      <c r="C2684" s="4" t="s">
        <v>11774</v>
      </c>
      <c r="D2684" s="1" t="s">
        <v>11775</v>
      </c>
      <c r="E2684" s="1" t="s">
        <v>11776</v>
      </c>
      <c r="F2684" s="4" t="s">
        <v>17</v>
      </c>
      <c r="G2684" s="1" t="s">
        <v>18</v>
      </c>
      <c r="H2684" s="1" t="s">
        <v>19</v>
      </c>
      <c r="I2684" s="1" t="s">
        <v>20</v>
      </c>
      <c r="J2684" s="1" t="s">
        <v>11777</v>
      </c>
      <c r="K2684" s="1" t="s">
        <v>22</v>
      </c>
      <c r="L2684" s="1" t="str">
        <f>HYPERLINK("https://files.afu.se/Downloads/Transcripts/0%20-%20Government/USA%20-%20NASA%20Johnson/2012 08 23 - NASA Johnson - ISS Update  Brent Jett Discusses the Commercial Crew Program -- 08.23.12_OIq7Rt7BI38 - transcript (automated).pdf","Transcript Link")</f>
        <v>Transcript Link</v>
      </c>
      <c r="M2684" s="2" t="str">
        <f>HYPERLINK("https://files.afu.se/Downloads/Transcripts/0%20-%20Government/USA%20-%20NASA%20Johnson/2012 08 23 - NASA Johnson - ISS Update  Brent Jett Discusses the Commercial Crew Program -- 08.23.12_OIq7Rt7BI38 - transcript (automated).pdf","Transcript Link")</f>
        <v>Transcript Link</v>
      </c>
    </row>
    <row r="2685" ht="180" spans="1:13">
      <c r="A2685" s="1" t="s">
        <v>11773</v>
      </c>
      <c r="B2685" s="1" t="s">
        <v>13</v>
      </c>
      <c r="C2685" s="4" t="s">
        <v>11778</v>
      </c>
      <c r="D2685" s="1" t="s">
        <v>11779</v>
      </c>
      <c r="E2685" s="1" t="s">
        <v>11780</v>
      </c>
      <c r="F2685" s="4" t="s">
        <v>17</v>
      </c>
      <c r="G2685" s="1" t="s">
        <v>18</v>
      </c>
      <c r="H2685" s="1" t="s">
        <v>19</v>
      </c>
      <c r="I2685" s="1" t="s">
        <v>20</v>
      </c>
      <c r="J2685" s="1" t="s">
        <v>11781</v>
      </c>
      <c r="K2685" s="1" t="s">
        <v>22</v>
      </c>
      <c r="L2685" s="1" t="str">
        <f>HYPERLINK("https://files.afu.se/Downloads/Transcripts/0%20-%20Government/USA%20-%20NASA%20Johnson/2012 08 23 - NASA Johnson - Space Station Social Media Event_1q7ykN5O_fM - transcript (automated).pdf","Transcript Link")</f>
        <v>Transcript Link</v>
      </c>
      <c r="M2685" s="2" t="str">
        <f>HYPERLINK("https://files.afu.se/Downloads/Transcripts/0%20-%20Government/USA%20-%20NASA%20Johnson/2012 08 23 - NASA Johnson - Space Station Social Media Event_1q7ykN5O_fM - transcript (automated).pdf","Transcript Link")</f>
        <v>Transcript Link</v>
      </c>
    </row>
    <row r="2686" ht="180" spans="1:13">
      <c r="A2686" s="1" t="s">
        <v>11773</v>
      </c>
      <c r="B2686" s="1" t="s">
        <v>13</v>
      </c>
      <c r="C2686" s="4" t="s">
        <v>11782</v>
      </c>
      <c r="D2686" s="1" t="s">
        <v>11783</v>
      </c>
      <c r="E2686" s="1" t="s">
        <v>11784</v>
      </c>
      <c r="F2686" s="4" t="s">
        <v>17</v>
      </c>
      <c r="G2686" s="1" t="s">
        <v>18</v>
      </c>
      <c r="H2686" s="1" t="s">
        <v>19</v>
      </c>
      <c r="I2686" s="1" t="s">
        <v>20</v>
      </c>
      <c r="J2686" s="1" t="s">
        <v>11785</v>
      </c>
      <c r="K2686" s="1" t="s">
        <v>22</v>
      </c>
      <c r="L2686" s="1" t="str">
        <f>HYPERLINK("https://files.afu.se/Downloads/Transcripts/0%20-%20Government/USA%20-%20NASA%20Johnson/2012 08 23 - NASA Johnson - ISS Update - Aug. 23, 2012_Zb2_Rm57L_A - transcript (automated).pdf","Transcript Link")</f>
        <v>Transcript Link</v>
      </c>
      <c r="M2686" s="2" t="str">
        <f>HYPERLINK("https://files.afu.se/Downloads/Transcripts/0%20-%20Government/USA%20-%20NASA%20Johnson/2012 08 23 - NASA Johnson - ISS Update - Aug. 23, 2012_Zb2_Rm57L_A - transcript (automated).pdf","Transcript Link")</f>
        <v>Transcript Link</v>
      </c>
    </row>
    <row r="2687" ht="300" spans="1:13">
      <c r="A2687" s="1" t="s">
        <v>11786</v>
      </c>
      <c r="B2687" s="1" t="s">
        <v>13</v>
      </c>
      <c r="C2687" s="4" t="s">
        <v>11787</v>
      </c>
      <c r="D2687" s="1" t="s">
        <v>11788</v>
      </c>
      <c r="E2687" s="1" t="s">
        <v>11789</v>
      </c>
      <c r="F2687" s="4" t="s">
        <v>17</v>
      </c>
      <c r="G2687" s="1" t="s">
        <v>18</v>
      </c>
      <c r="H2687" s="1" t="s">
        <v>19</v>
      </c>
      <c r="I2687" s="1" t="s">
        <v>20</v>
      </c>
      <c r="J2687" s="1" t="s">
        <v>11790</v>
      </c>
      <c r="K2687" s="1" t="s">
        <v>22</v>
      </c>
      <c r="L2687" s="1" t="str">
        <f>HYPERLINK("https://files.afu.se/Downloads/Transcripts/0%20-%20Government/USA%20-%20NASA%20Johnson/2012 08 22 - NASA Johnson - ISS Update  CCiCap and the SpaceX Dragon -- 08.22.12_85rsymSLSE4 - transcript (automated).pdf","Transcript Link")</f>
        <v>Transcript Link</v>
      </c>
      <c r="M2687" s="2" t="str">
        <f>HYPERLINK("https://files.afu.se/Downloads/Transcripts/0%20-%20Government/USA%20-%20NASA%20Johnson/2012 08 22 - NASA Johnson - ISS Update  CCiCap and the SpaceX Dragon -- 08.22.12_85rsymSLSE4 - transcript (automated).pdf","Transcript Link")</f>
        <v>Transcript Link</v>
      </c>
    </row>
    <row r="2688" ht="180" spans="1:13">
      <c r="A2688" s="1" t="s">
        <v>11786</v>
      </c>
      <c r="B2688" s="1" t="s">
        <v>13</v>
      </c>
      <c r="C2688" s="4" t="s">
        <v>11791</v>
      </c>
      <c r="D2688" s="1" t="s">
        <v>11792</v>
      </c>
      <c r="E2688" s="1" t="s">
        <v>11793</v>
      </c>
      <c r="F2688" s="4" t="s">
        <v>17</v>
      </c>
      <c r="G2688" s="1" t="s">
        <v>18</v>
      </c>
      <c r="H2688" s="1" t="s">
        <v>19</v>
      </c>
      <c r="I2688" s="1" t="s">
        <v>20</v>
      </c>
      <c r="J2688" s="1" t="s">
        <v>11794</v>
      </c>
      <c r="K2688" s="1" t="s">
        <v>22</v>
      </c>
      <c r="L2688" s="1" t="str">
        <f>HYPERLINK("https://files.afu.se/Downloads/Transcripts/0%20-%20Government/USA%20-%20NASA%20Johnson/2012 08 22 - NASA Johnson - ISS Update  Dream Chaser Spacecraft_zQbE_JvX384 - transcript (automated).pdf","Transcript Link")</f>
        <v>Transcript Link</v>
      </c>
      <c r="M2688" s="2" t="str">
        <f>HYPERLINK("https://files.afu.se/Downloads/Transcripts/0%20-%20Government/USA%20-%20NASA%20Johnson/2012 08 22 - NASA Johnson - ISS Update  Dream Chaser Spacecraft_zQbE_JvX384 - transcript (automated).pdf","Transcript Link")</f>
        <v>Transcript Link</v>
      </c>
    </row>
    <row r="2689" ht="180" spans="1:13">
      <c r="A2689" s="1" t="s">
        <v>11786</v>
      </c>
      <c r="B2689" s="1" t="s">
        <v>13</v>
      </c>
      <c r="C2689" s="4" t="s">
        <v>11795</v>
      </c>
      <c r="D2689" s="1" t="s">
        <v>11796</v>
      </c>
      <c r="E2689" s="1" t="s">
        <v>11797</v>
      </c>
      <c r="F2689" s="4" t="s">
        <v>17</v>
      </c>
      <c r="G2689" s="1" t="s">
        <v>18</v>
      </c>
      <c r="H2689" s="1" t="s">
        <v>19</v>
      </c>
      <c r="I2689" s="1" t="s">
        <v>20</v>
      </c>
      <c r="J2689" s="1" t="s">
        <v>11798</v>
      </c>
      <c r="K2689" s="1" t="s">
        <v>22</v>
      </c>
      <c r="L2689" s="1" t="str">
        <f>HYPERLINK("https://files.afu.se/Downloads/Transcripts/0%20-%20Government/USA%20-%20NASA%20Johnson/2012 08 22 - NASA Johnson - ISS Update  August 22, 2012_4-fUFVeS_Hs - transcript (automated).pdf","Transcript Link")</f>
        <v>Transcript Link</v>
      </c>
      <c r="M2689" s="2" t="str">
        <f>HYPERLINK("https://files.afu.se/Downloads/Transcripts/0%20-%20Government/USA%20-%20NASA%20Johnson/2012 08 22 - NASA Johnson - ISS Update  August 22, 2012_4-fUFVeS_Hs - transcript (automated).pdf","Transcript Link")</f>
        <v>Transcript Link</v>
      </c>
    </row>
    <row r="2690" ht="255" spans="1:13">
      <c r="A2690" s="1" t="s">
        <v>11799</v>
      </c>
      <c r="B2690" s="1" t="s">
        <v>13</v>
      </c>
      <c r="C2690" s="4" t="s">
        <v>11800</v>
      </c>
      <c r="D2690" s="1" t="s">
        <v>11801</v>
      </c>
      <c r="E2690" s="1" t="s">
        <v>11802</v>
      </c>
      <c r="F2690" s="4" t="s">
        <v>17</v>
      </c>
      <c r="G2690" s="1" t="s">
        <v>18</v>
      </c>
      <c r="H2690" s="1" t="s">
        <v>19</v>
      </c>
      <c r="I2690" s="1" t="s">
        <v>20</v>
      </c>
      <c r="J2690" s="1" t="s">
        <v>11803</v>
      </c>
      <c r="K2690" s="1" t="s">
        <v>22</v>
      </c>
      <c r="L2690" s="1" t="str">
        <f>HYPERLINK("https://files.afu.se/Downloads/Transcripts/0%20-%20Government/USA%20-%20NASA%20Johnson/2012 08 21 - NASA Johnson - ISS Update  CCiCAP Meetings and the Boeing CST-100 -- 08.21.12_QOPhB5xQprc - transcript (automated).pdf","Transcript Link")</f>
        <v>Transcript Link</v>
      </c>
      <c r="M2690" s="2" t="str">
        <f>HYPERLINK("https://files.afu.se/Downloads/Transcripts/0%20-%20Government/USA%20-%20NASA%20Johnson/2012 08 21 - NASA Johnson - ISS Update  CCiCAP Meetings and the Boeing CST-100 -- 08.21.12_QOPhB5xQprc - transcript (automated).pdf","Transcript Link")</f>
        <v>Transcript Link</v>
      </c>
    </row>
    <row r="2691" ht="180" spans="1:13">
      <c r="A2691" s="1" t="s">
        <v>11799</v>
      </c>
      <c r="B2691" s="1" t="s">
        <v>13</v>
      </c>
      <c r="C2691" s="4" t="s">
        <v>11804</v>
      </c>
      <c r="D2691" s="1" t="s">
        <v>11805</v>
      </c>
      <c r="E2691" s="1" t="s">
        <v>11806</v>
      </c>
      <c r="F2691" s="4" t="s">
        <v>17</v>
      </c>
      <c r="G2691" s="1" t="s">
        <v>18</v>
      </c>
      <c r="H2691" s="1" t="s">
        <v>19</v>
      </c>
      <c r="I2691" s="1" t="s">
        <v>20</v>
      </c>
      <c r="J2691" s="1" t="s">
        <v>11807</v>
      </c>
      <c r="K2691" s="1" t="s">
        <v>22</v>
      </c>
      <c r="L2691" s="1" t="str">
        <f>HYPERLINK("https://files.afu.se/Downloads/Transcripts/0%20-%20Government/USA%20-%20NASA%20Johnson/2012 08 21 - NASA Johnson - ISS Update  August 21, 2012_R1pvZQSLynI - transcript (automated).pdf","Transcript Link")</f>
        <v>Transcript Link</v>
      </c>
      <c r="M2691" s="2" t="str">
        <f>HYPERLINK("https://files.afu.se/Downloads/Transcripts/0%20-%20Government/USA%20-%20NASA%20Johnson/2012 08 21 - NASA Johnson - ISS Update  August 21, 2012_R1pvZQSLynI - transcript (automated).pdf","Transcript Link")</f>
        <v>Transcript Link</v>
      </c>
    </row>
    <row r="2692" ht="180" spans="1:13">
      <c r="A2692" s="1" t="s">
        <v>11808</v>
      </c>
      <c r="B2692" s="1" t="s">
        <v>13</v>
      </c>
      <c r="C2692" s="4" t="s">
        <v>11809</v>
      </c>
      <c r="D2692" s="1" t="s">
        <v>11810</v>
      </c>
      <c r="E2692" s="1" t="s">
        <v>11811</v>
      </c>
      <c r="F2692" s="4" t="s">
        <v>17</v>
      </c>
      <c r="G2692" s="1" t="s">
        <v>18</v>
      </c>
      <c r="H2692" s="1" t="s">
        <v>19</v>
      </c>
      <c r="I2692" s="1" t="s">
        <v>20</v>
      </c>
      <c r="J2692" s="1" t="s">
        <v>11812</v>
      </c>
      <c r="K2692" s="1" t="s">
        <v>22</v>
      </c>
      <c r="L2692" s="1" t="str">
        <f>HYPERLINK("https://files.afu.se/Downloads/Transcripts/0%20-%20Government/USA%20-%20NASA%20Johnson/2012 08 17 - NASA Johnson - ISS Update  Art Thomason Discusses the Aug. 20 Russian Spacewalk -- 08.17.12_g7eHeU-_a0U - transcript (automated).pdf","Transcript Link")</f>
        <v>Transcript Link</v>
      </c>
      <c r="M2692" s="2" t="str">
        <f>HYPERLINK("https://files.afu.se/Downloads/Transcripts/0%20-%20Government/USA%20-%20NASA%20Johnson/2012 08 17 - NASA Johnson - ISS Update  Art Thomason Discusses the Aug. 20 Russian Spacewalk -- 08.17.12_g7eHeU-_a0U - transcript (automated).pdf","Transcript Link")</f>
        <v>Transcript Link</v>
      </c>
    </row>
    <row r="2693" ht="180" spans="1:13">
      <c r="A2693" s="1" t="s">
        <v>11808</v>
      </c>
      <c r="B2693" s="1" t="s">
        <v>13</v>
      </c>
      <c r="C2693" s="4" t="s">
        <v>11813</v>
      </c>
      <c r="D2693" s="1" t="s">
        <v>11814</v>
      </c>
      <c r="E2693" s="1" t="s">
        <v>11815</v>
      </c>
      <c r="F2693" s="4" t="s">
        <v>17</v>
      </c>
      <c r="G2693" s="1" t="s">
        <v>18</v>
      </c>
      <c r="H2693" s="1" t="s">
        <v>19</v>
      </c>
      <c r="I2693" s="1" t="s">
        <v>20</v>
      </c>
      <c r="J2693" s="1" t="s">
        <v>11816</v>
      </c>
      <c r="K2693" s="1" t="s">
        <v>22</v>
      </c>
      <c r="L2693" s="1" t="str">
        <f>HYPERLINK("https://files.afu.se/Downloads/Transcripts/0%20-%20Government/USA%20-%20NASA%20Johnson/2012 08 17 - NASA Johnson - ISS Update  Weekly Recap for August 17, 2012_y8tb5g6NQ2Q - transcript (automated).pdf","Transcript Link")</f>
        <v>Transcript Link</v>
      </c>
      <c r="M2693" s="2" t="str">
        <f>HYPERLINK("https://files.afu.se/Downloads/Transcripts/0%20-%20Government/USA%20-%20NASA%20Johnson/2012 08 17 - NASA Johnson - ISS Update  Weekly Recap for August 17, 2012_y8tb5g6NQ2Q - transcript (automated).pdf","Transcript Link")</f>
        <v>Transcript Link</v>
      </c>
    </row>
    <row r="2694" ht="180" spans="1:13">
      <c r="A2694" s="1" t="s">
        <v>11817</v>
      </c>
      <c r="B2694" s="1" t="s">
        <v>13</v>
      </c>
      <c r="C2694" s="4" t="s">
        <v>11818</v>
      </c>
      <c r="D2694" s="1" t="s">
        <v>11819</v>
      </c>
      <c r="E2694" s="1" t="s">
        <v>11820</v>
      </c>
      <c r="F2694" s="4" t="s">
        <v>17</v>
      </c>
      <c r="G2694" s="1" t="s">
        <v>18</v>
      </c>
      <c r="H2694" s="1" t="s">
        <v>19</v>
      </c>
      <c r="I2694" s="1" t="s">
        <v>20</v>
      </c>
      <c r="J2694" s="1" t="s">
        <v>11821</v>
      </c>
      <c r="K2694" s="1" t="s">
        <v>22</v>
      </c>
      <c r="L2694" s="1" t="str">
        <f>HYPERLINK("https://files.afu.se/Downloads/Transcripts/0%20-%20Government/USA%20-%20NASA%20Johnson/2012 08 16 - NASA Johnson - ISS Update - Aug. 16, 2012_mCjKxuGKpRI - transcript (automated).pdf","Transcript Link")</f>
        <v>Transcript Link</v>
      </c>
      <c r="M2694" s="2" t="str">
        <f>HYPERLINK("https://files.afu.se/Downloads/Transcripts/0%20-%20Government/USA%20-%20NASA%20Johnson/2012 08 16 - NASA Johnson - ISS Update - Aug. 16, 2012_mCjKxuGKpRI - transcript (automated).pdf","Transcript Link")</f>
        <v>Transcript Link</v>
      </c>
    </row>
    <row r="2695" ht="285" spans="1:13">
      <c r="A2695" s="1" t="s">
        <v>11822</v>
      </c>
      <c r="B2695" s="1" t="s">
        <v>13</v>
      </c>
      <c r="C2695" s="4" t="s">
        <v>11823</v>
      </c>
      <c r="D2695" s="1" t="s">
        <v>11824</v>
      </c>
      <c r="E2695" s="1" t="s">
        <v>11825</v>
      </c>
      <c r="F2695" s="4" t="s">
        <v>17</v>
      </c>
      <c r="G2695" s="1" t="s">
        <v>18</v>
      </c>
      <c r="H2695" s="1" t="s">
        <v>19</v>
      </c>
      <c r="I2695" s="1" t="s">
        <v>20</v>
      </c>
      <c r="J2695" s="1" t="s">
        <v>11826</v>
      </c>
      <c r="K2695" s="1" t="s">
        <v>22</v>
      </c>
      <c r="L2695" s="1" t="str">
        <f>HYPERLINK("https://files.afu.se/Downloads/Transcripts/0%20-%20Government/USA%20-%20NASA%20Johnson/2012 08 15 - NASA Johnson - ISS Update  JAXA Aquatic Habitat Facility -- 08.15.12_WpWxH4_IF7E - transcript (automated).pdf","Transcript Link")</f>
        <v>Transcript Link</v>
      </c>
      <c r="M2695" s="2" t="str">
        <f>HYPERLINK("https://files.afu.se/Downloads/Transcripts/0%20-%20Government/USA%20-%20NASA%20Johnson/2012 08 15 - NASA Johnson - ISS Update  JAXA Aquatic Habitat Facility -- 08.15.12_WpWxH4_IF7E - transcript (automated).pdf","Transcript Link")</f>
        <v>Transcript Link</v>
      </c>
    </row>
    <row r="2696" ht="180" spans="1:13">
      <c r="A2696" s="1" t="s">
        <v>11822</v>
      </c>
      <c r="B2696" s="1" t="s">
        <v>13</v>
      </c>
      <c r="C2696" s="4" t="s">
        <v>11827</v>
      </c>
      <c r="D2696" s="1" t="s">
        <v>11828</v>
      </c>
      <c r="E2696" s="1" t="s">
        <v>11829</v>
      </c>
      <c r="F2696" s="4" t="s">
        <v>17</v>
      </c>
      <c r="G2696" s="1" t="s">
        <v>18</v>
      </c>
      <c r="H2696" s="1" t="s">
        <v>19</v>
      </c>
      <c r="I2696" s="1" t="s">
        <v>20</v>
      </c>
      <c r="J2696" s="1" t="s">
        <v>11830</v>
      </c>
      <c r="K2696" s="1" t="s">
        <v>22</v>
      </c>
      <c r="L2696" s="1" t="str">
        <f>HYPERLINK("https://files.afu.se/Downloads/Transcripts/0%20-%20Government/USA%20-%20NASA%20Johnson/2012 08 15 - NASA Johnson - ISS Update - Aug. 15, 2012_hVbs4X-7Gg0 - transcript (automated).pdf","Transcript Link")</f>
        <v>Transcript Link</v>
      </c>
      <c r="M2696" s="2" t="str">
        <f>HYPERLINK("https://files.afu.se/Downloads/Transcripts/0%20-%20Government/USA%20-%20NASA%20Johnson/2012 08 15 - NASA Johnson - ISS Update - Aug. 15, 2012_hVbs4X-7Gg0 - transcript (automated).pdf","Transcript Link")</f>
        <v>Transcript Link</v>
      </c>
    </row>
    <row r="2697" ht="180" spans="1:13">
      <c r="A2697" s="1" t="s">
        <v>11831</v>
      </c>
      <c r="B2697" s="1" t="s">
        <v>13</v>
      </c>
      <c r="C2697" s="4" t="s">
        <v>11832</v>
      </c>
      <c r="D2697" s="1" t="s">
        <v>11833</v>
      </c>
      <c r="E2697" s="1" t="s">
        <v>11834</v>
      </c>
      <c r="F2697" s="4" t="s">
        <v>17</v>
      </c>
      <c r="G2697" s="1" t="s">
        <v>18</v>
      </c>
      <c r="H2697" s="1" t="s">
        <v>19</v>
      </c>
      <c r="I2697" s="1" t="s">
        <v>20</v>
      </c>
      <c r="J2697" s="1" t="s">
        <v>11835</v>
      </c>
      <c r="K2697" s="1" t="s">
        <v>22</v>
      </c>
      <c r="L2697" s="1" t="str">
        <f>HYPERLINK("https://files.afu.se/Downloads/Transcripts/0%20-%20Government/USA%20-%20NASA%20Johnson/2012 08 14 - NASA Johnson - ISS Update - Aug. 14, 2012_DHGsIxpqS0M - transcript (automated).pdf","Transcript Link")</f>
        <v>Transcript Link</v>
      </c>
      <c r="M2697" s="2" t="str">
        <f>HYPERLINK("https://files.afu.se/Downloads/Transcripts/0%20-%20Government/USA%20-%20NASA%20Johnson/2012 08 14 - NASA Johnson - ISS Update - Aug. 14, 2012_DHGsIxpqS0M - transcript (automated).pdf","Transcript Link")</f>
        <v>Transcript Link</v>
      </c>
    </row>
    <row r="2698" ht="180" spans="1:13">
      <c r="A2698" s="1" t="s">
        <v>11836</v>
      </c>
      <c r="B2698" s="1" t="s">
        <v>13</v>
      </c>
      <c r="C2698" s="4" t="s">
        <v>11837</v>
      </c>
      <c r="D2698" s="1" t="s">
        <v>11838</v>
      </c>
      <c r="E2698" s="1" t="s">
        <v>11839</v>
      </c>
      <c r="F2698" s="4" t="s">
        <v>17</v>
      </c>
      <c r="G2698" s="1" t="s">
        <v>18</v>
      </c>
      <c r="H2698" s="1" t="s">
        <v>19</v>
      </c>
      <c r="I2698" s="1" t="s">
        <v>20</v>
      </c>
      <c r="J2698" s="1" t="s">
        <v>11840</v>
      </c>
      <c r="K2698" s="1" t="s">
        <v>22</v>
      </c>
      <c r="L2698" s="1" t="str">
        <f>HYPERLINK("https://files.afu.se/Downloads/Transcripts/0%20-%20Government/USA%20-%20NASA%20Johnson/2012 08 13 - NASA Johnson - ISS Update - Aug. 13, 2012_SXzum814CZA - transcript (automated).pdf","Transcript Link")</f>
        <v>Transcript Link</v>
      </c>
      <c r="M2698" s="2" t="str">
        <f>HYPERLINK("https://files.afu.se/Downloads/Transcripts/0%20-%20Government/USA%20-%20NASA%20Johnson/2012 08 13 - NASA Johnson - ISS Update - Aug. 13, 2012_SXzum814CZA - transcript (automated).pdf","Transcript Link")</f>
        <v>Transcript Link</v>
      </c>
    </row>
    <row r="2699" ht="180" spans="1:13">
      <c r="A2699" s="1" t="s">
        <v>11841</v>
      </c>
      <c r="B2699" s="1" t="s">
        <v>13</v>
      </c>
      <c r="C2699" s="4" t="s">
        <v>11842</v>
      </c>
      <c r="D2699" s="1" t="s">
        <v>11843</v>
      </c>
      <c r="E2699" s="1" t="s">
        <v>11844</v>
      </c>
      <c r="F2699" s="4" t="s">
        <v>17</v>
      </c>
      <c r="G2699" s="1" t="s">
        <v>18</v>
      </c>
      <c r="H2699" s="1" t="s">
        <v>19</v>
      </c>
      <c r="I2699" s="1" t="s">
        <v>20</v>
      </c>
      <c r="J2699" s="1" t="s">
        <v>11845</v>
      </c>
      <c r="K2699" s="1" t="s">
        <v>22</v>
      </c>
      <c r="L2699" s="1" t="str">
        <f>HYPERLINK("https://files.afu.se/Downloads/Transcripts/0%20-%20Government/USA%20-%20NASA%20Johnson/2012 08 10 - NASA Johnson - ISS Update  Weekly Recap for August 10, 2012_ng28PbQPHAw - transcript (automated).pdf","Transcript Link")</f>
        <v>Transcript Link</v>
      </c>
      <c r="M2699" s="2" t="str">
        <f>HYPERLINK("https://files.afu.se/Downloads/Transcripts/0%20-%20Government/USA%20-%20NASA%20Johnson/2012 08 10 - NASA Johnson - ISS Update  Weekly Recap for August 10, 2012_ng28PbQPHAw - transcript (automated).pdf","Transcript Link")</f>
        <v>Transcript Link</v>
      </c>
    </row>
    <row r="2700" ht="180" spans="1:13">
      <c r="A2700" s="1" t="s">
        <v>11846</v>
      </c>
      <c r="B2700" s="1" t="s">
        <v>13</v>
      </c>
      <c r="C2700" s="4" t="s">
        <v>11847</v>
      </c>
      <c r="D2700" s="1" t="s">
        <v>11848</v>
      </c>
      <c r="E2700" s="1" t="s">
        <v>11849</v>
      </c>
      <c r="F2700" s="4" t="s">
        <v>17</v>
      </c>
      <c r="G2700" s="1" t="s">
        <v>18</v>
      </c>
      <c r="H2700" s="1" t="s">
        <v>19</v>
      </c>
      <c r="I2700" s="1" t="s">
        <v>20</v>
      </c>
      <c r="J2700" s="1" t="s">
        <v>11850</v>
      </c>
      <c r="K2700" s="1" t="s">
        <v>22</v>
      </c>
      <c r="L2700" s="1" t="str">
        <f>HYPERLINK("https://files.afu.se/Downloads/Transcripts/0%20-%20Government/USA%20-%20NASA%20Johnson/2012 08 09 - NASA Johnson - Smokey Visits Station Flight Control Room_l3ycSKfENcE - transcript (automated).pdf","Transcript Link")</f>
        <v>Transcript Link</v>
      </c>
      <c r="M2700" s="2" t="str">
        <f>HYPERLINK("https://files.afu.se/Downloads/Transcripts/0%20-%20Government/USA%20-%20NASA%20Johnson/2012 08 09 - NASA Johnson - Smokey Visits Station Flight Control Room_l3ycSKfENcE - transcript (automated).pdf","Transcript Link")</f>
        <v>Transcript Link</v>
      </c>
    </row>
    <row r="2701" ht="180" spans="1:13">
      <c r="A2701" s="1" t="s">
        <v>11846</v>
      </c>
      <c r="B2701" s="1" t="s">
        <v>13</v>
      </c>
      <c r="C2701" s="4" t="s">
        <v>11851</v>
      </c>
      <c r="D2701" s="1" t="s">
        <v>11852</v>
      </c>
      <c r="E2701" s="1" t="s">
        <v>11853</v>
      </c>
      <c r="F2701" s="4" t="s">
        <v>17</v>
      </c>
      <c r="G2701" s="1" t="s">
        <v>18</v>
      </c>
      <c r="H2701" s="1" t="s">
        <v>19</v>
      </c>
      <c r="I2701" s="1" t="s">
        <v>20</v>
      </c>
      <c r="J2701" s="1" t="s">
        <v>11854</v>
      </c>
      <c r="K2701" s="1" t="s">
        <v>22</v>
      </c>
      <c r="L2701" s="1" t="str">
        <f>HYPERLINK("https://files.afu.se/Downloads/Transcripts/0%20-%20Government/USA%20-%20NASA%20Johnson/2012 08 09 - NASA Johnson - Space Campers Speak With Astronaut Mike Fossum_kFS8G3kPbcs - transcript (automated).pdf","Transcript Link")</f>
        <v>Transcript Link</v>
      </c>
      <c r="M2701" s="2" t="str">
        <f>HYPERLINK("https://files.afu.se/Downloads/Transcripts/0%20-%20Government/USA%20-%20NASA%20Johnson/2012 08 09 - NASA Johnson - Space Campers Speak With Astronaut Mike Fossum_kFS8G3kPbcs - transcript (automated).pdf","Transcript Link")</f>
        <v>Transcript Link</v>
      </c>
    </row>
    <row r="2702" ht="180" spans="1:13">
      <c r="A2702" s="1" t="s">
        <v>11846</v>
      </c>
      <c r="B2702" s="1" t="s">
        <v>13</v>
      </c>
      <c r="C2702" s="4" t="s">
        <v>11855</v>
      </c>
      <c r="D2702" s="1" t="s">
        <v>11856</v>
      </c>
      <c r="E2702" s="1" t="s">
        <v>11857</v>
      </c>
      <c r="F2702" s="4" t="s">
        <v>17</v>
      </c>
      <c r="G2702" s="1" t="s">
        <v>18</v>
      </c>
      <c r="H2702" s="1" t="s">
        <v>19</v>
      </c>
      <c r="I2702" s="1" t="s">
        <v>20</v>
      </c>
      <c r="J2702" s="1" t="s">
        <v>11858</v>
      </c>
      <c r="K2702" s="1" t="s">
        <v>22</v>
      </c>
      <c r="L2702" s="1" t="str">
        <f>HYPERLINK("https://files.afu.se/Downloads/Transcripts/0%20-%20Government/USA%20-%20NASA%20Johnson/2012 08 09 - NASA Johnson - ISS Update  Happy 68th Birthday Smokey Bear -- 08.09.12_VoLf3lgCU_Q - transcript (automated).pdf","Transcript Link")</f>
        <v>Transcript Link</v>
      </c>
      <c r="M2702" s="2" t="str">
        <f>HYPERLINK("https://files.afu.se/Downloads/Transcripts/0%20-%20Government/USA%20-%20NASA%20Johnson/2012 08 09 - NASA Johnson - ISS Update  Happy 68th Birthday Smokey Bear -- 08.09.12_VoLf3lgCU_Q - transcript (automated).pdf","Transcript Link")</f>
        <v>Transcript Link</v>
      </c>
    </row>
    <row r="2703" ht="180" spans="1:13">
      <c r="A2703" s="1" t="s">
        <v>11846</v>
      </c>
      <c r="B2703" s="1" t="s">
        <v>13</v>
      </c>
      <c r="C2703" s="4" t="s">
        <v>11859</v>
      </c>
      <c r="D2703" s="1" t="s">
        <v>11860</v>
      </c>
      <c r="E2703" s="1" t="s">
        <v>11861</v>
      </c>
      <c r="F2703" s="4" t="s">
        <v>17</v>
      </c>
      <c r="G2703" s="1" t="s">
        <v>18</v>
      </c>
      <c r="H2703" s="1" t="s">
        <v>19</v>
      </c>
      <c r="I2703" s="1" t="s">
        <v>20</v>
      </c>
      <c r="J2703" s="1" t="s">
        <v>11862</v>
      </c>
      <c r="K2703" s="1" t="s">
        <v>22</v>
      </c>
      <c r="L2703" s="1" t="str">
        <f>HYPERLINK("https://files.afu.se/Downloads/Transcripts/0%20-%20Government/USA%20-%20NASA%20Johnson/2012 08 09 - NASA Johnson - Happy Birthday Smokey Bear from Joe Acaba_Ibdz9Zdjy5c - transcript (automated).pdf","Transcript Link")</f>
        <v>Transcript Link</v>
      </c>
      <c r="M2703" s="2" t="str">
        <f>HYPERLINK("https://files.afu.se/Downloads/Transcripts/0%20-%20Government/USA%20-%20NASA%20Johnson/2012 08 09 - NASA Johnson - Happy Birthday Smokey Bear from Joe Acaba_Ibdz9Zdjy5c - transcript (automated).pdf","Transcript Link")</f>
        <v>Transcript Link</v>
      </c>
    </row>
    <row r="2704" ht="180" spans="1:13">
      <c r="A2704" s="1" t="s">
        <v>11846</v>
      </c>
      <c r="B2704" s="1" t="s">
        <v>13</v>
      </c>
      <c r="C2704" s="4" t="s">
        <v>11863</v>
      </c>
      <c r="D2704" s="1" t="s">
        <v>11864</v>
      </c>
      <c r="E2704" s="1" t="s">
        <v>11865</v>
      </c>
      <c r="F2704" s="4" t="s">
        <v>17</v>
      </c>
      <c r="G2704" s="1" t="s">
        <v>18</v>
      </c>
      <c r="H2704" s="1" t="s">
        <v>19</v>
      </c>
      <c r="I2704" s="1" t="s">
        <v>20</v>
      </c>
      <c r="J2704" s="1" t="s">
        <v>11866</v>
      </c>
      <c r="K2704" s="1" t="s">
        <v>22</v>
      </c>
      <c r="L2704" s="1" t="str">
        <f>HYPERLINK("https://files.afu.se/Downloads/Transcripts/0%20-%20Government/USA%20-%20NASA%20Johnson/2012 08 09 - NASA Johnson - ISS Update - Aug. 9, 2012_HKZ4PzIZFKs - transcript (automated).pdf","Transcript Link")</f>
        <v>Transcript Link</v>
      </c>
      <c r="M2704" s="2" t="str">
        <f>HYPERLINK("https://files.afu.se/Downloads/Transcripts/0%20-%20Government/USA%20-%20NASA%20Johnson/2012 08 09 - NASA Johnson - ISS Update - Aug. 9, 2012_HKZ4PzIZFKs - transcript (automated).pdf","Transcript Link")</f>
        <v>Transcript Link</v>
      </c>
    </row>
    <row r="2705" ht="180" spans="1:13">
      <c r="A2705" s="1" t="s">
        <v>11846</v>
      </c>
      <c r="B2705" s="1" t="s">
        <v>13</v>
      </c>
      <c r="C2705" s="4" t="s">
        <v>11867</v>
      </c>
      <c r="D2705" s="1" t="s">
        <v>11868</v>
      </c>
      <c r="E2705" s="1" t="s">
        <v>11869</v>
      </c>
      <c r="F2705" s="4" t="s">
        <v>17</v>
      </c>
      <c r="G2705" s="1" t="s">
        <v>18</v>
      </c>
      <c r="H2705" s="1" t="s">
        <v>19</v>
      </c>
      <c r="I2705" s="1" t="s">
        <v>20</v>
      </c>
      <c r="J2705" s="1" t="s">
        <v>11870</v>
      </c>
      <c r="K2705" s="1" t="s">
        <v>22</v>
      </c>
      <c r="L2705" s="1" t="str">
        <f>HYPERLINK("https://files.afu.se/Downloads/Transcripts/0%20-%20Government/USA%20-%20NASA%20Johnson/2012 08 09 - NASA Johnson - Astronaut Suni Williams on Value of Education_WVCTaxWIoRU - transcript (automated).pdf","Transcript Link")</f>
        <v>Transcript Link</v>
      </c>
      <c r="M2705" s="2" t="str">
        <f>HYPERLINK("https://files.afu.se/Downloads/Transcripts/0%20-%20Government/USA%20-%20NASA%20Johnson/2012 08 09 - NASA Johnson - Astronaut Suni Williams on Value of Education_WVCTaxWIoRU - transcript (automated).pdf","Transcript Link")</f>
        <v>Transcript Link</v>
      </c>
    </row>
    <row r="2706" ht="240" spans="1:13">
      <c r="A2706" s="1" t="s">
        <v>11871</v>
      </c>
      <c r="B2706" s="1" t="s">
        <v>13</v>
      </c>
      <c r="C2706" s="4" t="s">
        <v>11872</v>
      </c>
      <c r="D2706" s="1" t="s">
        <v>11873</v>
      </c>
      <c r="E2706" s="1" t="s">
        <v>11874</v>
      </c>
      <c r="F2706" s="4" t="s">
        <v>17</v>
      </c>
      <c r="G2706" s="1" t="s">
        <v>18</v>
      </c>
      <c r="H2706" s="1" t="s">
        <v>19</v>
      </c>
      <c r="I2706" s="1" t="s">
        <v>20</v>
      </c>
      <c r="J2706" s="1" t="s">
        <v>11875</v>
      </c>
      <c r="K2706" s="1" t="s">
        <v>22</v>
      </c>
      <c r="L2706" s="1" t="str">
        <f>HYPERLINK("https://files.afu.se/Downloads/Transcripts/0%20-%20Government/USA%20-%20NASA%20Johnson/2012 08 08 - NASA Johnson - Earth Illuminated  ISS Time-lapse Photography_r7UfMq-b0Uo - transcript (automated).pdf","Transcript Link")</f>
        <v>Transcript Link</v>
      </c>
      <c r="M2706" s="2" t="str">
        <f>HYPERLINK("https://files.afu.se/Downloads/Transcripts/0%20-%20Government/USA%20-%20NASA%20Johnson/2012 08 08 - NASA Johnson - Earth Illuminated  ISS Time-lapse Photography_r7UfMq-b0Uo - transcript (automated).pdf","Transcript Link")</f>
        <v>Transcript Link</v>
      </c>
    </row>
    <row r="2707" ht="180" spans="1:13">
      <c r="A2707" s="1" t="s">
        <v>11871</v>
      </c>
      <c r="B2707" s="1" t="s">
        <v>13</v>
      </c>
      <c r="C2707" s="4" t="s">
        <v>11876</v>
      </c>
      <c r="D2707" s="1" t="s">
        <v>11877</v>
      </c>
      <c r="E2707" s="1" t="s">
        <v>11878</v>
      </c>
      <c r="F2707" s="4" t="s">
        <v>17</v>
      </c>
      <c r="G2707" s="1" t="s">
        <v>18</v>
      </c>
      <c r="H2707" s="1" t="s">
        <v>19</v>
      </c>
      <c r="I2707" s="1" t="s">
        <v>20</v>
      </c>
      <c r="J2707" s="1" t="s">
        <v>11879</v>
      </c>
      <c r="K2707" s="1" t="s">
        <v>22</v>
      </c>
      <c r="L2707" s="1" t="str">
        <f>HYPERLINK("https://files.afu.se/Downloads/Transcripts/0%20-%20Government/USA%20-%20NASA%20Johnson/2012 08 08 - NASA Johnson - ISS Update - Aug. 8, 2012_Iu-WBaso8xI - transcript (automated).pdf","Transcript Link")</f>
        <v>Transcript Link</v>
      </c>
      <c r="M2707" s="2" t="str">
        <f>HYPERLINK("https://files.afu.se/Downloads/Transcripts/0%20-%20Government/USA%20-%20NASA%20Johnson/2012 08 08 - NASA Johnson - ISS Update - Aug. 8, 2012_Iu-WBaso8xI - transcript (automated).pdf","Transcript Link")</f>
        <v>Transcript Link</v>
      </c>
    </row>
    <row r="2708" ht="180" spans="1:13">
      <c r="A2708" s="1" t="s">
        <v>11880</v>
      </c>
      <c r="B2708" s="1" t="s">
        <v>13</v>
      </c>
      <c r="C2708" s="4" t="s">
        <v>11881</v>
      </c>
      <c r="D2708" s="1" t="s">
        <v>11882</v>
      </c>
      <c r="E2708" s="1" t="s">
        <v>11883</v>
      </c>
      <c r="F2708" s="4" t="s">
        <v>17</v>
      </c>
      <c r="G2708" s="1" t="s">
        <v>18</v>
      </c>
      <c r="H2708" s="1" t="s">
        <v>19</v>
      </c>
      <c r="I2708" s="1" t="s">
        <v>20</v>
      </c>
      <c r="J2708" s="1" t="s">
        <v>11884</v>
      </c>
      <c r="K2708" s="1" t="s">
        <v>22</v>
      </c>
      <c r="L2708" s="1" t="str">
        <f>HYPERLINK("https://files.afu.se/Downloads/Transcripts/0%20-%20Government/USA%20-%20NASA%20Johnson/2012 08 07 - NASA Johnson - Countdown to EFT-1  The Arrival_Ooo9ezYVePc - transcript (automated).pdf","Transcript Link")</f>
        <v>Transcript Link</v>
      </c>
      <c r="M2708" s="2" t="str">
        <f>HYPERLINK("https://files.afu.se/Downloads/Transcripts/0%20-%20Government/USA%20-%20NASA%20Johnson/2012 08 07 - NASA Johnson - Countdown to EFT-1  The Arrival_Ooo9ezYVePc - transcript (automated).pdf","Transcript Link")</f>
        <v>Transcript Link</v>
      </c>
    </row>
    <row r="2709" ht="180" spans="1:13">
      <c r="A2709" s="1" t="s">
        <v>11880</v>
      </c>
      <c r="B2709" s="1" t="s">
        <v>13</v>
      </c>
      <c r="C2709" s="4" t="s">
        <v>11885</v>
      </c>
      <c r="D2709" s="1" t="s">
        <v>11886</v>
      </c>
      <c r="E2709" s="1" t="s">
        <v>11887</v>
      </c>
      <c r="F2709" s="4" t="s">
        <v>17</v>
      </c>
      <c r="G2709" s="1" t="s">
        <v>18</v>
      </c>
      <c r="H2709" s="1" t="s">
        <v>19</v>
      </c>
      <c r="I2709" s="1" t="s">
        <v>20</v>
      </c>
      <c r="J2709" s="1" t="s">
        <v>11888</v>
      </c>
      <c r="K2709" s="1" t="s">
        <v>22</v>
      </c>
      <c r="L2709" s="1" t="str">
        <f>HYPERLINK("https://files.afu.se/Downloads/Transcripts/0%20-%20Government/USA%20-%20NASA%20Johnson/2012 08 07 - NASA Johnson - ISS Update - Aug. 7, 2012_Dm2PK3wJVaI - transcript (automated).pdf","Transcript Link")</f>
        <v>Transcript Link</v>
      </c>
      <c r="M2709" s="2" t="str">
        <f>HYPERLINK("https://files.afu.se/Downloads/Transcripts/0%20-%20Government/USA%20-%20NASA%20Johnson/2012 08 07 - NASA Johnson - ISS Update - Aug. 7, 2012_Dm2PK3wJVaI - transcript (automated).pdf","Transcript Link")</f>
        <v>Transcript Link</v>
      </c>
    </row>
    <row r="2710" ht="180" spans="1:13">
      <c r="A2710" s="1" t="s">
        <v>11880</v>
      </c>
      <c r="B2710" s="1" t="s">
        <v>13</v>
      </c>
      <c r="C2710" s="4" t="s">
        <v>11889</v>
      </c>
      <c r="D2710" s="1" t="s">
        <v>11890</v>
      </c>
      <c r="E2710" s="1" t="s">
        <v>11891</v>
      </c>
      <c r="F2710" s="4" t="s">
        <v>17</v>
      </c>
      <c r="G2710" s="1" t="s">
        <v>18</v>
      </c>
      <c r="H2710" s="1" t="s">
        <v>19</v>
      </c>
      <c r="I2710" s="1" t="s">
        <v>20</v>
      </c>
      <c r="J2710" s="1" t="s">
        <v>11892</v>
      </c>
      <c r="K2710" s="1" t="s">
        <v>22</v>
      </c>
      <c r="L2710" s="1" t="str">
        <f>HYPERLINK("https://files.afu.se/Downloads/Transcripts/0%20-%20Government/USA%20-%20NASA%20Johnson/2012 08 07 - NASA Johnson - Morpheus Tether Test %2320_aRKxoB1EFLE - transcript (automated).pdf","Transcript Link")</f>
        <v>Transcript Link</v>
      </c>
      <c r="M2710" s="2" t="str">
        <f>HYPERLINK("https://files.afu.se/Downloads/Transcripts/0%20-%20Government/USA%20-%20NASA%20Johnson/2012 08 07 - NASA Johnson - Morpheus Tether Test %2320_aRKxoB1EFLE - transcript (automated).pdf","Transcript Link")</f>
        <v>Transcript Link</v>
      </c>
    </row>
    <row r="2711" ht="180" spans="1:13">
      <c r="A2711" s="1" t="s">
        <v>11893</v>
      </c>
      <c r="B2711" s="1" t="s">
        <v>13</v>
      </c>
      <c r="C2711" s="4" t="s">
        <v>11894</v>
      </c>
      <c r="D2711" s="1" t="s">
        <v>11895</v>
      </c>
      <c r="E2711" s="1" t="s">
        <v>11896</v>
      </c>
      <c r="F2711" s="4" t="s">
        <v>17</v>
      </c>
      <c r="G2711" s="1" t="s">
        <v>18</v>
      </c>
      <c r="H2711" s="1" t="s">
        <v>19</v>
      </c>
      <c r="I2711" s="1" t="s">
        <v>20</v>
      </c>
      <c r="J2711" s="1" t="s">
        <v>11897</v>
      </c>
      <c r="K2711" s="1" t="s">
        <v>22</v>
      </c>
      <c r="L2711" s="1" t="str">
        <f>HYPERLINK("https://files.afu.se/Downloads/Transcripts/0%20-%20Government/USA%20-%20NASA%20Johnson/2012 08 06 - NASA Johnson - ISS Update - Aug. 6, 2012_SAkh3EaZ9-E - transcript (automated).pdf","Transcript Link")</f>
        <v>Transcript Link</v>
      </c>
      <c r="M2711" s="2" t="str">
        <f>HYPERLINK("https://files.afu.se/Downloads/Transcripts/0%20-%20Government/USA%20-%20NASA%20Johnson/2012 08 06 - NASA Johnson - ISS Update - Aug. 6, 2012_SAkh3EaZ9-E - transcript (automated).pdf","Transcript Link")</f>
        <v>Transcript Link</v>
      </c>
    </row>
    <row r="2712" ht="180" spans="1:13">
      <c r="A2712" s="1" t="s">
        <v>11898</v>
      </c>
      <c r="B2712" s="1" t="s">
        <v>13</v>
      </c>
      <c r="C2712" s="4" t="s">
        <v>11899</v>
      </c>
      <c r="D2712" s="1" t="s">
        <v>11900</v>
      </c>
      <c r="E2712" s="1" t="s">
        <v>11901</v>
      </c>
      <c r="F2712" s="4" t="s">
        <v>17</v>
      </c>
      <c r="G2712" s="1" t="s">
        <v>18</v>
      </c>
      <c r="H2712" s="1" t="s">
        <v>19</v>
      </c>
      <c r="I2712" s="1" t="s">
        <v>20</v>
      </c>
      <c r="J2712" s="1" t="s">
        <v>11902</v>
      </c>
      <c r="K2712" s="1" t="s">
        <v>22</v>
      </c>
      <c r="L2712" s="1" t="str">
        <f>HYPERLINK("https://files.afu.se/Downloads/Transcripts/0%20-%20Government/USA%20-%20NASA%20Johnson/2012 08 03 - NASA Johnson - ISS Update  Research and Technology Studies (Part 2) -- 08.03.12_ZurKkfSCJJE - transcript (automated).pdf","Transcript Link")</f>
        <v>Transcript Link</v>
      </c>
      <c r="M2712" s="2" t="str">
        <f>HYPERLINK("https://files.afu.se/Downloads/Transcripts/0%20-%20Government/USA%20-%20NASA%20Johnson/2012 08 03 - NASA Johnson - ISS Update  Research and Technology Studies (Part 2) -- 08.03.12_ZurKkfSCJJE - transcript (automated).pdf","Transcript Link")</f>
        <v>Transcript Link</v>
      </c>
    </row>
    <row r="2713" ht="180" spans="1:13">
      <c r="A2713" s="1" t="s">
        <v>11898</v>
      </c>
      <c r="B2713" s="1" t="s">
        <v>13</v>
      </c>
      <c r="C2713" s="4" t="s">
        <v>11903</v>
      </c>
      <c r="D2713" s="1" t="s">
        <v>11904</v>
      </c>
      <c r="E2713" s="1" t="s">
        <v>11905</v>
      </c>
      <c r="F2713" s="4" t="s">
        <v>17</v>
      </c>
      <c r="G2713" s="1" t="s">
        <v>18</v>
      </c>
      <c r="H2713" s="1" t="s">
        <v>19</v>
      </c>
      <c r="I2713" s="1" t="s">
        <v>20</v>
      </c>
      <c r="J2713" s="1" t="s">
        <v>11906</v>
      </c>
      <c r="K2713" s="1" t="s">
        <v>22</v>
      </c>
      <c r="L2713" s="1" t="str">
        <f>HYPERLINK("https://files.afu.se/Downloads/Transcripts/0%20-%20Government/USA%20-%20NASA%20Johnson/2012 08 03 - NASA Johnson - ISS Update  Research and Technology Studies (Part 1) -- 08.03.12_n0mWwqB3rEw - transcript (automated).pdf","Transcript Link")</f>
        <v>Transcript Link</v>
      </c>
      <c r="M2713" s="2" t="str">
        <f>HYPERLINK("https://files.afu.se/Downloads/Transcripts/0%20-%20Government/USA%20-%20NASA%20Johnson/2012 08 03 - NASA Johnson - ISS Update  Research and Technology Studies (Part 1) -- 08.03.12_n0mWwqB3rEw - transcript (automated).pdf","Transcript Link")</f>
        <v>Transcript Link</v>
      </c>
    </row>
    <row r="2714" ht="180" spans="1:13">
      <c r="A2714" s="1" t="s">
        <v>11898</v>
      </c>
      <c r="B2714" s="1" t="s">
        <v>13</v>
      </c>
      <c r="C2714" s="4" t="s">
        <v>11907</v>
      </c>
      <c r="D2714" s="1" t="s">
        <v>11908</v>
      </c>
      <c r="E2714" s="1" t="s">
        <v>11909</v>
      </c>
      <c r="F2714" s="4" t="s">
        <v>17</v>
      </c>
      <c r="G2714" s="1" t="s">
        <v>18</v>
      </c>
      <c r="H2714" s="1" t="s">
        <v>19</v>
      </c>
      <c r="I2714" s="1" t="s">
        <v>20</v>
      </c>
      <c r="J2714" s="1" t="s">
        <v>11910</v>
      </c>
      <c r="K2714" s="1" t="s">
        <v>22</v>
      </c>
      <c r="L2714" s="1" t="str">
        <f>HYPERLINK("https://files.afu.se/Downloads/Transcripts/0%20-%20Government/USA%20-%20NASA%20Johnson/2012 08 03 - NASA Johnson - ISS Update  Weekly Recap for August 3, 2012_QlN71PH8q3w - transcript (automated).pdf","Transcript Link")</f>
        <v>Transcript Link</v>
      </c>
      <c r="M2714" s="2" t="str">
        <f>HYPERLINK("https://files.afu.se/Downloads/Transcripts/0%20-%20Government/USA%20-%20NASA%20Johnson/2012 08 03 - NASA Johnson - ISS Update  Weekly Recap for August 3, 2012_QlN71PH8q3w - transcript (automated).pdf","Transcript Link")</f>
        <v>Transcript Link</v>
      </c>
    </row>
    <row r="2715" ht="180" spans="1:13">
      <c r="A2715" s="1" t="s">
        <v>11911</v>
      </c>
      <c r="B2715" s="1" t="s">
        <v>13</v>
      </c>
      <c r="C2715" s="4" t="s">
        <v>11912</v>
      </c>
      <c r="D2715" s="1" t="s">
        <v>11913</v>
      </c>
      <c r="E2715" s="1" t="s">
        <v>11914</v>
      </c>
      <c r="F2715" s="4" t="s">
        <v>17</v>
      </c>
      <c r="G2715" s="1" t="s">
        <v>18</v>
      </c>
      <c r="H2715" s="1" t="s">
        <v>19</v>
      </c>
      <c r="I2715" s="1" t="s">
        <v>20</v>
      </c>
      <c r="J2715" s="1" t="s">
        <v>11915</v>
      </c>
      <c r="K2715" s="1" t="s">
        <v>22</v>
      </c>
      <c r="L2715" s="1" t="str">
        <f>HYPERLINK("https://files.afu.se/Downloads/Transcripts/0%20-%20Government/USA%20-%20NASA%20Johnson/2012 08 02 - NASA Johnson - ISS Update  Zero Gravity Suit Tests (Part 1) -- 08.02.12_YHvLIl-FV98 - transcript (automated).pdf","Transcript Link")</f>
        <v>Transcript Link</v>
      </c>
      <c r="M2715" s="2" t="str">
        <f>HYPERLINK("https://files.afu.se/Downloads/Transcripts/0%20-%20Government/USA%20-%20NASA%20Johnson/2012 08 02 - NASA Johnson - ISS Update  Zero Gravity Suit Tests (Part 1) -- 08.02.12_YHvLIl-FV98 - transcript (automated).pdf","Transcript Link")</f>
        <v>Transcript Link</v>
      </c>
    </row>
    <row r="2716" ht="180" spans="1:13">
      <c r="A2716" s="1" t="s">
        <v>11911</v>
      </c>
      <c r="B2716" s="1" t="s">
        <v>13</v>
      </c>
      <c r="C2716" s="4" t="s">
        <v>11916</v>
      </c>
      <c r="D2716" s="1" t="s">
        <v>11917</v>
      </c>
      <c r="E2716" s="1" t="s">
        <v>11918</v>
      </c>
      <c r="F2716" s="4" t="s">
        <v>17</v>
      </c>
      <c r="G2716" s="1" t="s">
        <v>18</v>
      </c>
      <c r="H2716" s="1" t="s">
        <v>19</v>
      </c>
      <c r="I2716" s="1" t="s">
        <v>20</v>
      </c>
      <c r="J2716" s="1" t="s">
        <v>11919</v>
      </c>
      <c r="K2716" s="1" t="s">
        <v>22</v>
      </c>
      <c r="L2716" s="1" t="str">
        <f>HYPERLINK("https://files.afu.se/Downloads/Transcripts/0%20-%20Government/USA%20-%20NASA%20Johnson/2012 08 02 - NASA Johnson - ISS Update  Zero Gravity Suit Tests (Part 2) -- 08.02.12_SIILhXOQAvM - transcript (automated).pdf","Transcript Link")</f>
        <v>Transcript Link</v>
      </c>
      <c r="M2716" s="2" t="str">
        <f>HYPERLINK("https://files.afu.se/Downloads/Transcripts/0%20-%20Government/USA%20-%20NASA%20Johnson/2012 08 02 - NASA Johnson - ISS Update  Zero Gravity Suit Tests (Part 2) -- 08.02.12_SIILhXOQAvM - transcript (automated).pdf","Transcript Link")</f>
        <v>Transcript Link</v>
      </c>
    </row>
    <row r="2717" ht="180" spans="1:13">
      <c r="A2717" s="1" t="s">
        <v>11911</v>
      </c>
      <c r="B2717" s="1" t="s">
        <v>13</v>
      </c>
      <c r="C2717" s="4" t="s">
        <v>11920</v>
      </c>
      <c r="D2717" s="1" t="s">
        <v>11921</v>
      </c>
      <c r="E2717" s="1" t="s">
        <v>11922</v>
      </c>
      <c r="F2717" s="4" t="s">
        <v>17</v>
      </c>
      <c r="G2717" s="1" t="s">
        <v>18</v>
      </c>
      <c r="H2717" s="1" t="s">
        <v>19</v>
      </c>
      <c r="I2717" s="1" t="s">
        <v>20</v>
      </c>
      <c r="J2717" s="1" t="s">
        <v>11923</v>
      </c>
      <c r="K2717" s="1" t="s">
        <v>22</v>
      </c>
      <c r="L2717" s="1" t="str">
        <f>HYPERLINK("https://files.afu.se/Downloads/Transcripts/0%20-%20Government/USA%20-%20NASA%20Johnson/2012 08 02 - NASA Johnson - ISS Update - August 2, 2012_W1gzqLUQGrc - transcript (automated).pdf","Transcript Link")</f>
        <v>Transcript Link</v>
      </c>
      <c r="M2717" s="2" t="str">
        <f>HYPERLINK("https://files.afu.se/Downloads/Transcripts/0%20-%20Government/USA%20-%20NASA%20Johnson/2012 08 02 - NASA Johnson - ISS Update - August 2, 2012_W1gzqLUQGrc - transcript (automated).pdf","Transcript Link")</f>
        <v>Transcript Link</v>
      </c>
    </row>
    <row r="2718" ht="255" spans="1:13">
      <c r="A2718" s="1" t="s">
        <v>11911</v>
      </c>
      <c r="B2718" s="1" t="s">
        <v>13</v>
      </c>
      <c r="C2718" s="4" t="s">
        <v>11924</v>
      </c>
      <c r="D2718" s="1" t="s">
        <v>11925</v>
      </c>
      <c r="E2718" s="1" t="s">
        <v>11926</v>
      </c>
      <c r="F2718" s="4" t="s">
        <v>17</v>
      </c>
      <c r="G2718" s="1" t="s">
        <v>18</v>
      </c>
      <c r="H2718" s="1" t="s">
        <v>19</v>
      </c>
      <c r="I2718" s="1" t="s">
        <v>20</v>
      </c>
      <c r="J2718" s="1" t="s">
        <v>11927</v>
      </c>
      <c r="K2718" s="1" t="s">
        <v>22</v>
      </c>
      <c r="L2718" s="1" t="str">
        <f>HYPERLINK("https://files.afu.se/Downloads/Transcripts/0%20-%20Government/USA%20-%20NASA%20Johnson/2012 08 02 - NASA Johnson - Spacecraft Docks Under Six Hours After Launch_pVdE5v2w8Pk - transcript (automated).pdf","Transcript Link")</f>
        <v>Transcript Link</v>
      </c>
      <c r="M2718" s="2" t="str">
        <f>HYPERLINK("https://files.afu.se/Downloads/Transcripts/0%20-%20Government/USA%20-%20NASA%20Johnson/2012 08 02 - NASA Johnson - Spacecraft Docks Under Six Hours After Launch_pVdE5v2w8Pk - transcript (automated).pdf","Transcript Link")</f>
        <v>Transcript Link</v>
      </c>
    </row>
    <row r="2719" ht="180" spans="1:13">
      <c r="A2719" s="1" t="s">
        <v>11928</v>
      </c>
      <c r="B2719" s="1" t="s">
        <v>13</v>
      </c>
      <c r="C2719" s="4" t="s">
        <v>11929</v>
      </c>
      <c r="D2719" s="1" t="s">
        <v>11930</v>
      </c>
      <c r="E2719" s="1" t="s">
        <v>11931</v>
      </c>
      <c r="F2719" s="4" t="s">
        <v>17</v>
      </c>
      <c r="G2719" s="1" t="s">
        <v>18</v>
      </c>
      <c r="H2719" s="1" t="s">
        <v>19</v>
      </c>
      <c r="I2719" s="1" t="s">
        <v>20</v>
      </c>
      <c r="J2719" s="1" t="s">
        <v>11932</v>
      </c>
      <c r="K2719" s="1" t="s">
        <v>22</v>
      </c>
      <c r="L2719" s="1" t="str">
        <f>HYPERLINK("https://files.afu.se/Downloads/Transcripts/0%20-%20Government/USA%20-%20NASA%20Johnson/2012 08 01 - NASA Johnson - ISS Update  Food Technology on a Mission to Mars -- 08.01.12_eXwR0iXC0YU - transcript (automated).pdf","Transcript Link")</f>
        <v>Transcript Link</v>
      </c>
      <c r="M2719" s="2" t="str">
        <f>HYPERLINK("https://files.afu.se/Downloads/Transcripts/0%20-%20Government/USA%20-%20NASA%20Johnson/2012 08 01 - NASA Johnson - ISS Update  Food Technology on a Mission to Mars -- 08.01.12_eXwR0iXC0YU - transcript (automated).pdf","Transcript Link")</f>
        <v>Transcript Link</v>
      </c>
    </row>
    <row r="2720" ht="180" spans="1:13">
      <c r="A2720" s="1" t="s">
        <v>11928</v>
      </c>
      <c r="B2720" s="1" t="s">
        <v>13</v>
      </c>
      <c r="C2720" s="4" t="s">
        <v>11933</v>
      </c>
      <c r="D2720" s="1" t="s">
        <v>11934</v>
      </c>
      <c r="E2720" s="1" t="s">
        <v>11935</v>
      </c>
      <c r="F2720" s="4" t="s">
        <v>17</v>
      </c>
      <c r="G2720" s="1" t="s">
        <v>18</v>
      </c>
      <c r="H2720" s="1" t="s">
        <v>19</v>
      </c>
      <c r="I2720" s="1" t="s">
        <v>20</v>
      </c>
      <c r="J2720" s="1" t="s">
        <v>11936</v>
      </c>
      <c r="K2720" s="1" t="s">
        <v>22</v>
      </c>
      <c r="L2720" s="1" t="str">
        <f>HYPERLINK("https://files.afu.se/Downloads/Transcripts/0%20-%20Government/USA%20-%20NASA%20Johnson/2012 08 01 - NASA Johnson - ISS Update  Progress 48 Launch and Docking -- 08.01.12_Bh-ZoDUXY48 - transcript (automated).pdf","Transcript Link")</f>
        <v>Transcript Link</v>
      </c>
      <c r="M2720" s="2" t="str">
        <f>HYPERLINK("https://files.afu.se/Downloads/Transcripts/0%20-%20Government/USA%20-%20NASA%20Johnson/2012 08 01 - NASA Johnson - ISS Update  Progress 48 Launch and Docking -- 08.01.12_Bh-ZoDUXY48 - transcript (automated).pdf","Transcript Link")</f>
        <v>Transcript Link</v>
      </c>
    </row>
    <row r="2721" ht="180" spans="1:13">
      <c r="A2721" s="1" t="s">
        <v>11928</v>
      </c>
      <c r="B2721" s="1" t="s">
        <v>13</v>
      </c>
      <c r="C2721" s="4" t="s">
        <v>11937</v>
      </c>
      <c r="D2721" s="1" t="s">
        <v>11938</v>
      </c>
      <c r="E2721" s="1" t="s">
        <v>11939</v>
      </c>
      <c r="F2721" s="4" t="s">
        <v>17</v>
      </c>
      <c r="G2721" s="1" t="s">
        <v>18</v>
      </c>
      <c r="H2721" s="1" t="s">
        <v>19</v>
      </c>
      <c r="I2721" s="1" t="s">
        <v>20</v>
      </c>
      <c r="J2721" s="1" t="s">
        <v>11940</v>
      </c>
      <c r="K2721" s="1" t="s">
        <v>22</v>
      </c>
      <c r="L2721" s="1" t="str">
        <f>HYPERLINK("https://files.afu.se/Downloads/Transcripts/0%20-%20Government/USA%20-%20NASA%20Johnson/2012 08 01 - NASA Johnson - ISS Update - August 1, 2012_U-r3HLYvCsQ - transcript (automated).pdf","Transcript Link")</f>
        <v>Transcript Link</v>
      </c>
      <c r="M2721" s="2" t="str">
        <f>HYPERLINK("https://files.afu.se/Downloads/Transcripts/0%20-%20Government/USA%20-%20NASA%20Johnson/2012 08 01 - NASA Johnson - ISS Update - August 1, 2012_U-r3HLYvCsQ - transcript (automated).pdf","Transcript Link")</f>
        <v>Transcript Link</v>
      </c>
    </row>
    <row r="2722" ht="270" spans="1:13">
      <c r="A2722" s="1" t="s">
        <v>11941</v>
      </c>
      <c r="B2722" s="1" t="s">
        <v>13</v>
      </c>
      <c r="C2722" s="4" t="s">
        <v>11942</v>
      </c>
      <c r="D2722" s="1" t="s">
        <v>11943</v>
      </c>
      <c r="E2722" s="1" t="s">
        <v>11944</v>
      </c>
      <c r="F2722" s="4" t="s">
        <v>17</v>
      </c>
      <c r="G2722" s="1" t="s">
        <v>18</v>
      </c>
      <c r="H2722" s="1" t="s">
        <v>19</v>
      </c>
      <c r="I2722" s="1" t="s">
        <v>20</v>
      </c>
      <c r="J2722" s="1" t="s">
        <v>11945</v>
      </c>
      <c r="K2722" s="1" t="s">
        <v>22</v>
      </c>
      <c r="L2722" s="1" t="str">
        <f>HYPERLINK("https://files.afu.se/Downloads/Transcripts/0%20-%20Government/USA%20-%20NASA%20Johnson/2012 07 31 - NASA Johnson - ISS Update  Mars Science Laboratory -- 07.31.12_WSY4W93XVC8 - transcript (automated).pdf","Transcript Link")</f>
        <v>Transcript Link</v>
      </c>
      <c r="M2722" s="2" t="str">
        <f>HYPERLINK("https://files.afu.se/Downloads/Transcripts/0%20-%20Government/USA%20-%20NASA%20Johnson/2012 07 31 - NASA Johnson - ISS Update  Mars Science Laboratory -- 07.31.12_WSY4W93XVC8 - transcript (automated).pdf","Transcript Link")</f>
        <v>Transcript Link</v>
      </c>
    </row>
    <row r="2723" ht="180" spans="1:13">
      <c r="A2723" s="1" t="s">
        <v>11941</v>
      </c>
      <c r="B2723" s="1" t="s">
        <v>13</v>
      </c>
      <c r="C2723" s="4" t="s">
        <v>11946</v>
      </c>
      <c r="D2723" s="1" t="s">
        <v>11947</v>
      </c>
      <c r="E2723" s="1" t="s">
        <v>11948</v>
      </c>
      <c r="F2723" s="4" t="s">
        <v>17</v>
      </c>
      <c r="G2723" s="1" t="s">
        <v>18</v>
      </c>
      <c r="H2723" s="1" t="s">
        <v>19</v>
      </c>
      <c r="I2723" s="1" t="s">
        <v>20</v>
      </c>
      <c r="J2723" s="1" t="s">
        <v>11949</v>
      </c>
      <c r="K2723" s="1" t="s">
        <v>22</v>
      </c>
      <c r="L2723" s="1" t="str">
        <f>HYPERLINK("https://files.afu.se/Downloads/Transcripts/0%20-%20Government/USA%20-%20NASA%20Johnson/2012 07 31 - NASA Johnson - Orion Gets Moved_xXAy-IjCxrw - transcript (automated).pdf","Transcript Link")</f>
        <v>Transcript Link</v>
      </c>
      <c r="M2723" s="2" t="str">
        <f>HYPERLINK("https://files.afu.se/Downloads/Transcripts/0%20-%20Government/USA%20-%20NASA%20Johnson/2012 07 31 - NASA Johnson - Orion Gets Moved_xXAy-IjCxrw - transcript (automated).pdf","Transcript Link")</f>
        <v>Transcript Link</v>
      </c>
    </row>
    <row r="2724" ht="180" spans="1:13">
      <c r="A2724" s="1" t="s">
        <v>11941</v>
      </c>
      <c r="B2724" s="1" t="s">
        <v>13</v>
      </c>
      <c r="C2724" s="4" t="s">
        <v>11950</v>
      </c>
      <c r="D2724" s="1" t="s">
        <v>11951</v>
      </c>
      <c r="E2724" s="1" t="s">
        <v>11952</v>
      </c>
      <c r="F2724" s="4" t="s">
        <v>17</v>
      </c>
      <c r="G2724" s="1" t="s">
        <v>18</v>
      </c>
      <c r="H2724" s="1" t="s">
        <v>19</v>
      </c>
      <c r="I2724" s="1" t="s">
        <v>20</v>
      </c>
      <c r="J2724" s="1" t="s">
        <v>11953</v>
      </c>
      <c r="K2724" s="1" t="s">
        <v>22</v>
      </c>
      <c r="L2724" s="1" t="str">
        <f>HYPERLINK("https://files.afu.se/Downloads/Transcripts/0%20-%20Government/USA%20-%20NASA%20Johnson/2012 07 31 - NASA Johnson - Russian Cargo Craft Final Undocking_eA4JXl7OPOw - transcript (automated).pdf","Transcript Link")</f>
        <v>Transcript Link</v>
      </c>
      <c r="M2724" s="2" t="str">
        <f>HYPERLINK("https://files.afu.se/Downloads/Transcripts/0%20-%20Government/USA%20-%20NASA%20Johnson/2012 07 31 - NASA Johnson - Russian Cargo Craft Final Undocking_eA4JXl7OPOw - transcript (automated).pdf","Transcript Link")</f>
        <v>Transcript Link</v>
      </c>
    </row>
    <row r="2725" ht="180" spans="1:13">
      <c r="A2725" s="1" t="s">
        <v>11941</v>
      </c>
      <c r="B2725" s="1" t="s">
        <v>13</v>
      </c>
      <c r="C2725" s="4" t="s">
        <v>11954</v>
      </c>
      <c r="D2725" s="1" t="s">
        <v>11955</v>
      </c>
      <c r="E2725" s="1" t="s">
        <v>11956</v>
      </c>
      <c r="F2725" s="4" t="s">
        <v>17</v>
      </c>
      <c r="G2725" s="1" t="s">
        <v>18</v>
      </c>
      <c r="H2725" s="1" t="s">
        <v>19</v>
      </c>
      <c r="I2725" s="1" t="s">
        <v>20</v>
      </c>
      <c r="J2725" s="1" t="s">
        <v>11957</v>
      </c>
      <c r="K2725" s="1" t="s">
        <v>22</v>
      </c>
      <c r="L2725" s="1" t="str">
        <f>HYPERLINK("https://files.afu.se/Downloads/Transcripts/0%20-%20Government/USA%20-%20NASA%20Johnson/2012 07 31 - NASA Johnson - ISS Update - July 31, 2012_G95UmbKKKf8 - transcript (automated).pdf","Transcript Link")</f>
        <v>Transcript Link</v>
      </c>
      <c r="M2725" s="2" t="str">
        <f>HYPERLINK("https://files.afu.se/Downloads/Transcripts/0%20-%20Government/USA%20-%20NASA%20Johnson/2012 07 31 - NASA Johnson - ISS Update - July 31, 2012_G95UmbKKKf8 - transcript (automated).pdf","Transcript Link")</f>
        <v>Transcript Link</v>
      </c>
    </row>
    <row r="2726" ht="180" spans="1:13">
      <c r="A2726" s="1" t="s">
        <v>11958</v>
      </c>
      <c r="B2726" s="1" t="s">
        <v>13</v>
      </c>
      <c r="C2726" s="4" t="s">
        <v>11959</v>
      </c>
      <c r="D2726" s="1" t="s">
        <v>11960</v>
      </c>
      <c r="E2726" s="1" t="s">
        <v>11961</v>
      </c>
      <c r="F2726" s="4" t="s">
        <v>17</v>
      </c>
      <c r="G2726" s="1" t="s">
        <v>18</v>
      </c>
      <c r="H2726" s="1" t="s">
        <v>19</v>
      </c>
      <c r="I2726" s="1" t="s">
        <v>20</v>
      </c>
      <c r="J2726" s="1" t="s">
        <v>11962</v>
      </c>
      <c r="K2726" s="1" t="s">
        <v>22</v>
      </c>
      <c r="L2726" s="1" t="str">
        <f>HYPERLINK("https://files.afu.se/Downloads/Transcripts/0%20-%20Government/USA%20-%20NASA%20Johnson/2012 07 30 - NASA Johnson - Science off the Sphere  Astro Puffs_e6Faq1AmISI - transcript (automated).pdf","Transcript Link")</f>
        <v>Transcript Link</v>
      </c>
      <c r="M2726" s="2" t="str">
        <f>HYPERLINK("https://files.afu.se/Downloads/Transcripts/0%20-%20Government/USA%20-%20NASA%20Johnson/2012 07 30 - NASA Johnson - Science off the Sphere  Astro Puffs_e6Faq1AmISI - transcript (automated).pdf","Transcript Link")</f>
        <v>Transcript Link</v>
      </c>
    </row>
    <row r="2727" ht="180" spans="1:13">
      <c r="A2727" s="1" t="s">
        <v>11958</v>
      </c>
      <c r="B2727" s="1" t="s">
        <v>13</v>
      </c>
      <c r="C2727" s="4" t="s">
        <v>11963</v>
      </c>
      <c r="D2727" s="1" t="s">
        <v>11964</v>
      </c>
      <c r="E2727" s="1" t="s">
        <v>11965</v>
      </c>
      <c r="F2727" s="4" t="s">
        <v>17</v>
      </c>
      <c r="G2727" s="1" t="s">
        <v>18</v>
      </c>
      <c r="H2727" s="1" t="s">
        <v>19</v>
      </c>
      <c r="I2727" s="1" t="s">
        <v>20</v>
      </c>
      <c r="J2727" s="1" t="s">
        <v>11966</v>
      </c>
      <c r="K2727" s="1" t="s">
        <v>22</v>
      </c>
      <c r="L2727" s="1" t="str">
        <f>HYPERLINK("https://files.afu.se/Downloads/Transcripts/0%20-%20Government/USA%20-%20NASA%20Johnson/2012 07 30 - NASA Johnson - ISS Update - July 30, 2012_LmNfJVHEIbw - transcript (automated).pdf","Transcript Link")</f>
        <v>Transcript Link</v>
      </c>
      <c r="M2727" s="2" t="str">
        <f>HYPERLINK("https://files.afu.se/Downloads/Transcripts/0%20-%20Government/USA%20-%20NASA%20Johnson/2012 07 30 - NASA Johnson - ISS Update - July 30, 2012_LmNfJVHEIbw - transcript (automated).pdf","Transcript Link")</f>
        <v>Transcript Link</v>
      </c>
    </row>
    <row r="2728" ht="180" spans="1:13">
      <c r="A2728" s="1" t="s">
        <v>11958</v>
      </c>
      <c r="B2728" s="1" t="s">
        <v>13</v>
      </c>
      <c r="C2728" s="4" t="s">
        <v>11967</v>
      </c>
      <c r="D2728" s="1" t="s">
        <v>11968</v>
      </c>
      <c r="E2728" s="1" t="s">
        <v>11969</v>
      </c>
      <c r="F2728" s="4" t="s">
        <v>17</v>
      </c>
      <c r="G2728" s="1" t="s">
        <v>18</v>
      </c>
      <c r="H2728" s="1" t="s">
        <v>19</v>
      </c>
      <c r="I2728" s="1" t="s">
        <v>20</v>
      </c>
      <c r="J2728" s="1" t="s">
        <v>11970</v>
      </c>
      <c r="K2728" s="1" t="s">
        <v>22</v>
      </c>
      <c r="L2728" s="1" t="str">
        <f>HYPERLINK("https://files.afu.se/Downloads/Transcripts/0%20-%20Government/USA%20-%20NASA%20Johnson/2012 07 30 - NASA Johnson - Orion  Exploring Beyond_zQJ_TMdi2xM - transcript (automated).pdf","Transcript Link")</f>
        <v>Transcript Link</v>
      </c>
      <c r="M2728" s="2" t="str">
        <f>HYPERLINK("https://files.afu.se/Downloads/Transcripts/0%20-%20Government/USA%20-%20NASA%20Johnson/2012 07 30 - NASA Johnson - Orion  Exploring Beyond_zQJ_TMdi2xM - transcript (automated).pdf","Transcript Link")</f>
        <v>Transcript Link</v>
      </c>
    </row>
    <row r="2729" ht="180" spans="1:13">
      <c r="A2729" s="1" t="s">
        <v>11971</v>
      </c>
      <c r="B2729" s="1" t="s">
        <v>13</v>
      </c>
      <c r="C2729" s="4" t="s">
        <v>11972</v>
      </c>
      <c r="D2729" s="1" t="s">
        <v>11973</v>
      </c>
      <c r="E2729" s="1" t="s">
        <v>11974</v>
      </c>
      <c r="F2729" s="4" t="s">
        <v>17</v>
      </c>
      <c r="G2729" s="1" t="s">
        <v>18</v>
      </c>
      <c r="H2729" s="1" t="s">
        <v>19</v>
      </c>
      <c r="I2729" s="1" t="s">
        <v>20</v>
      </c>
      <c r="J2729" s="1" t="s">
        <v>11975</v>
      </c>
      <c r="K2729" s="1" t="s">
        <v>22</v>
      </c>
      <c r="L2729" s="1" t="str">
        <f>HYPERLINK("https://files.afu.se/Downloads/Transcripts/0%20-%20Government/USA%20-%20NASA%20Johnson/2012 07 29 - NASA Johnson - ISS Progress 47 Re-docks to Space Station_uSpsjodaKw0 - transcript (automated).pdf","Transcript Link")</f>
        <v>Transcript Link</v>
      </c>
      <c r="M2729" s="2" t="str">
        <f>HYPERLINK("https://files.afu.se/Downloads/Transcripts/0%20-%20Government/USA%20-%20NASA%20Johnson/2012 07 29 - NASA Johnson - ISS Progress 47 Re-docks to Space Station_uSpsjodaKw0 - transcript (automated).pdf","Transcript Link")</f>
        <v>Transcript Link</v>
      </c>
    </row>
    <row r="2730" ht="180" spans="1:13">
      <c r="A2730" s="1" t="s">
        <v>11976</v>
      </c>
      <c r="B2730" s="1" t="s">
        <v>13</v>
      </c>
      <c r="C2730" s="4" t="s">
        <v>11977</v>
      </c>
      <c r="D2730" s="1" t="s">
        <v>11978</v>
      </c>
      <c r="E2730" s="1" t="s">
        <v>11979</v>
      </c>
      <c r="F2730" s="4" t="s">
        <v>17</v>
      </c>
      <c r="G2730" s="1" t="s">
        <v>18</v>
      </c>
      <c r="H2730" s="1" t="s">
        <v>19</v>
      </c>
      <c r="I2730" s="1" t="s">
        <v>20</v>
      </c>
      <c r="J2730" s="1" t="s">
        <v>11980</v>
      </c>
      <c r="K2730" s="1" t="s">
        <v>22</v>
      </c>
      <c r="L2730" s="1" t="str">
        <f>HYPERLINK("https://files.afu.se/Downloads/Transcripts/0%20-%20Government/USA%20-%20NASA%20Johnson/2012 07 26 - NASA Johnson - ISS Update  H-II Transfer Vehicle Activities_sCjfDU5GLLg - transcript (automated).pdf","Transcript Link")</f>
        <v>Transcript Link</v>
      </c>
      <c r="M2730" s="2" t="str">
        <f>HYPERLINK("https://files.afu.se/Downloads/Transcripts/0%20-%20Government/USA%20-%20NASA%20Johnson/2012 07 26 - NASA Johnson - ISS Update  H-II Transfer Vehicle Activities_sCjfDU5GLLg - transcript (automated).pdf","Transcript Link")</f>
        <v>Transcript Link</v>
      </c>
    </row>
    <row r="2731" ht="180" spans="1:13">
      <c r="A2731" s="1" t="s">
        <v>11976</v>
      </c>
      <c r="B2731" s="1" t="s">
        <v>13</v>
      </c>
      <c r="C2731" s="4" t="s">
        <v>11981</v>
      </c>
      <c r="D2731" s="1" t="s">
        <v>11982</v>
      </c>
      <c r="E2731" s="1" t="s">
        <v>11983</v>
      </c>
      <c r="F2731" s="4" t="s">
        <v>17</v>
      </c>
      <c r="G2731" s="1" t="s">
        <v>18</v>
      </c>
      <c r="H2731" s="1" t="s">
        <v>19</v>
      </c>
      <c r="I2731" s="1" t="s">
        <v>20</v>
      </c>
      <c r="J2731" s="1" t="s">
        <v>11984</v>
      </c>
      <c r="K2731" s="1" t="s">
        <v>22</v>
      </c>
      <c r="L2731" s="1" t="str">
        <f>HYPERLINK("https://files.afu.se/Downloads/Transcripts/0%20-%20Government/USA%20-%20NASA%20Johnson/2012 07 26 - NASA Johnson - ISS Update - July 26, 2012_vJXTOnUBTjA - transcript (automated).pdf","Transcript Link")</f>
        <v>Transcript Link</v>
      </c>
      <c r="M2731" s="2" t="str">
        <f>HYPERLINK("https://files.afu.se/Downloads/Transcripts/0%20-%20Government/USA%20-%20NASA%20Johnson/2012 07 26 - NASA Johnson - ISS Update - July 26, 2012_vJXTOnUBTjA - transcript (automated).pdf","Transcript Link")</f>
        <v>Transcript Link</v>
      </c>
    </row>
    <row r="2732" ht="180" spans="1:13">
      <c r="A2732" s="1" t="s">
        <v>11985</v>
      </c>
      <c r="B2732" s="1" t="s">
        <v>13</v>
      </c>
      <c r="C2732" s="4" t="s">
        <v>11986</v>
      </c>
      <c r="D2732" s="1" t="s">
        <v>11987</v>
      </c>
      <c r="E2732" s="1" t="s">
        <v>11988</v>
      </c>
      <c r="F2732" s="4" t="s">
        <v>17</v>
      </c>
      <c r="G2732" s="1" t="s">
        <v>18</v>
      </c>
      <c r="H2732" s="1" t="s">
        <v>19</v>
      </c>
      <c r="I2732" s="1" t="s">
        <v>20</v>
      </c>
      <c r="J2732" s="1" t="s">
        <v>11989</v>
      </c>
      <c r="K2732" s="1" t="s">
        <v>22</v>
      </c>
      <c r="L2732" s="1" t="str">
        <f>HYPERLINK("https://files.afu.se/Downloads/Transcripts/0%20-%20Government/USA%20-%20NASA%20Johnson/2012 07 25 - NASA Johnson - ISS Update - July 25, 2012_T9g1x6HqeRY - transcript (automated).pdf","Transcript Link")</f>
        <v>Transcript Link</v>
      </c>
      <c r="M2732" s="2" t="str">
        <f>HYPERLINK("https://files.afu.se/Downloads/Transcripts/0%20-%20Government/USA%20-%20NASA%20Johnson/2012 07 25 - NASA Johnson - ISS Update - July 25, 2012_T9g1x6HqeRY - transcript (automated).pdf","Transcript Link")</f>
        <v>Transcript Link</v>
      </c>
    </row>
    <row r="2733" ht="180" spans="1:13">
      <c r="A2733" s="1" t="s">
        <v>11990</v>
      </c>
      <c r="B2733" s="1" t="s">
        <v>13</v>
      </c>
      <c r="C2733" s="4" t="s">
        <v>11991</v>
      </c>
      <c r="D2733" s="1" t="s">
        <v>11992</v>
      </c>
      <c r="E2733" s="1" t="s">
        <v>11993</v>
      </c>
      <c r="F2733" s="4" t="s">
        <v>17</v>
      </c>
      <c r="G2733" s="1" t="s">
        <v>18</v>
      </c>
      <c r="H2733" s="1" t="s">
        <v>19</v>
      </c>
      <c r="I2733" s="1" t="s">
        <v>20</v>
      </c>
      <c r="J2733" s="1" t="s">
        <v>11994</v>
      </c>
      <c r="K2733" s="1" t="s">
        <v>22</v>
      </c>
      <c r="L2733" s="1" t="str">
        <f>HYPERLINK("https://files.afu.se/Downloads/Transcripts/0%20-%20Government/USA%20-%20NASA%20Johnson/2012 07 24 - NASA Johnson - ISS Update - July 24, 2012_L2uEOrA28yw - transcript (automated).pdf","Transcript Link")</f>
        <v>Transcript Link</v>
      </c>
      <c r="M2733" s="2" t="str">
        <f>HYPERLINK("https://files.afu.se/Downloads/Transcripts/0%20-%20Government/USA%20-%20NASA%20Johnson/2012 07 24 - NASA Johnson - ISS Update - July 24, 2012_L2uEOrA28yw - transcript (automated).pdf","Transcript Link")</f>
        <v>Transcript Link</v>
      </c>
    </row>
    <row r="2734" ht="180" spans="1:13">
      <c r="A2734" s="1" t="s">
        <v>11995</v>
      </c>
      <c r="B2734" s="1" t="s">
        <v>13</v>
      </c>
      <c r="C2734" s="4" t="s">
        <v>11996</v>
      </c>
      <c r="D2734" s="1" t="s">
        <v>11997</v>
      </c>
      <c r="E2734" s="1" t="s">
        <v>11998</v>
      </c>
      <c r="F2734" s="4" t="s">
        <v>17</v>
      </c>
      <c r="G2734" s="1" t="s">
        <v>18</v>
      </c>
      <c r="H2734" s="1" t="s">
        <v>19</v>
      </c>
      <c r="I2734" s="1" t="s">
        <v>20</v>
      </c>
      <c r="J2734" s="1" t="s">
        <v>11999</v>
      </c>
      <c r="K2734" s="1" t="s">
        <v>22</v>
      </c>
      <c r="L2734" s="1" t="str">
        <f>HYPERLINK("https://files.afu.se/Downloads/Transcripts/0%20-%20Government/USA%20-%20NASA%20Johnson/2012 07 23 - NASA Johnson - Japanese Cargo Craft Heads to Station_XREomzrhC2I - transcript (automated).pdf","Transcript Link")</f>
        <v>Transcript Link</v>
      </c>
      <c r="M2734" s="2" t="str">
        <f>HYPERLINK("https://files.afu.se/Downloads/Transcripts/0%20-%20Government/USA%20-%20NASA%20Johnson/2012 07 23 - NASA Johnson - Japanese Cargo Craft Heads to Station_XREomzrhC2I - transcript (automated).pdf","Transcript Link")</f>
        <v>Transcript Link</v>
      </c>
    </row>
    <row r="2735" ht="180" spans="1:13">
      <c r="A2735" s="1" t="s">
        <v>11995</v>
      </c>
      <c r="B2735" s="1" t="s">
        <v>13</v>
      </c>
      <c r="C2735" s="4" t="s">
        <v>12000</v>
      </c>
      <c r="D2735" s="1" t="s">
        <v>12001</v>
      </c>
      <c r="E2735" s="1" t="s">
        <v>12002</v>
      </c>
      <c r="F2735" s="4" t="s">
        <v>17</v>
      </c>
      <c r="G2735" s="1" t="s">
        <v>18</v>
      </c>
      <c r="H2735" s="1" t="s">
        <v>19</v>
      </c>
      <c r="I2735" s="1" t="s">
        <v>20</v>
      </c>
      <c r="J2735" s="1" t="s">
        <v>12003</v>
      </c>
      <c r="K2735" s="1" t="s">
        <v>22</v>
      </c>
      <c r="L2735" s="1" t="str">
        <f>HYPERLINK("https://files.afu.se/Downloads/Transcripts/0%20-%20Government/USA%20-%20NASA%20Johnson/2012 07 23 - NASA Johnson - ISS Update - July 23, 2012_mUBWQA-Oywc - transcript (automated).pdf","Transcript Link")</f>
        <v>Transcript Link</v>
      </c>
      <c r="M2735" s="2" t="str">
        <f>HYPERLINK("https://files.afu.se/Downloads/Transcripts/0%20-%20Government/USA%20-%20NASA%20Johnson/2012 07 23 - NASA Johnson - ISS Update - July 23, 2012_mUBWQA-Oywc - transcript (automated).pdf","Transcript Link")</f>
        <v>Transcript Link</v>
      </c>
    </row>
    <row r="2736" ht="180" spans="1:13">
      <c r="A2736" s="1" t="s">
        <v>12004</v>
      </c>
      <c r="B2736" s="1" t="s">
        <v>13</v>
      </c>
      <c r="C2736" s="4" t="s">
        <v>12005</v>
      </c>
      <c r="D2736" s="1" t="s">
        <v>12006</v>
      </c>
      <c r="E2736" s="1" t="s">
        <v>12007</v>
      </c>
      <c r="F2736" s="4" t="s">
        <v>17</v>
      </c>
      <c r="G2736" s="1" t="s">
        <v>18</v>
      </c>
      <c r="H2736" s="1" t="s">
        <v>19</v>
      </c>
      <c r="I2736" s="1" t="s">
        <v>20</v>
      </c>
      <c r="J2736" s="1" t="s">
        <v>12008</v>
      </c>
      <c r="K2736" s="1" t="s">
        <v>22</v>
      </c>
      <c r="L2736" s="1" t="str">
        <f>HYPERLINK("https://files.afu.se/Downloads/Transcripts/0%20-%20Government/USA%20-%20NASA%20Johnson/2012 07 22 - NASA Johnson - Progress 47 Undocks From Station_gM_27HhWJTM - transcript (automated).pdf","Transcript Link")</f>
        <v>Transcript Link</v>
      </c>
      <c r="M2736" s="2" t="str">
        <f>HYPERLINK("https://files.afu.se/Downloads/Transcripts/0%20-%20Government/USA%20-%20NASA%20Johnson/2012 07 22 - NASA Johnson - Progress 47 Undocks From Station_gM_27HhWJTM - transcript (automated).pdf","Transcript Link")</f>
        <v>Transcript Link</v>
      </c>
    </row>
    <row r="2737" ht="180" spans="1:13">
      <c r="A2737" s="1" t="s">
        <v>12009</v>
      </c>
      <c r="B2737" s="1" t="s">
        <v>13</v>
      </c>
      <c r="C2737" s="4" t="s">
        <v>12010</v>
      </c>
      <c r="D2737" s="1" t="s">
        <v>12011</v>
      </c>
      <c r="E2737" s="1" t="s">
        <v>12012</v>
      </c>
      <c r="F2737" s="4" t="s">
        <v>17</v>
      </c>
      <c r="G2737" s="1" t="s">
        <v>18</v>
      </c>
      <c r="H2737" s="1" t="s">
        <v>19</v>
      </c>
      <c r="I2737" s="1" t="s">
        <v>20</v>
      </c>
      <c r="J2737" s="1" t="s">
        <v>12013</v>
      </c>
      <c r="K2737" s="1" t="s">
        <v>22</v>
      </c>
      <c r="L2737" s="1" t="str">
        <f>HYPERLINK("https://files.afu.se/Downloads/Transcripts/0%20-%20Government/USA%20-%20NASA%20Johnson/2012 07 20 - NASA Johnson - ISS Update  Science Aboard Kounotori3_GPSUHMPcW6U - transcript (automated).pdf","Transcript Link")</f>
        <v>Transcript Link</v>
      </c>
      <c r="M2737" s="2" t="str">
        <f>HYPERLINK("https://files.afu.se/Downloads/Transcripts/0%20-%20Government/USA%20-%20NASA%20Johnson/2012 07 20 - NASA Johnson - ISS Update  Science Aboard Kounotori3_GPSUHMPcW6U - transcript (automated).pdf","Transcript Link")</f>
        <v>Transcript Link</v>
      </c>
    </row>
    <row r="2738" ht="180" spans="1:13">
      <c r="A2738" s="1" t="s">
        <v>12009</v>
      </c>
      <c r="B2738" s="1" t="s">
        <v>13</v>
      </c>
      <c r="C2738" s="4" t="s">
        <v>12014</v>
      </c>
      <c r="D2738" s="1" t="s">
        <v>12015</v>
      </c>
      <c r="E2738" s="1" t="s">
        <v>12016</v>
      </c>
      <c r="F2738" s="4" t="s">
        <v>17</v>
      </c>
      <c r="G2738" s="1" t="s">
        <v>18</v>
      </c>
      <c r="H2738" s="1" t="s">
        <v>19</v>
      </c>
      <c r="I2738" s="1" t="s">
        <v>20</v>
      </c>
      <c r="J2738" s="1" t="s">
        <v>12017</v>
      </c>
      <c r="K2738" s="1" t="s">
        <v>22</v>
      </c>
      <c r="L2738" s="1" t="str">
        <f>HYPERLINK("https://files.afu.se/Downloads/Transcripts/0%20-%20Government/USA%20-%20NASA%20Johnson/2012 07 20 - NASA Johnson - ISS Update  Weekly Recap for July 20, 2012_XKZgoSKLU4I - transcript (automated).pdf","Transcript Link")</f>
        <v>Transcript Link</v>
      </c>
      <c r="M2738" s="2" t="str">
        <f>HYPERLINK("https://files.afu.se/Downloads/Transcripts/0%20-%20Government/USA%20-%20NASA%20Johnson/2012 07 20 - NASA Johnson - ISS Update  Weekly Recap for July 20, 2012_XKZgoSKLU4I - transcript (automated).pdf","Transcript Link")</f>
        <v>Transcript Link</v>
      </c>
    </row>
    <row r="2739" ht="180" spans="1:13">
      <c r="A2739" s="1" t="s">
        <v>12018</v>
      </c>
      <c r="B2739" s="1" t="s">
        <v>13</v>
      </c>
      <c r="C2739" s="4" t="s">
        <v>12019</v>
      </c>
      <c r="D2739" s="1" t="s">
        <v>12020</v>
      </c>
      <c r="E2739" s="1" t="s">
        <v>12021</v>
      </c>
      <c r="F2739" s="4" t="s">
        <v>17</v>
      </c>
      <c r="G2739" s="1" t="s">
        <v>18</v>
      </c>
      <c r="H2739" s="1" t="s">
        <v>19</v>
      </c>
      <c r="I2739" s="1" t="s">
        <v>20</v>
      </c>
      <c r="J2739" s="1" t="s">
        <v>12022</v>
      </c>
      <c r="K2739" s="1" t="s">
        <v>22</v>
      </c>
      <c r="L2739" s="1" t="str">
        <f>HYPERLINK("https://files.afu.se/Downloads/Transcripts/0%20-%20Government/USA%20-%20NASA%20Johnson/2012 07 19 - NASA Johnson - It Does Take a Rocket Scientist! Stan Love Explains Why Mars is Hard._fturU0u5KJo - transcript (automated).pdf","Transcript Link")</f>
        <v>Transcript Link</v>
      </c>
      <c r="M2739" s="2" t="str">
        <f>HYPERLINK("https://files.afu.se/Downloads/Transcripts/0%20-%20Government/USA%20-%20NASA%20Johnson/2012 07 19 - NASA Johnson - It Does Take a Rocket Scientist! Stan Love Explains Why Mars is Hard._fturU0u5KJo - transcript (automated).pdf","Transcript Link")</f>
        <v>Transcript Link</v>
      </c>
    </row>
    <row r="2740" ht="180" spans="1:13">
      <c r="A2740" s="1" t="s">
        <v>12018</v>
      </c>
      <c r="B2740" s="1" t="s">
        <v>13</v>
      </c>
      <c r="C2740" s="4" t="s">
        <v>12023</v>
      </c>
      <c r="D2740" s="1" t="s">
        <v>12024</v>
      </c>
      <c r="E2740" s="1" t="s">
        <v>12025</v>
      </c>
      <c r="F2740" s="4" t="s">
        <v>17</v>
      </c>
      <c r="G2740" s="1" t="s">
        <v>18</v>
      </c>
      <c r="H2740" s="1" t="s">
        <v>19</v>
      </c>
      <c r="I2740" s="1" t="s">
        <v>20</v>
      </c>
      <c r="J2740" s="1" t="s">
        <v>12026</v>
      </c>
      <c r="K2740" s="1" t="s">
        <v>22</v>
      </c>
      <c r="L2740" s="1" t="str">
        <f>HYPERLINK("https://files.afu.se/Downloads/Transcripts/0%20-%20Government/USA%20-%20NASA%20Johnson/2012 07 19 - NASA Johnson - Students Speak With NASA Astronaut Scott Kelly_ckjF1V3E3wk - transcript (automated).pdf","Transcript Link")</f>
        <v>Transcript Link</v>
      </c>
      <c r="M2740" s="2" t="str">
        <f>HYPERLINK("https://files.afu.se/Downloads/Transcripts/0%20-%20Government/USA%20-%20NASA%20Johnson/2012 07 19 - NASA Johnson - Students Speak With NASA Astronaut Scott Kelly_ckjF1V3E3wk - transcript (automated).pdf","Transcript Link")</f>
        <v>Transcript Link</v>
      </c>
    </row>
    <row r="2741" ht="180" spans="1:13">
      <c r="A2741" s="1" t="s">
        <v>12018</v>
      </c>
      <c r="B2741" s="1" t="s">
        <v>13</v>
      </c>
      <c r="C2741" s="4" t="s">
        <v>12027</v>
      </c>
      <c r="D2741" s="1" t="s">
        <v>12028</v>
      </c>
      <c r="E2741" s="1" t="s">
        <v>12029</v>
      </c>
      <c r="F2741" s="4" t="s">
        <v>17</v>
      </c>
      <c r="G2741" s="1" t="s">
        <v>18</v>
      </c>
      <c r="H2741" s="1" t="s">
        <v>19</v>
      </c>
      <c r="I2741" s="1" t="s">
        <v>20</v>
      </c>
      <c r="J2741" s="1" t="s">
        <v>12030</v>
      </c>
      <c r="K2741" s="1" t="s">
        <v>22</v>
      </c>
      <c r="L2741" s="1" t="str">
        <f>HYPERLINK("https://files.afu.se/Downloads/Transcripts/0%20-%20Government/USA%20-%20NASA%20Johnson/2012 07 19 - NASA Johnson - Science off the Sphere  Spring Theory_hV9rQKbnBEc - transcript (automated).pdf","Transcript Link")</f>
        <v>Transcript Link</v>
      </c>
      <c r="M2741" s="2" t="str">
        <f>HYPERLINK("https://files.afu.se/Downloads/Transcripts/0%20-%20Government/USA%20-%20NASA%20Johnson/2012 07 19 - NASA Johnson - Science off the Sphere  Spring Theory_hV9rQKbnBEc - transcript (automated).pdf","Transcript Link")</f>
        <v>Transcript Link</v>
      </c>
    </row>
    <row r="2742" ht="180" spans="1:13">
      <c r="A2742" s="1" t="s">
        <v>12018</v>
      </c>
      <c r="B2742" s="1" t="s">
        <v>13</v>
      </c>
      <c r="C2742" s="4" t="s">
        <v>12031</v>
      </c>
      <c r="D2742" s="1" t="s">
        <v>12032</v>
      </c>
      <c r="E2742" s="1" t="s">
        <v>12033</v>
      </c>
      <c r="F2742" s="4" t="s">
        <v>17</v>
      </c>
      <c r="G2742" s="1" t="s">
        <v>18</v>
      </c>
      <c r="H2742" s="1" t="s">
        <v>19</v>
      </c>
      <c r="I2742" s="1" t="s">
        <v>20</v>
      </c>
      <c r="J2742" s="1" t="s">
        <v>12034</v>
      </c>
      <c r="K2742" s="1" t="s">
        <v>22</v>
      </c>
      <c r="L2742" s="1" t="str">
        <f>HYPERLINK("https://files.afu.se/Downloads/Transcripts/0%20-%20Government/USA%20-%20NASA%20Johnson/2012 07 19 - NASA Johnson - ISS Update  Testing the Suitport_48PVtI3lJGE - transcript (automated).pdf","Transcript Link")</f>
        <v>Transcript Link</v>
      </c>
      <c r="M2742" s="2" t="str">
        <f>HYPERLINK("https://files.afu.se/Downloads/Transcripts/0%20-%20Government/USA%20-%20NASA%20Johnson/2012 07 19 - NASA Johnson - ISS Update  Testing the Suitport_48PVtI3lJGE - transcript (automated).pdf","Transcript Link")</f>
        <v>Transcript Link</v>
      </c>
    </row>
    <row r="2743" ht="180" spans="1:13">
      <c r="A2743" s="1" t="s">
        <v>12018</v>
      </c>
      <c r="B2743" s="1" t="s">
        <v>13</v>
      </c>
      <c r="C2743" s="4" t="s">
        <v>12035</v>
      </c>
      <c r="D2743" s="1" t="s">
        <v>12036</v>
      </c>
      <c r="E2743" s="1" t="s">
        <v>12037</v>
      </c>
      <c r="F2743" s="4" t="s">
        <v>17</v>
      </c>
      <c r="G2743" s="1" t="s">
        <v>18</v>
      </c>
      <c r="H2743" s="1" t="s">
        <v>19</v>
      </c>
      <c r="I2743" s="1" t="s">
        <v>20</v>
      </c>
      <c r="J2743" s="1" t="s">
        <v>12038</v>
      </c>
      <c r="K2743" s="1" t="s">
        <v>22</v>
      </c>
      <c r="L2743" s="1" t="str">
        <f>HYPERLINK("https://files.afu.se/Downloads/Transcripts/0%20-%20Government/USA%20-%20NASA%20Johnson/2012 07 19 - NASA Johnson - ISS Update - July 19, 2012_sG4AMaGiqog - transcript (automated).pdf","Transcript Link")</f>
        <v>Transcript Link</v>
      </c>
      <c r="M2743" s="2" t="str">
        <f>HYPERLINK("https://files.afu.se/Downloads/Transcripts/0%20-%20Government/USA%20-%20NASA%20Johnson/2012 07 19 - NASA Johnson - ISS Update - July 19, 2012_sG4AMaGiqog - transcript (automated).pdf","Transcript Link")</f>
        <v>Transcript Link</v>
      </c>
    </row>
    <row r="2744" ht="180" spans="1:13">
      <c r="A2744" s="1" t="s">
        <v>12039</v>
      </c>
      <c r="B2744" s="1" t="s">
        <v>13</v>
      </c>
      <c r="C2744" s="4" t="s">
        <v>12040</v>
      </c>
      <c r="D2744" s="1" t="s">
        <v>12041</v>
      </c>
      <c r="E2744" s="1" t="s">
        <v>12042</v>
      </c>
      <c r="F2744" s="4" t="s">
        <v>17</v>
      </c>
      <c r="G2744" s="1" t="s">
        <v>18</v>
      </c>
      <c r="H2744" s="1" t="s">
        <v>19</v>
      </c>
      <c r="I2744" s="1" t="s">
        <v>20</v>
      </c>
      <c r="J2744" s="1" t="s">
        <v>12043</v>
      </c>
      <c r="K2744" s="1" t="s">
        <v>22</v>
      </c>
      <c r="L2744" s="1" t="str">
        <f>HYPERLINK("https://files.afu.se/Downloads/Transcripts/0%20-%20Government/USA%20-%20NASA%20Johnson/2012 07 18 - NASA Johnson - NASA Completes Successful Orion Parachute Test_aYGN1Y2bfIs - transcript (automated).pdf","Transcript Link")</f>
        <v>Transcript Link</v>
      </c>
      <c r="M2744" s="2" t="str">
        <f>HYPERLINK("https://files.afu.se/Downloads/Transcripts/0%20-%20Government/USA%20-%20NASA%20Johnson/2012 07 18 - NASA Johnson - NASA Completes Successful Orion Parachute Test_aYGN1Y2bfIs - transcript (automated).pdf","Transcript Link")</f>
        <v>Transcript Link</v>
      </c>
    </row>
    <row r="2745" ht="409.5" spans="1:13">
      <c r="A2745" s="1" t="s">
        <v>12039</v>
      </c>
      <c r="B2745" s="1" t="s">
        <v>13</v>
      </c>
      <c r="C2745" s="4" t="s">
        <v>12044</v>
      </c>
      <c r="D2745" s="1" t="s">
        <v>12045</v>
      </c>
      <c r="E2745" s="1" t="s">
        <v>12046</v>
      </c>
      <c r="F2745" s="4" t="s">
        <v>17</v>
      </c>
      <c r="G2745" s="1" t="s">
        <v>18</v>
      </c>
      <c r="H2745" s="1" t="s">
        <v>19</v>
      </c>
      <c r="I2745" s="1" t="s">
        <v>20</v>
      </c>
      <c r="J2745" s="1" t="s">
        <v>12047</v>
      </c>
      <c r="K2745" s="1" t="s">
        <v>22</v>
      </c>
      <c r="L2745" s="1" t="str">
        <f>HYPERLINK("https://files.afu.se/Downloads/Transcripts/0%20-%20Government/USA%20-%20NASA%20Johnson/2012 07 18 - NASA Johnson - Orion Parachute Test, July 18_l9Ap8vnd2dQ - transcript (automated).pdf","Transcript Link")</f>
        <v>Transcript Link</v>
      </c>
      <c r="M2745" s="2" t="str">
        <f>HYPERLINK("https://files.afu.se/Downloads/Transcripts/0%20-%20Government/USA%20-%20NASA%20Johnson/2012 07 18 - NASA Johnson - Orion Parachute Test, July 18_l9Ap8vnd2dQ - transcript (automated).pdf","Transcript Link")</f>
        <v>Transcript Link</v>
      </c>
    </row>
    <row r="2746" ht="180" spans="1:13">
      <c r="A2746" s="1" t="s">
        <v>12039</v>
      </c>
      <c r="B2746" s="1" t="s">
        <v>13</v>
      </c>
      <c r="C2746" s="4" t="s">
        <v>12048</v>
      </c>
      <c r="D2746" s="1" t="s">
        <v>12049</v>
      </c>
      <c r="E2746" s="1" t="s">
        <v>12050</v>
      </c>
      <c r="F2746" s="4" t="s">
        <v>17</v>
      </c>
      <c r="G2746" s="1" t="s">
        <v>18</v>
      </c>
      <c r="H2746" s="1" t="s">
        <v>19</v>
      </c>
      <c r="I2746" s="1" t="s">
        <v>20</v>
      </c>
      <c r="J2746" s="1" t="s">
        <v>12051</v>
      </c>
      <c r="K2746" s="1" t="s">
        <v>22</v>
      </c>
      <c r="L2746" s="1" t="str">
        <f>HYPERLINK("https://files.afu.se/Downloads/Transcripts/0%20-%20Government/USA%20-%20NASA%20Johnson/2012 07 18 - NASA Johnson - ISS Update - July 18, 2012_k7XJNGKWF10 - transcript (automated).pdf","Transcript Link")</f>
        <v>Transcript Link</v>
      </c>
      <c r="M2746" s="2" t="str">
        <f>HYPERLINK("https://files.afu.se/Downloads/Transcripts/0%20-%20Government/USA%20-%20NASA%20Johnson/2012 07 18 - NASA Johnson - ISS Update - July 18, 2012_k7XJNGKWF10 - transcript (automated).pdf","Transcript Link")</f>
        <v>Transcript Link</v>
      </c>
    </row>
    <row r="2747" ht="345" spans="1:13">
      <c r="A2747" s="1" t="s">
        <v>12052</v>
      </c>
      <c r="B2747" s="1" t="s">
        <v>13</v>
      </c>
      <c r="C2747" s="4" t="s">
        <v>12053</v>
      </c>
      <c r="D2747" s="1" t="s">
        <v>12054</v>
      </c>
      <c r="E2747" s="1" t="s">
        <v>12055</v>
      </c>
      <c r="F2747" s="4" t="s">
        <v>17</v>
      </c>
      <c r="G2747" s="1" t="s">
        <v>18</v>
      </c>
      <c r="H2747" s="1" t="s">
        <v>19</v>
      </c>
      <c r="I2747" s="1" t="s">
        <v>20</v>
      </c>
      <c r="J2747" s="1" t="s">
        <v>12056</v>
      </c>
      <c r="K2747" s="1" t="s">
        <v>22</v>
      </c>
      <c r="L2747" s="1" t="str">
        <f>HYPERLINK("https://files.afu.se/Downloads/Transcripts/0%20-%20Government/USA%20-%20NASA%20Johnson/2012 07 17 - NASA Johnson - ISS Update  Astronaut Shannon Walker -- 07.17.2012_j4AEXtsJxp4 - transcript (automated).pdf","Transcript Link")</f>
        <v>Transcript Link</v>
      </c>
      <c r="M2747" s="2" t="str">
        <f>HYPERLINK("https://files.afu.se/Downloads/Transcripts/0%20-%20Government/USA%20-%20NASA%20Johnson/2012 07 17 - NASA Johnson - ISS Update  Astronaut Shannon Walker -- 07.17.2012_j4AEXtsJxp4 - transcript (automated).pdf","Transcript Link")</f>
        <v>Transcript Link</v>
      </c>
    </row>
    <row r="2748" ht="180" spans="1:13">
      <c r="A2748" s="1" t="s">
        <v>12052</v>
      </c>
      <c r="B2748" s="1" t="s">
        <v>13</v>
      </c>
      <c r="C2748" s="4" t="s">
        <v>12057</v>
      </c>
      <c r="D2748" s="1" t="s">
        <v>12058</v>
      </c>
      <c r="E2748" s="1" t="s">
        <v>12059</v>
      </c>
      <c r="F2748" s="4" t="s">
        <v>17</v>
      </c>
      <c r="G2748" s="1" t="s">
        <v>18</v>
      </c>
      <c r="H2748" s="1" t="s">
        <v>19</v>
      </c>
      <c r="I2748" s="1" t="s">
        <v>20</v>
      </c>
      <c r="J2748" s="1" t="s">
        <v>12060</v>
      </c>
      <c r="K2748" s="1" t="s">
        <v>22</v>
      </c>
      <c r="L2748" s="1" t="str">
        <f>HYPERLINK("https://files.afu.se/Downloads/Transcripts/0%20-%20Government/USA%20-%20NASA%20Johnson/2012 07 17 - NASA Johnson - ISS Update - July 17, 2012_DoNJwnDlQQ8 - transcript (automated).pdf","Transcript Link")</f>
        <v>Transcript Link</v>
      </c>
      <c r="M2748" s="2" t="str">
        <f>HYPERLINK("https://files.afu.se/Downloads/Transcripts/0%20-%20Government/USA%20-%20NASA%20Johnson/2012 07 17 - NASA Johnson - ISS Update - July 17, 2012_DoNJwnDlQQ8 - transcript (automated).pdf","Transcript Link")</f>
        <v>Transcript Link</v>
      </c>
    </row>
    <row r="2749" ht="180" spans="1:13">
      <c r="A2749" s="1" t="s">
        <v>12052</v>
      </c>
      <c r="B2749" s="1" t="s">
        <v>13</v>
      </c>
      <c r="C2749" s="4" t="s">
        <v>12061</v>
      </c>
      <c r="D2749" s="1" t="s">
        <v>12062</v>
      </c>
      <c r="E2749" s="1" t="s">
        <v>12063</v>
      </c>
      <c r="F2749" s="4" t="s">
        <v>17</v>
      </c>
      <c r="G2749" s="1" t="s">
        <v>18</v>
      </c>
      <c r="H2749" s="1" t="s">
        <v>19</v>
      </c>
      <c r="I2749" s="1" t="s">
        <v>20</v>
      </c>
      <c r="J2749" s="1" t="s">
        <v>12064</v>
      </c>
      <c r="K2749" s="1" t="s">
        <v>22</v>
      </c>
      <c r="L2749" s="1" t="str">
        <f>HYPERLINK("https://files.afu.se/Downloads/Transcripts/0%20-%20Government/USA%20-%20NASA%20Johnson/2012 07 17 - NASA Johnson - Hatches Open, Expedition 32 Expands to Six_66qSNb481rM - transcript (automated).pdf","Transcript Link")</f>
        <v>Transcript Link</v>
      </c>
      <c r="M2749" s="2" t="str">
        <f>HYPERLINK("https://files.afu.se/Downloads/Transcripts/0%20-%20Government/USA%20-%20NASA%20Johnson/2012 07 17 - NASA Johnson - Hatches Open, Expedition 32 Expands to Six_66qSNb481rM - transcript (automated).pdf","Transcript Link")</f>
        <v>Transcript Link</v>
      </c>
    </row>
    <row r="2750" ht="180" spans="1:13">
      <c r="A2750" s="1" t="s">
        <v>12052</v>
      </c>
      <c r="B2750" s="1" t="s">
        <v>13</v>
      </c>
      <c r="C2750" s="4" t="s">
        <v>12065</v>
      </c>
      <c r="D2750" s="1" t="s">
        <v>12066</v>
      </c>
      <c r="E2750" s="1" t="s">
        <v>12067</v>
      </c>
      <c r="F2750" s="4" t="s">
        <v>17</v>
      </c>
      <c r="G2750" s="1" t="s">
        <v>18</v>
      </c>
      <c r="H2750" s="1" t="s">
        <v>19</v>
      </c>
      <c r="I2750" s="1" t="s">
        <v>20</v>
      </c>
      <c r="J2750" s="1" t="s">
        <v>12068</v>
      </c>
      <c r="K2750" s="1" t="s">
        <v>22</v>
      </c>
      <c r="L2750" s="1" t="str">
        <f>HYPERLINK("https://files.afu.se/Downloads/Transcripts/0%20-%20Government/USA%20-%20NASA%20Johnson/2012 07 17 - NASA Johnson - New Expedition 32 Trio Arrives at Station_JvQp2TVsM74 - transcript (automated).pdf","Transcript Link")</f>
        <v>Transcript Link</v>
      </c>
      <c r="M2750" s="2" t="str">
        <f>HYPERLINK("https://files.afu.se/Downloads/Transcripts/0%20-%20Government/USA%20-%20NASA%20Johnson/2012 07 17 - NASA Johnson - New Expedition 32 Trio Arrives at Station_JvQp2TVsM74 - transcript (automated).pdf","Transcript Link")</f>
        <v>Transcript Link</v>
      </c>
    </row>
    <row r="2751" ht="180" spans="1:13">
      <c r="A2751" s="1" t="s">
        <v>12069</v>
      </c>
      <c r="B2751" s="1" t="s">
        <v>13</v>
      </c>
      <c r="C2751" s="4" t="s">
        <v>12070</v>
      </c>
      <c r="D2751" s="1" t="s">
        <v>12071</v>
      </c>
      <c r="E2751" s="1" t="s">
        <v>12072</v>
      </c>
      <c r="F2751" s="4" t="s">
        <v>17</v>
      </c>
      <c r="G2751" s="1" t="s">
        <v>18</v>
      </c>
      <c r="H2751" s="1" t="s">
        <v>19</v>
      </c>
      <c r="I2751" s="1" t="s">
        <v>20</v>
      </c>
      <c r="J2751" s="1" t="s">
        <v>12073</v>
      </c>
      <c r="K2751" s="1" t="s">
        <v>22</v>
      </c>
      <c r="L2751" s="1" t="str">
        <f>HYPERLINK("https://files.afu.se/Downloads/Transcripts/0%20-%20Government/USA%20-%20NASA%20Johnson/2012 07 15 - NASA Johnson - New Expedition 32 Trio Launches to Station_MxMk5q-W92Y - transcript (automated).pdf","Transcript Link")</f>
        <v>Transcript Link</v>
      </c>
      <c r="M2751" s="2" t="str">
        <f>HYPERLINK("https://files.afu.se/Downloads/Transcripts/0%20-%20Government/USA%20-%20NASA%20Johnson/2012 07 15 - NASA Johnson - New Expedition 32 Trio Launches to Station_MxMk5q-W92Y - transcript (automated).pdf","Transcript Link")</f>
        <v>Transcript Link</v>
      </c>
    </row>
    <row r="2752" ht="180" spans="1:13">
      <c r="A2752" s="1" t="s">
        <v>12074</v>
      </c>
      <c r="B2752" s="1" t="s">
        <v>13</v>
      </c>
      <c r="C2752" s="4" t="s">
        <v>12075</v>
      </c>
      <c r="D2752" s="1" t="s">
        <v>12076</v>
      </c>
      <c r="E2752" s="1" t="s">
        <v>12077</v>
      </c>
      <c r="F2752" s="4" t="s">
        <v>17</v>
      </c>
      <c r="G2752" s="1" t="s">
        <v>18</v>
      </c>
      <c r="H2752" s="1" t="s">
        <v>19</v>
      </c>
      <c r="I2752" s="1" t="s">
        <v>20</v>
      </c>
      <c r="J2752" s="1" t="s">
        <v>12078</v>
      </c>
      <c r="K2752" s="1" t="s">
        <v>22</v>
      </c>
      <c r="L2752" s="1" t="str">
        <f>HYPERLINK("https://files.afu.se/Downloads/Transcripts/0%20-%20Government/USA%20-%20NASA%20Johnson/2012 07 13 - NASA Johnson - ISS Update - Weekly Recap for July 9, 2012_P0H2Qhzv5vs - transcript (automated).pdf","Transcript Link")</f>
        <v>Transcript Link</v>
      </c>
      <c r="M2752" s="2" t="str">
        <f>HYPERLINK("https://files.afu.se/Downloads/Transcripts/0%20-%20Government/USA%20-%20NASA%20Johnson/2012 07 13 - NASA Johnson - ISS Update - Weekly Recap for July 9, 2012_P0H2Qhzv5vs - transcript (automated).pdf","Transcript Link")</f>
        <v>Transcript Link</v>
      </c>
    </row>
    <row r="2753" ht="180" spans="1:13">
      <c r="A2753" s="1" t="s">
        <v>12079</v>
      </c>
      <c r="B2753" s="1" t="s">
        <v>13</v>
      </c>
      <c r="C2753" s="4" t="s">
        <v>12080</v>
      </c>
      <c r="D2753" s="1" t="s">
        <v>12081</v>
      </c>
      <c r="E2753" s="1" t="s">
        <v>12082</v>
      </c>
      <c r="F2753" s="4" t="s">
        <v>17</v>
      </c>
      <c r="G2753" s="1" t="s">
        <v>18</v>
      </c>
      <c r="H2753" s="1" t="s">
        <v>19</v>
      </c>
      <c r="I2753" s="1" t="s">
        <v>20</v>
      </c>
      <c r="J2753" s="1" t="s">
        <v>12083</v>
      </c>
      <c r="K2753" s="1" t="s">
        <v>22</v>
      </c>
      <c r="L2753" s="1" t="str">
        <f>HYPERLINK("https://files.afu.se/Downloads/Transcripts/0%20-%20Government/USA%20-%20NASA%20Johnson/2012 07 12 - NASA Johnson - NASA Cribs with Astronaut Mike Fincke_VWeucf-BjSU - transcript (automated).pdf","Transcript Link")</f>
        <v>Transcript Link</v>
      </c>
      <c r="M2753" s="2" t="str">
        <f>HYPERLINK("https://files.afu.se/Downloads/Transcripts/0%20-%20Government/USA%20-%20NASA%20Johnson/2012 07 12 - NASA Johnson - NASA Cribs with Astronaut Mike Fincke_VWeucf-BjSU - transcript (automated).pdf","Transcript Link")</f>
        <v>Transcript Link</v>
      </c>
    </row>
    <row r="2754" ht="180" spans="1:13">
      <c r="A2754" s="1" t="s">
        <v>12079</v>
      </c>
      <c r="B2754" s="1" t="s">
        <v>13</v>
      </c>
      <c r="C2754" s="4" t="s">
        <v>12084</v>
      </c>
      <c r="D2754" s="1" t="s">
        <v>12085</v>
      </c>
      <c r="E2754" s="1" t="s">
        <v>12086</v>
      </c>
      <c r="F2754" s="4" t="s">
        <v>17</v>
      </c>
      <c r="G2754" s="1" t="s">
        <v>18</v>
      </c>
      <c r="H2754" s="1" t="s">
        <v>19</v>
      </c>
      <c r="I2754" s="1" t="s">
        <v>20</v>
      </c>
      <c r="J2754" s="1" t="s">
        <v>12087</v>
      </c>
      <c r="K2754" s="1" t="s">
        <v>22</v>
      </c>
      <c r="L2754" s="1" t="str">
        <f>HYPERLINK("https://files.afu.se/Downloads/Transcripts/0%20-%20Government/USA%20-%20NASA%20Johnson/2012 07 12 - NASA Johnson - ISS Update - July 12, 2012_h-IYHJhQolk - transcript (automated).pdf","Transcript Link")</f>
        <v>Transcript Link</v>
      </c>
      <c r="M2754" s="2" t="str">
        <f>HYPERLINK("https://files.afu.se/Downloads/Transcripts/0%20-%20Government/USA%20-%20NASA%20Johnson/2012 07 12 - NASA Johnson - ISS Update - July 12, 2012_h-IYHJhQolk - transcript (automated).pdf","Transcript Link")</f>
        <v>Transcript Link</v>
      </c>
    </row>
    <row r="2755" ht="330" spans="1:13">
      <c r="A2755" s="1" t="s">
        <v>12088</v>
      </c>
      <c r="B2755" s="1" t="s">
        <v>13</v>
      </c>
      <c r="C2755" s="4" t="s">
        <v>12089</v>
      </c>
      <c r="D2755" s="1" t="s">
        <v>12090</v>
      </c>
      <c r="E2755" s="1" t="s">
        <v>12091</v>
      </c>
      <c r="F2755" s="4" t="s">
        <v>17</v>
      </c>
      <c r="G2755" s="1" t="s">
        <v>18</v>
      </c>
      <c r="H2755" s="1" t="s">
        <v>19</v>
      </c>
      <c r="I2755" s="1" t="s">
        <v>20</v>
      </c>
      <c r="J2755" s="1" t="s">
        <v>12092</v>
      </c>
      <c r="K2755" s="1" t="s">
        <v>22</v>
      </c>
      <c r="L2755" s="1" t="str">
        <f>HYPERLINK("https://files.afu.se/Downloads/Transcripts/0%20-%20Government/USA%20-%20NASA%20Johnson/2012 07 11 - NASA Johnson - ISS Update  Astronaut Mike Fossum_sLXvw-hIpsQ - transcript (automated).pdf","Transcript Link")</f>
        <v>Transcript Link</v>
      </c>
      <c r="M2755" s="2" t="str">
        <f>HYPERLINK("https://files.afu.se/Downloads/Transcripts/0%20-%20Government/USA%20-%20NASA%20Johnson/2012 07 11 - NASA Johnson - ISS Update  Astronaut Mike Fossum_sLXvw-hIpsQ - transcript (automated).pdf","Transcript Link")</f>
        <v>Transcript Link</v>
      </c>
    </row>
    <row r="2756" ht="180" spans="1:13">
      <c r="A2756" s="1" t="s">
        <v>12088</v>
      </c>
      <c r="B2756" s="1" t="s">
        <v>13</v>
      </c>
      <c r="C2756" s="4" t="s">
        <v>12093</v>
      </c>
      <c r="D2756" s="1" t="s">
        <v>12094</v>
      </c>
      <c r="E2756" s="1" t="s">
        <v>12095</v>
      </c>
      <c r="F2756" s="4" t="s">
        <v>17</v>
      </c>
      <c r="G2756" s="1" t="s">
        <v>18</v>
      </c>
      <c r="H2756" s="1" t="s">
        <v>19</v>
      </c>
      <c r="I2756" s="1" t="s">
        <v>20</v>
      </c>
      <c r="J2756" s="1" t="s">
        <v>12096</v>
      </c>
      <c r="K2756" s="1" t="s">
        <v>22</v>
      </c>
      <c r="L2756" s="1" t="str">
        <f>HYPERLINK("https://files.afu.se/Downloads/Transcripts/0%20-%20Government/USA%20-%20NASA%20Johnson/2012 07 11 - NASA Johnson - Soyuz TMA-05M Spacecraft Mating_MZCtSqx_LXk - transcript (automated).pdf","Transcript Link")</f>
        <v>Transcript Link</v>
      </c>
      <c r="M2756" s="2" t="str">
        <f>HYPERLINK("https://files.afu.se/Downloads/Transcripts/0%20-%20Government/USA%20-%20NASA%20Johnson/2012 07 11 - NASA Johnson - Soyuz TMA-05M Spacecraft Mating_MZCtSqx_LXk - transcript (automated).pdf","Transcript Link")</f>
        <v>Transcript Link</v>
      </c>
    </row>
    <row r="2757" ht="180" spans="1:13">
      <c r="A2757" s="1" t="s">
        <v>12088</v>
      </c>
      <c r="B2757" s="1" t="s">
        <v>13</v>
      </c>
      <c r="C2757" s="4" t="s">
        <v>12097</v>
      </c>
      <c r="D2757" s="1" t="s">
        <v>12098</v>
      </c>
      <c r="E2757" s="1" t="s">
        <v>12099</v>
      </c>
      <c r="F2757" s="4" t="s">
        <v>17</v>
      </c>
      <c r="G2757" s="1" t="s">
        <v>18</v>
      </c>
      <c r="H2757" s="1" t="s">
        <v>19</v>
      </c>
      <c r="I2757" s="1" t="s">
        <v>20</v>
      </c>
      <c r="J2757" s="1" t="s">
        <v>12100</v>
      </c>
      <c r="K2757" s="1" t="s">
        <v>22</v>
      </c>
      <c r="L2757" s="1" t="str">
        <f>HYPERLINK("https://files.afu.se/Downloads/Transcripts/0%20-%20Government/USA%20-%20NASA%20Johnson/2012 07 11 - NASA Johnson - Joe Acaba Speaks with WISH Students_igM-2qegJWo - transcript (automated).pdf","Transcript Link")</f>
        <v>Transcript Link</v>
      </c>
      <c r="M2757" s="2" t="str">
        <f>HYPERLINK("https://files.afu.se/Downloads/Transcripts/0%20-%20Government/USA%20-%20NASA%20Johnson/2012 07 11 - NASA Johnson - Joe Acaba Speaks with WISH Students_igM-2qegJWo - transcript (automated).pdf","Transcript Link")</f>
        <v>Transcript Link</v>
      </c>
    </row>
    <row r="2758" ht="180" spans="1:13">
      <c r="A2758" s="1" t="s">
        <v>12088</v>
      </c>
      <c r="B2758" s="1" t="s">
        <v>13</v>
      </c>
      <c r="C2758" s="4" t="s">
        <v>12101</v>
      </c>
      <c r="D2758" s="1" t="s">
        <v>12102</v>
      </c>
      <c r="E2758" s="1" t="s">
        <v>12103</v>
      </c>
      <c r="F2758" s="4" t="s">
        <v>17</v>
      </c>
      <c r="G2758" s="1" t="s">
        <v>18</v>
      </c>
      <c r="H2758" s="1" t="s">
        <v>19</v>
      </c>
      <c r="I2758" s="1" t="s">
        <v>20</v>
      </c>
      <c r="J2758" s="1" t="s">
        <v>12104</v>
      </c>
      <c r="K2758" s="1" t="s">
        <v>22</v>
      </c>
      <c r="L2758" s="1" t="str">
        <f>HYPERLINK("https://files.afu.se/Downloads/Transcripts/0%20-%20Government/USA%20-%20NASA%20Johnson/2012 07 11 - NASA Johnson - ISS Update  Attitude Determination and Control Officer_to04NU9eCNg - transcript (automated).pdf","Transcript Link")</f>
        <v>Transcript Link</v>
      </c>
      <c r="M2758" s="2" t="str">
        <f>HYPERLINK("https://files.afu.se/Downloads/Transcripts/0%20-%20Government/USA%20-%20NASA%20Johnson/2012 07 11 - NASA Johnson - ISS Update  Attitude Determination and Control Officer_to04NU9eCNg - transcript (automated).pdf","Transcript Link")</f>
        <v>Transcript Link</v>
      </c>
    </row>
    <row r="2759" ht="180" spans="1:13">
      <c r="A2759" s="1" t="s">
        <v>12088</v>
      </c>
      <c r="B2759" s="1" t="s">
        <v>13</v>
      </c>
      <c r="C2759" s="4" t="s">
        <v>12105</v>
      </c>
      <c r="D2759" s="1" t="s">
        <v>12106</v>
      </c>
      <c r="E2759" s="1" t="s">
        <v>12107</v>
      </c>
      <c r="F2759" s="4" t="s">
        <v>17</v>
      </c>
      <c r="G2759" s="1" t="s">
        <v>18</v>
      </c>
      <c r="H2759" s="1" t="s">
        <v>19</v>
      </c>
      <c r="I2759" s="1" t="s">
        <v>20</v>
      </c>
      <c r="J2759" s="1" t="s">
        <v>12108</v>
      </c>
      <c r="K2759" s="1" t="s">
        <v>22</v>
      </c>
      <c r="L2759" s="1" t="str">
        <f>HYPERLINK("https://files.afu.se/Downloads/Transcripts/0%20-%20Government/USA%20-%20NASA%20Johnson/2012 07 11 - NASA Johnson - ISS Update - July 11, 2012_M3g_WPsAeQY - transcript (automated).pdf","Transcript Link")</f>
        <v>Transcript Link</v>
      </c>
      <c r="M2759" s="2" t="str">
        <f>HYPERLINK("https://files.afu.se/Downloads/Transcripts/0%20-%20Government/USA%20-%20NASA%20Johnson/2012 07 11 - NASA Johnson - ISS Update - July 11, 2012_M3g_WPsAeQY - transcript (automated).pdf","Transcript Link")</f>
        <v>Transcript Link</v>
      </c>
    </row>
    <row r="2760" ht="180" spans="1:13">
      <c r="A2760" s="1" t="s">
        <v>12109</v>
      </c>
      <c r="B2760" s="1" t="s">
        <v>13</v>
      </c>
      <c r="C2760" s="4" t="s">
        <v>12110</v>
      </c>
      <c r="D2760" s="1" t="s">
        <v>12111</v>
      </c>
      <c r="E2760" s="1" t="s">
        <v>12112</v>
      </c>
      <c r="F2760" s="4" t="s">
        <v>17</v>
      </c>
      <c r="G2760" s="1" t="s">
        <v>18</v>
      </c>
      <c r="H2760" s="1" t="s">
        <v>19</v>
      </c>
      <c r="I2760" s="1" t="s">
        <v>20</v>
      </c>
      <c r="J2760" s="1" t="s">
        <v>12113</v>
      </c>
      <c r="K2760" s="1" t="s">
        <v>22</v>
      </c>
      <c r="L2760" s="1" t="str">
        <f>HYPERLINK("https://files.afu.se/Downloads/Transcripts/0%20-%20Government/USA%20-%20NASA%20Johnson/2012 07 10 - NASA Johnson - ISS Update - July 10, 2012_v3hiGch1FRM - transcript (automated).pdf","Transcript Link")</f>
        <v>Transcript Link</v>
      </c>
      <c r="M2760" s="2" t="str">
        <f>HYPERLINK("https://files.afu.se/Downloads/Transcripts/0%20-%20Government/USA%20-%20NASA%20Johnson/2012 07 10 - NASA Johnson - ISS Update - July 10, 2012_v3hiGch1FRM - transcript (automated).pdf","Transcript Link")</f>
        <v>Transcript Link</v>
      </c>
    </row>
    <row r="2761" ht="180" spans="1:13">
      <c r="A2761" s="1" t="s">
        <v>12114</v>
      </c>
      <c r="B2761" s="1" t="s">
        <v>13</v>
      </c>
      <c r="C2761" s="4" t="s">
        <v>12115</v>
      </c>
      <c r="D2761" s="1" t="s">
        <v>12116</v>
      </c>
      <c r="E2761" s="1" t="s">
        <v>12117</v>
      </c>
      <c r="F2761" s="4" t="s">
        <v>17</v>
      </c>
      <c r="G2761" s="1" t="s">
        <v>18</v>
      </c>
      <c r="H2761" s="1" t="s">
        <v>19</v>
      </c>
      <c r="I2761" s="1" t="s">
        <v>20</v>
      </c>
      <c r="J2761" s="1" t="s">
        <v>12118</v>
      </c>
      <c r="K2761" s="1" t="s">
        <v>22</v>
      </c>
      <c r="L2761" s="1" t="str">
        <f>HYPERLINK("https://files.afu.se/Downloads/Transcripts/0%20-%20Government/USA%20-%20NASA%20Johnson/2012 07 09 - NASA Johnson - ISS Update - July 9, 2012_-ttFW4MEjhg - transcript (automated).pdf","Transcript Link")</f>
        <v>Transcript Link</v>
      </c>
      <c r="M2761" s="2" t="str">
        <f>HYPERLINK("https://files.afu.se/Downloads/Transcripts/0%20-%20Government/USA%20-%20NASA%20Johnson/2012 07 09 - NASA Johnson - ISS Update - July 9, 2012_-ttFW4MEjhg - transcript (automated).pdf","Transcript Link")</f>
        <v>Transcript Link</v>
      </c>
    </row>
    <row r="2762" ht="180" spans="1:13">
      <c r="A2762" s="1" t="s">
        <v>12119</v>
      </c>
      <c r="B2762" s="1" t="s">
        <v>13</v>
      </c>
      <c r="C2762" s="4" t="s">
        <v>12120</v>
      </c>
      <c r="D2762" s="1" t="s">
        <v>12121</v>
      </c>
      <c r="E2762" s="1" t="s">
        <v>12122</v>
      </c>
      <c r="F2762" s="4" t="s">
        <v>17</v>
      </c>
      <c r="G2762" s="1" t="s">
        <v>18</v>
      </c>
      <c r="H2762" s="1" t="s">
        <v>19</v>
      </c>
      <c r="I2762" s="1" t="s">
        <v>20</v>
      </c>
      <c r="J2762" s="1" t="s">
        <v>12123</v>
      </c>
      <c r="K2762" s="1" t="s">
        <v>22</v>
      </c>
      <c r="L2762" s="1" t="str">
        <f>HYPERLINK("https://files.afu.se/Downloads/Transcripts/0%20-%20Government/USA%20-%20NASA%20Johnson/2012 07 06 - NASA Johnson - ISS Update - Weekly Recap for July 2, 2012_XcKq3YjQSXE - transcript (automated).pdf","Transcript Link")</f>
        <v>Transcript Link</v>
      </c>
      <c r="M2762" s="2" t="str">
        <f>HYPERLINK("https://files.afu.se/Downloads/Transcripts/0%20-%20Government/USA%20-%20NASA%20Johnson/2012 07 06 - NASA Johnson - ISS Update - Weekly Recap for July 2, 2012_XcKq3YjQSXE - transcript (automated).pdf","Transcript Link")</f>
        <v>Transcript Link</v>
      </c>
    </row>
    <row r="2763" ht="180" spans="1:13">
      <c r="A2763" s="1" t="s">
        <v>12124</v>
      </c>
      <c r="B2763" s="1" t="s">
        <v>13</v>
      </c>
      <c r="C2763" s="4" t="s">
        <v>12125</v>
      </c>
      <c r="D2763" s="1" t="s">
        <v>12126</v>
      </c>
      <c r="E2763" s="1" t="s">
        <v>12127</v>
      </c>
      <c r="F2763" s="4" t="s">
        <v>17</v>
      </c>
      <c r="G2763" s="1" t="s">
        <v>18</v>
      </c>
      <c r="H2763" s="1" t="s">
        <v>19</v>
      </c>
      <c r="I2763" s="1" t="s">
        <v>20</v>
      </c>
      <c r="J2763" s="1" t="s">
        <v>12128</v>
      </c>
      <c r="K2763" s="1" t="s">
        <v>22</v>
      </c>
      <c r="L2763" s="1" t="str">
        <f>HYPERLINK("https://files.afu.se/Downloads/Transcripts/0%20-%20Government/USA%20-%20NASA%20Johnson/2012 07 05 - NASA Johnson - ISS Update - July 5, 2012_PSvDg6PRSd8 - transcript (automated).pdf","Transcript Link")</f>
        <v>Transcript Link</v>
      </c>
      <c r="M2763" s="2" t="str">
        <f>HYPERLINK("https://files.afu.se/Downloads/Transcripts/0%20-%20Government/USA%20-%20NASA%20Johnson/2012 07 05 - NASA Johnson - ISS Update - July 5, 2012_PSvDg6PRSd8 - transcript (automated).pdf","Transcript Link")</f>
        <v>Transcript Link</v>
      </c>
    </row>
    <row r="2764" ht="180" spans="1:13">
      <c r="A2764" s="1" t="s">
        <v>12124</v>
      </c>
      <c r="B2764" s="1" t="s">
        <v>13</v>
      </c>
      <c r="C2764" s="4" t="s">
        <v>12129</v>
      </c>
      <c r="D2764" s="1" t="s">
        <v>12130</v>
      </c>
      <c r="E2764" s="1" t="s">
        <v>12131</v>
      </c>
      <c r="F2764" s="4" t="s">
        <v>17</v>
      </c>
      <c r="G2764" s="1" t="s">
        <v>18</v>
      </c>
      <c r="H2764" s="1" t="s">
        <v>19</v>
      </c>
      <c r="I2764" s="1" t="s">
        <v>20</v>
      </c>
      <c r="J2764" s="1" t="s">
        <v>12132</v>
      </c>
      <c r="K2764" s="1" t="s">
        <v>22</v>
      </c>
      <c r="L2764" s="1" t="str">
        <f>HYPERLINK("https://files.afu.se/Downloads/Transcripts/0%20-%20Government/USA%20-%20NASA%20Johnson/2012 07 05 - NASA Johnson - Morpheus Tether Test %2317_pP8D5M7-enk - transcript (automated).pdf","Transcript Link")</f>
        <v>Transcript Link</v>
      </c>
      <c r="M2764" s="2" t="str">
        <f>HYPERLINK("https://files.afu.se/Downloads/Transcripts/0%20-%20Government/USA%20-%20NASA%20Johnson/2012 07 05 - NASA Johnson - Morpheus Tether Test %2317_pP8D5M7-enk - transcript (automated).pdf","Transcript Link")</f>
        <v>Transcript Link</v>
      </c>
    </row>
    <row r="2765" ht="180" spans="1:13">
      <c r="A2765" s="1" t="s">
        <v>12124</v>
      </c>
      <c r="B2765" s="1" t="s">
        <v>13</v>
      </c>
      <c r="C2765" s="4" t="s">
        <v>12133</v>
      </c>
      <c r="D2765" s="1" t="s">
        <v>12134</v>
      </c>
      <c r="E2765" s="1" t="s">
        <v>12135</v>
      </c>
      <c r="F2765" s="4" t="s">
        <v>17</v>
      </c>
      <c r="G2765" s="1" t="s">
        <v>18</v>
      </c>
      <c r="H2765" s="1" t="s">
        <v>19</v>
      </c>
      <c r="I2765" s="1" t="s">
        <v>20</v>
      </c>
      <c r="J2765" s="1" t="s">
        <v>12136</v>
      </c>
      <c r="K2765" s="1" t="s">
        <v>22</v>
      </c>
      <c r="L2765" s="1" t="str">
        <f>HYPERLINK("https://files.afu.se/Downloads/Transcripts/0%20-%20Government/USA%20-%20NASA%20Johnson/2012 07 05 - NASA Johnson - Morpheus Tether Test %2316_QDBsq5kWwiA - transcript (automated).pdf","Transcript Link")</f>
        <v>Transcript Link</v>
      </c>
      <c r="M2765" s="2" t="str">
        <f>HYPERLINK("https://files.afu.se/Downloads/Transcripts/0%20-%20Government/USA%20-%20NASA%20Johnson/2012 07 05 - NASA Johnson - Morpheus Tether Test %2316_QDBsq5kWwiA - transcript (automated).pdf","Transcript Link")</f>
        <v>Transcript Link</v>
      </c>
    </row>
    <row r="2766" ht="180" spans="1:13">
      <c r="A2766" s="1" t="s">
        <v>12124</v>
      </c>
      <c r="B2766" s="1" t="s">
        <v>13</v>
      </c>
      <c r="C2766" s="4" t="s">
        <v>12137</v>
      </c>
      <c r="D2766" s="1" t="s">
        <v>12138</v>
      </c>
      <c r="E2766" s="1" t="s">
        <v>12139</v>
      </c>
      <c r="F2766" s="4" t="s">
        <v>17</v>
      </c>
      <c r="G2766" s="1" t="s">
        <v>18</v>
      </c>
      <c r="H2766" s="1" t="s">
        <v>19</v>
      </c>
      <c r="I2766" s="1" t="s">
        <v>20</v>
      </c>
      <c r="J2766" s="1" t="s">
        <v>12140</v>
      </c>
      <c r="K2766" s="1" t="s">
        <v>22</v>
      </c>
      <c r="L2766" s="1" t="str">
        <f>HYPERLINK("https://files.afu.se/Downloads/Transcripts/0%20-%20Government/USA%20-%20NASA%20Johnson/2012 07 05 - NASA Johnson - ALHAT Integration and Testing_nvLKAFDPaBM - transcript (automated).pdf","Transcript Link")</f>
        <v>Transcript Link</v>
      </c>
      <c r="M2766" s="2" t="str">
        <f>HYPERLINK("https://files.afu.se/Downloads/Transcripts/0%20-%20Government/USA%20-%20NASA%20Johnson/2012 07 05 - NASA Johnson - ALHAT Integration and Testing_nvLKAFDPaBM - transcript (automated).pdf","Transcript Link")</f>
        <v>Transcript Link</v>
      </c>
    </row>
    <row r="2767" ht="180" spans="1:13">
      <c r="A2767" s="1" t="s">
        <v>12141</v>
      </c>
      <c r="B2767" s="1" t="s">
        <v>13</v>
      </c>
      <c r="C2767" s="4" t="s">
        <v>12142</v>
      </c>
      <c r="D2767" s="1" t="s">
        <v>12143</v>
      </c>
      <c r="E2767" s="1" t="s">
        <v>12144</v>
      </c>
      <c r="F2767" s="4" t="s">
        <v>17</v>
      </c>
      <c r="G2767" s="1" t="s">
        <v>18</v>
      </c>
      <c r="H2767" s="1" t="s">
        <v>19</v>
      </c>
      <c r="I2767" s="1" t="s">
        <v>20</v>
      </c>
      <c r="J2767" s="1" t="s">
        <v>12145</v>
      </c>
      <c r="K2767" s="1" t="s">
        <v>22</v>
      </c>
      <c r="L2767" s="1" t="str">
        <f>HYPERLINK("https://files.afu.se/Downloads/Transcripts/0%20-%20Government/USA%20-%20NASA%20Johnson/2012 07 03 - NASA Johnson - A Shoutout from Dottie Metcalf-Lindenburger, NASA Astronaut_o_ynJ8UvC-E - transcript (automated).pdf","Transcript Link")</f>
        <v>Transcript Link</v>
      </c>
      <c r="M2767" s="2" t="str">
        <f>HYPERLINK("https://files.afu.se/Downloads/Transcripts/0%20-%20Government/USA%20-%20NASA%20Johnson/2012 07 03 - NASA Johnson - A Shoutout from Dottie Metcalf-Lindenburger, NASA Astronaut_o_ynJ8UvC-E - transcript (automated).pdf","Transcript Link")</f>
        <v>Transcript Link</v>
      </c>
    </row>
    <row r="2768" ht="180" spans="1:13">
      <c r="A2768" s="1" t="s">
        <v>12141</v>
      </c>
      <c r="B2768" s="1" t="s">
        <v>13</v>
      </c>
      <c r="C2768" s="4" t="s">
        <v>12146</v>
      </c>
      <c r="D2768" s="1" t="s">
        <v>12147</v>
      </c>
      <c r="E2768" s="1" t="s">
        <v>12148</v>
      </c>
      <c r="F2768" s="4" t="s">
        <v>17</v>
      </c>
      <c r="G2768" s="1" t="s">
        <v>18</v>
      </c>
      <c r="H2768" s="1" t="s">
        <v>19</v>
      </c>
      <c r="I2768" s="1" t="s">
        <v>20</v>
      </c>
      <c r="J2768" s="1" t="s">
        <v>12149</v>
      </c>
      <c r="K2768" s="1" t="s">
        <v>22</v>
      </c>
      <c r="L2768" s="1" t="str">
        <f>HYPERLINK("https://files.afu.se/Downloads/Transcripts/0%20-%20Government/USA%20-%20NASA%20Johnson/2012 07 03 - NASA Johnson - ISS Update - July 3, 2012_ATDATnaDhD4 - transcript (automated).pdf","Transcript Link")</f>
        <v>Transcript Link</v>
      </c>
      <c r="M2768" s="2" t="str">
        <f>HYPERLINK("https://files.afu.se/Downloads/Transcripts/0%20-%20Government/USA%20-%20NASA%20Johnson/2012 07 03 - NASA Johnson - ISS Update - July 3, 2012_ATDATnaDhD4 - transcript (automated).pdf","Transcript Link")</f>
        <v>Transcript Link</v>
      </c>
    </row>
    <row r="2769" ht="180" spans="1:13">
      <c r="A2769" s="1" t="s">
        <v>12150</v>
      </c>
      <c r="B2769" s="1" t="s">
        <v>13</v>
      </c>
      <c r="C2769" s="4" t="s">
        <v>12151</v>
      </c>
      <c r="D2769" s="1" t="s">
        <v>12152</v>
      </c>
      <c r="E2769" s="1" t="s">
        <v>12153</v>
      </c>
      <c r="F2769" s="4" t="s">
        <v>17</v>
      </c>
      <c r="G2769" s="1" t="s">
        <v>18</v>
      </c>
      <c r="H2769" s="1" t="s">
        <v>19</v>
      </c>
      <c r="I2769" s="1" t="s">
        <v>20</v>
      </c>
      <c r="J2769" s="1" t="s">
        <v>12154</v>
      </c>
      <c r="K2769" s="1" t="s">
        <v>22</v>
      </c>
      <c r="L2769" s="1" t="str">
        <f>HYPERLINK("https://files.afu.se/Downloads/Transcripts/0%20-%20Government/USA%20-%20NASA%20Johnson/2012 07 02 - NASA Johnson - Expedition 32 Departs for Baikonur_vwmlD9Qsm0k - transcript (automated).pdf","Transcript Link")</f>
        <v>Transcript Link</v>
      </c>
      <c r="M2769" s="2" t="str">
        <f>HYPERLINK("https://files.afu.se/Downloads/Transcripts/0%20-%20Government/USA%20-%20NASA%20Johnson/2012 07 02 - NASA Johnson - Expedition 32 Departs for Baikonur_vwmlD9Qsm0k - transcript (automated).pdf","Transcript Link")</f>
        <v>Transcript Link</v>
      </c>
    </row>
    <row r="2770" ht="180" spans="1:13">
      <c r="A2770" s="1" t="s">
        <v>12150</v>
      </c>
      <c r="B2770" s="1" t="s">
        <v>13</v>
      </c>
      <c r="C2770" s="4" t="s">
        <v>12155</v>
      </c>
      <c r="D2770" s="1" t="s">
        <v>12156</v>
      </c>
      <c r="E2770" s="1" t="s">
        <v>12157</v>
      </c>
      <c r="F2770" s="4" t="s">
        <v>17</v>
      </c>
      <c r="G2770" s="1" t="s">
        <v>18</v>
      </c>
      <c r="H2770" s="1" t="s">
        <v>19</v>
      </c>
      <c r="I2770" s="1" t="s">
        <v>20</v>
      </c>
      <c r="J2770" s="1" t="s">
        <v>12158</v>
      </c>
      <c r="K2770" s="1" t="s">
        <v>22</v>
      </c>
      <c r="L2770" s="1" t="str">
        <f>HYPERLINK("https://files.afu.se/Downloads/Transcripts/0%20-%20Government/USA%20-%20NASA%20Johnson/2012 07 02 - NASA Johnson - ISS Update - July 2, 2012_kxUhayaPyKY - transcript (automated).pdf","Transcript Link")</f>
        <v>Transcript Link</v>
      </c>
      <c r="M2770" s="2" t="str">
        <f>HYPERLINK("https://files.afu.se/Downloads/Transcripts/0%20-%20Government/USA%20-%20NASA%20Johnson/2012 07 02 - NASA Johnson - ISS Update - July 2, 2012_kxUhayaPyKY - transcript (automated).pdf","Transcript Link")</f>
        <v>Transcript Link</v>
      </c>
    </row>
    <row r="2771" ht="180" spans="1:13">
      <c r="A2771" s="1" t="s">
        <v>12159</v>
      </c>
      <c r="B2771" s="1" t="s">
        <v>13</v>
      </c>
      <c r="C2771" s="4" t="s">
        <v>12160</v>
      </c>
      <c r="D2771" s="1" t="s">
        <v>12161</v>
      </c>
      <c r="E2771" s="1" t="s">
        <v>12162</v>
      </c>
      <c r="F2771" s="4" t="s">
        <v>17</v>
      </c>
      <c r="G2771" s="1" t="s">
        <v>18</v>
      </c>
      <c r="H2771" s="1" t="s">
        <v>19</v>
      </c>
      <c r="I2771" s="1" t="s">
        <v>20</v>
      </c>
      <c r="J2771" s="1" t="s">
        <v>12163</v>
      </c>
      <c r="K2771" s="1" t="s">
        <v>22</v>
      </c>
      <c r="L2771" s="1" t="str">
        <f>HYPERLINK("https://files.afu.se/Downloads/Transcripts/0%20-%20Government/USA%20-%20NASA%20Johnson/2012 07 01 - NASA Johnson - Station Crew Lands in Kazakhstan_pUPo_lfiDR4 - transcript (automated).pdf","Transcript Link")</f>
        <v>Transcript Link</v>
      </c>
      <c r="M2771" s="2" t="str">
        <f>HYPERLINK("https://files.afu.se/Downloads/Transcripts/0%20-%20Government/USA%20-%20NASA%20Johnson/2012 07 01 - NASA Johnson - Station Crew Lands in Kazakhstan_pUPo_lfiDR4 - transcript (automated).pdf","Transcript Link")</f>
        <v>Transcript Link</v>
      </c>
    </row>
    <row r="2772" ht="180" spans="1:13">
      <c r="A2772" s="1" t="s">
        <v>12159</v>
      </c>
      <c r="B2772" s="1" t="s">
        <v>13</v>
      </c>
      <c r="C2772" s="4" t="s">
        <v>12164</v>
      </c>
      <c r="D2772" s="1" t="s">
        <v>12165</v>
      </c>
      <c r="E2772" s="1" t="s">
        <v>12166</v>
      </c>
      <c r="F2772" s="4" t="s">
        <v>17</v>
      </c>
      <c r="G2772" s="1" t="s">
        <v>18</v>
      </c>
      <c r="H2772" s="1" t="s">
        <v>19</v>
      </c>
      <c r="I2772" s="1" t="s">
        <v>20</v>
      </c>
      <c r="J2772" s="1" t="s">
        <v>12167</v>
      </c>
      <c r="K2772" s="1" t="s">
        <v>22</v>
      </c>
      <c r="L2772" s="1" t="str">
        <f>HYPERLINK("https://files.afu.se/Downloads/Transcripts/0%20-%20Government/USA%20-%20NASA%20Johnson/2012 07 01 - NASA Johnson - Expedition 31 Heads Home_66QFmmkct7k - transcript (automated).pdf","Transcript Link")</f>
        <v>Transcript Link</v>
      </c>
      <c r="M2772" s="2" t="str">
        <f>HYPERLINK("https://files.afu.se/Downloads/Transcripts/0%20-%20Government/USA%20-%20NASA%20Johnson/2012 07 01 - NASA Johnson - Expedition 31 Heads Home_66QFmmkct7k - transcript (automated).pdf","Transcript Link")</f>
        <v>Transcript Link</v>
      </c>
    </row>
    <row r="2773" ht="180" spans="1:13">
      <c r="A2773" s="1" t="s">
        <v>12159</v>
      </c>
      <c r="B2773" s="1" t="s">
        <v>13</v>
      </c>
      <c r="C2773" s="4" t="s">
        <v>12168</v>
      </c>
      <c r="D2773" s="1" t="s">
        <v>12169</v>
      </c>
      <c r="E2773" s="1" t="s">
        <v>12170</v>
      </c>
      <c r="F2773" s="4" t="s">
        <v>17</v>
      </c>
      <c r="G2773" s="1" t="s">
        <v>18</v>
      </c>
      <c r="H2773" s="1" t="s">
        <v>19</v>
      </c>
      <c r="I2773" s="1" t="s">
        <v>20</v>
      </c>
      <c r="J2773" s="1" t="s">
        <v>12171</v>
      </c>
      <c r="K2773" s="1" t="s">
        <v>22</v>
      </c>
      <c r="L2773" s="1" t="str">
        <f>HYPERLINK("https://files.afu.se/Downloads/Transcripts/0%20-%20Government/USA%20-%20NASA%20Johnson/2012 07 01 - NASA Johnson - Expedition 31 Crew Farewell_iO9ghFLHts8 - transcript (automated).pdf","Transcript Link")</f>
        <v>Transcript Link</v>
      </c>
      <c r="M2773" s="2" t="str">
        <f>HYPERLINK("https://files.afu.se/Downloads/Transcripts/0%20-%20Government/USA%20-%20NASA%20Johnson/2012 07 01 - NASA Johnson - Expedition 31 Crew Farewell_iO9ghFLHts8 - transcript (automated).pdf","Transcript Link")</f>
        <v>Transcript Link</v>
      </c>
    </row>
    <row r="2774" ht="180" spans="1:13">
      <c r="A2774" s="1" t="s">
        <v>12172</v>
      </c>
      <c r="B2774" s="1" t="s">
        <v>13</v>
      </c>
      <c r="C2774" s="4" t="s">
        <v>12173</v>
      </c>
      <c r="D2774" s="1" t="s">
        <v>12174</v>
      </c>
      <c r="E2774" s="1" t="s">
        <v>12175</v>
      </c>
      <c r="F2774" s="4" t="s">
        <v>17</v>
      </c>
      <c r="G2774" s="1" t="s">
        <v>18</v>
      </c>
      <c r="H2774" s="1" t="s">
        <v>19</v>
      </c>
      <c r="I2774" s="1" t="s">
        <v>20</v>
      </c>
      <c r="J2774" s="1" t="s">
        <v>12176</v>
      </c>
      <c r="K2774" s="1" t="s">
        <v>22</v>
      </c>
      <c r="L2774" s="1" t="str">
        <f>HYPERLINK("https://files.afu.se/Downloads/Transcripts/0%20-%20Government/USA%20-%20NASA%20Johnson/2012 06 30 - NASA Johnson - Padalka Accepts Command During Ceremony_FRwSH_u0Ll0 - transcript (automated).pdf","Transcript Link")</f>
        <v>Transcript Link</v>
      </c>
      <c r="M2774" s="2" t="str">
        <f>HYPERLINK("https://files.afu.se/Downloads/Transcripts/0%20-%20Government/USA%20-%20NASA%20Johnson/2012 06 30 - NASA Johnson - Padalka Accepts Command During Ceremony_FRwSH_u0Ll0 - transcript (automated).pdf","Transcript Link")</f>
        <v>Transcript Link</v>
      </c>
    </row>
    <row r="2775" ht="180" spans="1:13">
      <c r="A2775" s="1" t="s">
        <v>12177</v>
      </c>
      <c r="B2775" s="1" t="s">
        <v>13</v>
      </c>
      <c r="C2775" s="4" t="s">
        <v>12178</v>
      </c>
      <c r="D2775" s="1" t="s">
        <v>12179</v>
      </c>
      <c r="E2775" s="1" t="s">
        <v>12180</v>
      </c>
      <c r="F2775" s="4" t="s">
        <v>17</v>
      </c>
      <c r="G2775" s="1" t="s">
        <v>18</v>
      </c>
      <c r="H2775" s="1" t="s">
        <v>19</v>
      </c>
      <c r="I2775" s="1" t="s">
        <v>20</v>
      </c>
      <c r="J2775" s="1" t="s">
        <v>12181</v>
      </c>
      <c r="K2775" s="1" t="s">
        <v>22</v>
      </c>
      <c r="L2775" s="1" t="str">
        <f>HYPERLINK("https://files.afu.se/Downloads/Transcripts/0%20-%20Government/USA%20-%20NASA%20Johnson/2012 06 29 - NASA Johnson - ISS Update  NASA Astronaut Mike Fincke_FQS_qy9MIp8 - transcript (automated).pdf","Transcript Link")</f>
        <v>Transcript Link</v>
      </c>
      <c r="M2775" s="2" t="str">
        <f>HYPERLINK("https://files.afu.se/Downloads/Transcripts/0%20-%20Government/USA%20-%20NASA%20Johnson/2012 06 29 - NASA Johnson - ISS Update  NASA Astronaut Mike Fincke_FQS_qy9MIp8 - transcript (automated).pdf","Transcript Link")</f>
        <v>Transcript Link</v>
      </c>
    </row>
    <row r="2776" ht="180" spans="1:13">
      <c r="A2776" s="1" t="s">
        <v>12177</v>
      </c>
      <c r="B2776" s="1" t="s">
        <v>13</v>
      </c>
      <c r="C2776" s="4" t="s">
        <v>12182</v>
      </c>
      <c r="D2776" s="1" t="s">
        <v>12183</v>
      </c>
      <c r="E2776" s="1" t="s">
        <v>12184</v>
      </c>
      <c r="F2776" s="4" t="s">
        <v>17</v>
      </c>
      <c r="G2776" s="1" t="s">
        <v>18</v>
      </c>
      <c r="H2776" s="1" t="s">
        <v>19</v>
      </c>
      <c r="I2776" s="1" t="s">
        <v>20</v>
      </c>
      <c r="J2776" s="1" t="s">
        <v>12185</v>
      </c>
      <c r="K2776" s="1" t="s">
        <v>22</v>
      </c>
      <c r="L2776" s="1" t="str">
        <f>HYPERLINK("https://files.afu.se/Downloads/Transcripts/0%20-%20Government/USA%20-%20NASA%20Johnson/2012 06 29 - NASA Johnson - ISS Update - June 29, 2012__dRV021ogqk - transcript (automated).pdf","Transcript Link")</f>
        <v>Transcript Link</v>
      </c>
      <c r="M2776" s="2" t="str">
        <f>HYPERLINK("https://files.afu.se/Downloads/Transcripts/0%20-%20Government/USA%20-%20NASA%20Johnson/2012 06 29 - NASA Johnson - ISS Update - June 29, 2012__dRV021ogqk - transcript (automated).pdf","Transcript Link")</f>
        <v>Transcript Link</v>
      </c>
    </row>
    <row r="2777" ht="180" spans="1:13">
      <c r="A2777" s="1" t="s">
        <v>12177</v>
      </c>
      <c r="B2777" s="1" t="s">
        <v>13</v>
      </c>
      <c r="C2777" s="4" t="s">
        <v>12186</v>
      </c>
      <c r="D2777" s="1" t="s">
        <v>12187</v>
      </c>
      <c r="E2777" s="1" t="s">
        <v>12188</v>
      </c>
      <c r="F2777" s="4" t="s">
        <v>17</v>
      </c>
      <c r="G2777" s="1" t="s">
        <v>18</v>
      </c>
      <c r="H2777" s="1" t="s">
        <v>19</v>
      </c>
      <c r="I2777" s="1" t="s">
        <v>20</v>
      </c>
      <c r="J2777" s="1" t="s">
        <v>12189</v>
      </c>
      <c r="K2777" s="1" t="s">
        <v>22</v>
      </c>
      <c r="L2777" s="1" t="str">
        <f>HYPERLINK("https://files.afu.se/Downloads/Transcripts/0%20-%20Government/USA%20-%20NASA%20Johnson/2012 06 29 - NASA Johnson - Science off the Sphere  Space Balloonacy_WIsydeu7ZTo - transcript (automated).pdf","Transcript Link")</f>
        <v>Transcript Link</v>
      </c>
      <c r="M2777" s="2" t="str">
        <f>HYPERLINK("https://files.afu.se/Downloads/Transcripts/0%20-%20Government/USA%20-%20NASA%20Johnson/2012 06 29 - NASA Johnson - Science off the Sphere  Space Balloonacy_WIsydeu7ZTo - transcript (automated).pdf","Transcript Link")</f>
        <v>Transcript Link</v>
      </c>
    </row>
    <row r="2778" ht="180" spans="1:13">
      <c r="A2778" s="1" t="s">
        <v>12177</v>
      </c>
      <c r="B2778" s="1" t="s">
        <v>13</v>
      </c>
      <c r="C2778" s="4" t="s">
        <v>12190</v>
      </c>
      <c r="D2778" s="1" t="s">
        <v>12191</v>
      </c>
      <c r="E2778" s="1" t="s">
        <v>12192</v>
      </c>
      <c r="F2778" s="4" t="s">
        <v>17</v>
      </c>
      <c r="G2778" s="1" t="s">
        <v>18</v>
      </c>
      <c r="H2778" s="1" t="s">
        <v>19</v>
      </c>
      <c r="I2778" s="1" t="s">
        <v>20</v>
      </c>
      <c r="J2778" s="1" t="s">
        <v>12193</v>
      </c>
      <c r="K2778" s="1" t="s">
        <v>22</v>
      </c>
      <c r="L2778" s="1" t="str">
        <f>HYPERLINK("https://files.afu.se/Downloads/Transcripts/0%20-%20Government/USA%20-%20NASA%20Johnson/2012 06 29 - NASA Johnson - Science off the Sphere  1.21 Legowatts_RWo4heFn83k - transcript (automated).pdf","Transcript Link")</f>
        <v>Transcript Link</v>
      </c>
      <c r="M2778" s="2" t="str">
        <f>HYPERLINK("https://files.afu.se/Downloads/Transcripts/0%20-%20Government/USA%20-%20NASA%20Johnson/2012 06 29 - NASA Johnson - Science off the Sphere  1.21 Legowatts_RWo4heFn83k - transcript (automated).pdf","Transcript Link")</f>
        <v>Transcript Link</v>
      </c>
    </row>
    <row r="2779" ht="180" spans="1:13">
      <c r="A2779" s="1" t="s">
        <v>12194</v>
      </c>
      <c r="B2779" s="1" t="s">
        <v>13</v>
      </c>
      <c r="C2779" s="4" t="s">
        <v>12195</v>
      </c>
      <c r="D2779" s="1" t="s">
        <v>12196</v>
      </c>
      <c r="E2779" s="1" t="s">
        <v>12197</v>
      </c>
      <c r="F2779" s="4" t="s">
        <v>17</v>
      </c>
      <c r="G2779" s="1" t="s">
        <v>18</v>
      </c>
      <c r="H2779" s="1" t="s">
        <v>19</v>
      </c>
      <c r="I2779" s="1" t="s">
        <v>20</v>
      </c>
      <c r="J2779" s="1" t="s">
        <v>12198</v>
      </c>
      <c r="K2779" s="1" t="s">
        <v>22</v>
      </c>
      <c r="L2779" s="1" t="str">
        <f>HYPERLINK("https://files.afu.se/Downloads/Transcripts/0%20-%20Government/USA%20-%20NASA%20Johnson/2012 06 28 - NASA Johnson - ISS Update  Spaceflight Meteorology Group, Part 2_TlQDUe9l-xU - transcript (automated).pdf","Transcript Link")</f>
        <v>Transcript Link</v>
      </c>
      <c r="M2779" s="2" t="str">
        <f>HYPERLINK("https://files.afu.se/Downloads/Transcripts/0%20-%20Government/USA%20-%20NASA%20Johnson/2012 06 28 - NASA Johnson - ISS Update  Spaceflight Meteorology Group, Part 2_TlQDUe9l-xU - transcript (automated).pdf","Transcript Link")</f>
        <v>Transcript Link</v>
      </c>
    </row>
    <row r="2780" ht="180" spans="1:13">
      <c r="A2780" s="1" t="s">
        <v>12194</v>
      </c>
      <c r="B2780" s="1" t="s">
        <v>13</v>
      </c>
      <c r="C2780" s="4" t="s">
        <v>12199</v>
      </c>
      <c r="D2780" s="1" t="s">
        <v>12200</v>
      </c>
      <c r="E2780" s="1" t="s">
        <v>12197</v>
      </c>
      <c r="F2780" s="4" t="s">
        <v>17</v>
      </c>
      <c r="G2780" s="1" t="s">
        <v>18</v>
      </c>
      <c r="H2780" s="1" t="s">
        <v>19</v>
      </c>
      <c r="I2780" s="1" t="s">
        <v>20</v>
      </c>
      <c r="J2780" s="1" t="s">
        <v>12201</v>
      </c>
      <c r="K2780" s="1" t="s">
        <v>22</v>
      </c>
      <c r="L2780" s="1" t="str">
        <f>HYPERLINK("https://files.afu.se/Downloads/Transcripts/0%20-%20Government/USA%20-%20NASA%20Johnson/2012 06 28 - NASA Johnson - ISS Update  Spaceflight Meteorology Group, Part 1_A3Bosj8BFoQ - transcript (automated).pdf","Transcript Link")</f>
        <v>Transcript Link</v>
      </c>
      <c r="M2780" s="2" t="str">
        <f>HYPERLINK("https://files.afu.se/Downloads/Transcripts/0%20-%20Government/USA%20-%20NASA%20Johnson/2012 06 28 - NASA Johnson - ISS Update  Spaceflight Meteorology Group, Part 1_A3Bosj8BFoQ - transcript (automated).pdf","Transcript Link")</f>
        <v>Transcript Link</v>
      </c>
    </row>
    <row r="2781" ht="180" spans="1:13">
      <c r="A2781" s="1" t="s">
        <v>12194</v>
      </c>
      <c r="B2781" s="1" t="s">
        <v>13</v>
      </c>
      <c r="C2781" s="4" t="s">
        <v>12202</v>
      </c>
      <c r="D2781" s="1" t="s">
        <v>12203</v>
      </c>
      <c r="E2781" s="1" t="s">
        <v>12204</v>
      </c>
      <c r="F2781" s="4" t="s">
        <v>17</v>
      </c>
      <c r="G2781" s="1" t="s">
        <v>18</v>
      </c>
      <c r="H2781" s="1" t="s">
        <v>19</v>
      </c>
      <c r="I2781" s="1" t="s">
        <v>20</v>
      </c>
      <c r="J2781" s="1" t="s">
        <v>12205</v>
      </c>
      <c r="K2781" s="1" t="s">
        <v>22</v>
      </c>
      <c r="L2781" s="1" t="str">
        <f>HYPERLINK("https://files.afu.se/Downloads/Transcripts/0%20-%20Government/USA%20-%20NASA%20Johnson/2012 06 28 - NASA Johnson - ISS Update - June 28, 2012_NTkiO3IvWEQ - transcript (automated).pdf","Transcript Link")</f>
        <v>Transcript Link</v>
      </c>
      <c r="M2781" s="2" t="str">
        <f>HYPERLINK("https://files.afu.se/Downloads/Transcripts/0%20-%20Government/USA%20-%20NASA%20Johnson/2012 06 28 - NASA Johnson - ISS Update - June 28, 2012_NTkiO3IvWEQ - transcript (automated).pdf","Transcript Link")</f>
        <v>Transcript Link</v>
      </c>
    </row>
    <row r="2782" ht="180" spans="1:13">
      <c r="A2782" s="1" t="s">
        <v>12194</v>
      </c>
      <c r="B2782" s="1" t="s">
        <v>13</v>
      </c>
      <c r="C2782" s="4" t="s">
        <v>12206</v>
      </c>
      <c r="D2782" s="1" t="s">
        <v>12207</v>
      </c>
      <c r="E2782" s="1" t="s">
        <v>12208</v>
      </c>
      <c r="F2782" s="4" t="s">
        <v>17</v>
      </c>
      <c r="G2782" s="1" t="s">
        <v>18</v>
      </c>
      <c r="H2782" s="1" t="s">
        <v>19</v>
      </c>
      <c r="I2782" s="1" t="s">
        <v>20</v>
      </c>
      <c r="J2782" s="1" t="s">
        <v>12209</v>
      </c>
      <c r="K2782" s="1" t="s">
        <v>22</v>
      </c>
      <c r="L2782" s="1" t="str">
        <f>HYPERLINK("https://files.afu.se/Downloads/Transcripts/0%20-%20Government/USA%20-%20NASA%20Johnson/2012 06 28 - NASA Johnson - Wildfires Seen From Station_ANbqks1Z-gE - transcript (automated).pdf","Transcript Link")</f>
        <v>Transcript Link</v>
      </c>
      <c r="M2782" s="2" t="str">
        <f>HYPERLINK("https://files.afu.se/Downloads/Transcripts/0%20-%20Government/USA%20-%20NASA%20Johnson/2012 06 28 - NASA Johnson - Wildfires Seen From Station_ANbqks1Z-gE - transcript (automated).pdf","Transcript Link")</f>
        <v>Transcript Link</v>
      </c>
    </row>
    <row r="2783" ht="180" spans="1:13">
      <c r="A2783" s="1" t="s">
        <v>12210</v>
      </c>
      <c r="B2783" s="1" t="s">
        <v>13</v>
      </c>
      <c r="C2783" s="4" t="s">
        <v>12211</v>
      </c>
      <c r="D2783" s="1" t="s">
        <v>12212</v>
      </c>
      <c r="E2783" s="1" t="s">
        <v>12213</v>
      </c>
      <c r="F2783" s="4" t="s">
        <v>17</v>
      </c>
      <c r="G2783" s="1" t="s">
        <v>18</v>
      </c>
      <c r="H2783" s="1" t="s">
        <v>19</v>
      </c>
      <c r="I2783" s="1" t="s">
        <v>20</v>
      </c>
      <c r="J2783" s="1" t="s">
        <v>12214</v>
      </c>
      <c r="K2783" s="1" t="s">
        <v>22</v>
      </c>
      <c r="L2783" s="1" t="str">
        <f>HYPERLINK("https://files.afu.se/Downloads/Transcripts/0%20-%20Government/USA%20-%20NASA%20Johnson/2012 06 27 - NASA Johnson - ISS Update  1st Annual ISS R&amp;D Conference_t_BGIBYSl0A - transcript (automated).pdf","Transcript Link")</f>
        <v>Transcript Link</v>
      </c>
      <c r="M2783" s="2" t="str">
        <f>HYPERLINK("https://files.afu.se/Downloads/Transcripts/0%20-%20Government/USA%20-%20NASA%20Johnson/2012 06 27 - NASA Johnson - ISS Update  1st Annual ISS R&amp;D Conference_t_BGIBYSl0A - transcript (automated).pdf","Transcript Link")</f>
        <v>Transcript Link</v>
      </c>
    </row>
    <row r="2784" ht="180" spans="1:13">
      <c r="A2784" s="1" t="s">
        <v>12210</v>
      </c>
      <c r="B2784" s="1" t="s">
        <v>13</v>
      </c>
      <c r="C2784" s="4" t="s">
        <v>12215</v>
      </c>
      <c r="D2784" s="1" t="s">
        <v>12216</v>
      </c>
      <c r="E2784" s="1" t="s">
        <v>12217</v>
      </c>
      <c r="F2784" s="4" t="s">
        <v>17</v>
      </c>
      <c r="G2784" s="1" t="s">
        <v>18</v>
      </c>
      <c r="H2784" s="1" t="s">
        <v>19</v>
      </c>
      <c r="I2784" s="1" t="s">
        <v>20</v>
      </c>
      <c r="J2784" s="1" t="s">
        <v>12218</v>
      </c>
      <c r="K2784" s="1" t="s">
        <v>22</v>
      </c>
      <c r="L2784" s="1" t="str">
        <f>HYPERLINK("https://files.afu.se/Downloads/Transcripts/0%20-%20Government/USA%20-%20NASA%20Johnson/2012 06 27 - NASA Johnson - ISS Update - June 27, 2012_WDZ95AU9HcU - transcript (automated).pdf","Transcript Link")</f>
        <v>Transcript Link</v>
      </c>
      <c r="M2784" s="2" t="str">
        <f>HYPERLINK("https://files.afu.se/Downloads/Transcripts/0%20-%20Government/USA%20-%20NASA%20Johnson/2012 06 27 - NASA Johnson - ISS Update - June 27, 2012_WDZ95AU9HcU - transcript (automated).pdf","Transcript Link")</f>
        <v>Transcript Link</v>
      </c>
    </row>
    <row r="2785" ht="180" spans="1:13">
      <c r="A2785" s="1" t="s">
        <v>12219</v>
      </c>
      <c r="B2785" s="1" t="s">
        <v>13</v>
      </c>
      <c r="C2785" s="4" t="s">
        <v>12220</v>
      </c>
      <c r="D2785" s="1" t="s">
        <v>12221</v>
      </c>
      <c r="E2785" s="1" t="s">
        <v>12222</v>
      </c>
      <c r="F2785" s="4" t="s">
        <v>17</v>
      </c>
      <c r="G2785" s="1" t="s">
        <v>18</v>
      </c>
      <c r="H2785" s="1" t="s">
        <v>19</v>
      </c>
      <c r="I2785" s="1" t="s">
        <v>20</v>
      </c>
      <c r="J2785" s="1" t="s">
        <v>12223</v>
      </c>
      <c r="K2785" s="1" t="s">
        <v>22</v>
      </c>
      <c r="L2785" s="1" t="str">
        <f>HYPERLINK("https://files.afu.se/Downloads/Transcripts/0%20-%20Government/USA%20-%20NASA%20Johnson/2012 06 26 - NASA Johnson - ISS Update  Smartphone SPHERES_JvZ1sYs0kuo - transcript (automated).pdf","Transcript Link")</f>
        <v>Transcript Link</v>
      </c>
      <c r="M2785" s="2" t="str">
        <f>HYPERLINK("https://files.afu.se/Downloads/Transcripts/0%20-%20Government/USA%20-%20NASA%20Johnson/2012 06 26 - NASA Johnson - ISS Update  Smartphone SPHERES_JvZ1sYs0kuo - transcript (automated).pdf","Transcript Link")</f>
        <v>Transcript Link</v>
      </c>
    </row>
    <row r="2786" ht="180" spans="1:13">
      <c r="A2786" s="1" t="s">
        <v>12219</v>
      </c>
      <c r="B2786" s="1" t="s">
        <v>13</v>
      </c>
      <c r="C2786" s="4" t="s">
        <v>12224</v>
      </c>
      <c r="D2786" s="1" t="s">
        <v>12225</v>
      </c>
      <c r="E2786" s="1" t="s">
        <v>12226</v>
      </c>
      <c r="F2786" s="4" t="s">
        <v>17</v>
      </c>
      <c r="G2786" s="1" t="s">
        <v>18</v>
      </c>
      <c r="H2786" s="1" t="s">
        <v>19</v>
      </c>
      <c r="I2786" s="1" t="s">
        <v>20</v>
      </c>
      <c r="J2786" s="1" t="s">
        <v>12227</v>
      </c>
      <c r="K2786" s="1" t="s">
        <v>22</v>
      </c>
      <c r="L2786" s="1" t="str">
        <f>HYPERLINK("https://files.afu.se/Downloads/Transcripts/0%20-%20Government/USA%20-%20NASA%20Johnson/2012 06 26 - NASA Johnson - ISS Update - June 26, 2012_HyAvYcYSSUg - transcript (automated).pdf","Transcript Link")</f>
        <v>Transcript Link</v>
      </c>
      <c r="M2786" s="2" t="str">
        <f>HYPERLINK("https://files.afu.se/Downloads/Transcripts/0%20-%20Government/USA%20-%20NASA%20Johnson/2012 06 26 - NASA Johnson - ISS Update - June 26, 2012_HyAvYcYSSUg - transcript (automated).pdf","Transcript Link")</f>
        <v>Transcript Link</v>
      </c>
    </row>
    <row r="2787" ht="180" spans="1:13">
      <c r="A2787" s="1" t="s">
        <v>12228</v>
      </c>
      <c r="B2787" s="1" t="s">
        <v>13</v>
      </c>
      <c r="C2787" s="4" t="s">
        <v>12229</v>
      </c>
      <c r="D2787" s="1" t="s">
        <v>12230</v>
      </c>
      <c r="E2787" s="1" t="s">
        <v>12231</v>
      </c>
      <c r="F2787" s="4" t="s">
        <v>17</v>
      </c>
      <c r="G2787" s="1" t="s">
        <v>18</v>
      </c>
      <c r="H2787" s="1" t="s">
        <v>19</v>
      </c>
      <c r="I2787" s="1" t="s">
        <v>20</v>
      </c>
      <c r="J2787" s="1" t="s">
        <v>12232</v>
      </c>
      <c r="K2787" s="1" t="s">
        <v>22</v>
      </c>
      <c r="L2787" s="1" t="str">
        <f>HYPERLINK("https://files.afu.se/Downloads/Transcripts/0%20-%20Government/USA%20-%20NASA%20Johnson/2012 06 25 - NASA Johnson - ISS Update - June 25, 2012_hL0sCT_mt5E - transcript (automated).pdf","Transcript Link")</f>
        <v>Transcript Link</v>
      </c>
      <c r="M2787" s="2" t="str">
        <f>HYPERLINK("https://files.afu.se/Downloads/Transcripts/0%20-%20Government/USA%20-%20NASA%20Johnson/2012 06 25 - NASA Johnson - ISS Update - June 25, 2012_hL0sCT_mt5E - transcript (automated).pdf","Transcript Link")</f>
        <v>Transcript Link</v>
      </c>
    </row>
    <row r="2788" ht="180" spans="1:13">
      <c r="A2788" s="1" t="s">
        <v>12233</v>
      </c>
      <c r="B2788" s="1" t="s">
        <v>13</v>
      </c>
      <c r="C2788" s="4" t="s">
        <v>12234</v>
      </c>
      <c r="D2788" s="1" t="s">
        <v>12235</v>
      </c>
      <c r="E2788" s="1" t="s">
        <v>12236</v>
      </c>
      <c r="F2788" s="4" t="s">
        <v>17</v>
      </c>
      <c r="G2788" s="1" t="s">
        <v>18</v>
      </c>
      <c r="H2788" s="1" t="s">
        <v>19</v>
      </c>
      <c r="I2788" s="1" t="s">
        <v>20</v>
      </c>
      <c r="J2788" s="1" t="s">
        <v>12237</v>
      </c>
      <c r="K2788" s="1" t="s">
        <v>22</v>
      </c>
      <c r="L2788" s="1" t="str">
        <f>HYPERLINK("https://files.afu.se/Downloads/Transcripts/0%20-%20Government/USA%20-%20NASA%20Johnson/2012 06 22 - NASA Johnson - Space Station Live! Tour_-dPYiyRiI4c - transcript (automated).pdf","Transcript Link")</f>
        <v>Transcript Link</v>
      </c>
      <c r="M2788" s="2" t="str">
        <f>HYPERLINK("https://files.afu.se/Downloads/Transcripts/0%20-%20Government/USA%20-%20NASA%20Johnson/2012 06 22 - NASA Johnson - Space Station Live! Tour_-dPYiyRiI4c - transcript (automated).pdf","Transcript Link")</f>
        <v>Transcript Link</v>
      </c>
    </row>
    <row r="2789" ht="180" spans="1:13">
      <c r="A2789" s="1" t="s">
        <v>12233</v>
      </c>
      <c r="B2789" s="1" t="s">
        <v>13</v>
      </c>
      <c r="C2789" s="4" t="s">
        <v>12238</v>
      </c>
      <c r="D2789" s="1" t="s">
        <v>12239</v>
      </c>
      <c r="E2789" s="1" t="s">
        <v>12240</v>
      </c>
      <c r="F2789" s="4" t="s">
        <v>17</v>
      </c>
      <c r="G2789" s="1" t="s">
        <v>18</v>
      </c>
      <c r="H2789" s="1" t="s">
        <v>19</v>
      </c>
      <c r="I2789" s="1" t="s">
        <v>20</v>
      </c>
      <c r="J2789" s="1" t="s">
        <v>12241</v>
      </c>
      <c r="K2789" s="1" t="s">
        <v>22</v>
      </c>
      <c r="L2789" s="1" t="str">
        <f>HYPERLINK("https://files.afu.se/Downloads/Transcripts/0%20-%20Government/USA%20-%20NASA%20Johnson/2012 06 22 - NASA Johnson - ISS Update  Weekly Recap for June 18, 2012_PwlEzRgnGNI - transcript (automated).pdf","Transcript Link")</f>
        <v>Transcript Link</v>
      </c>
      <c r="M2789" s="2" t="str">
        <f>HYPERLINK("https://files.afu.se/Downloads/Transcripts/0%20-%20Government/USA%20-%20NASA%20Johnson/2012 06 22 - NASA Johnson - ISS Update  Weekly Recap for June 18, 2012_PwlEzRgnGNI - transcript (automated).pdf","Transcript Link")</f>
        <v>Transcript Link</v>
      </c>
    </row>
    <row r="2790" ht="180" spans="1:13">
      <c r="A2790" s="1" t="s">
        <v>12242</v>
      </c>
      <c r="B2790" s="1" t="s">
        <v>13</v>
      </c>
      <c r="C2790" s="4" t="s">
        <v>12243</v>
      </c>
      <c r="D2790" s="1" t="s">
        <v>10927</v>
      </c>
      <c r="E2790" s="1" t="s">
        <v>12244</v>
      </c>
      <c r="F2790" s="4" t="s">
        <v>17</v>
      </c>
      <c r="G2790" s="1" t="s">
        <v>18</v>
      </c>
      <c r="H2790" s="1" t="s">
        <v>19</v>
      </c>
      <c r="I2790" s="1" t="s">
        <v>20</v>
      </c>
      <c r="J2790" s="1" t="s">
        <v>12245</v>
      </c>
      <c r="K2790" s="1" t="s">
        <v>22</v>
      </c>
      <c r="L2790" s="1" t="str">
        <f>HYPERLINK("https://files.afu.se/Downloads/Transcripts/0%20-%20Government/USA%20-%20NASA%20Johnson/2012 06 21 - NASA Johnson - ISS Update  Robotic Refueling Mission_dyxcXxcQb4o - transcript (automated).pdf","Transcript Link")</f>
        <v>Transcript Link</v>
      </c>
      <c r="M2790" s="2" t="str">
        <f>HYPERLINK("https://files.afu.se/Downloads/Transcripts/0%20-%20Government/USA%20-%20NASA%20Johnson/2012 06 21 - NASA Johnson - ISS Update  Robotic Refueling Mission_dyxcXxcQb4o - transcript (automated).pdf","Transcript Link")</f>
        <v>Transcript Link</v>
      </c>
    </row>
    <row r="2791" ht="180" spans="1:13">
      <c r="A2791" s="1" t="s">
        <v>12242</v>
      </c>
      <c r="B2791" s="1" t="s">
        <v>13</v>
      </c>
      <c r="C2791" s="4" t="s">
        <v>12246</v>
      </c>
      <c r="D2791" s="1" t="s">
        <v>12247</v>
      </c>
      <c r="E2791" s="1" t="s">
        <v>12248</v>
      </c>
      <c r="F2791" s="4" t="s">
        <v>17</v>
      </c>
      <c r="G2791" s="1" t="s">
        <v>18</v>
      </c>
      <c r="H2791" s="1" t="s">
        <v>19</v>
      </c>
      <c r="I2791" s="1" t="s">
        <v>20</v>
      </c>
      <c r="J2791" s="1" t="s">
        <v>12249</v>
      </c>
      <c r="K2791" s="1" t="s">
        <v>22</v>
      </c>
      <c r="L2791" s="1" t="str">
        <f>HYPERLINK("https://files.afu.se/Downloads/Transcripts/0%20-%20Government/USA%20-%20NASA%20Johnson/2012 06 21 - NASA Johnson - ISS Update - June 21, 2012_yftHSsX6vqQ - transcript (automated).pdf","Transcript Link")</f>
        <v>Transcript Link</v>
      </c>
      <c r="M2791" s="2" t="str">
        <f>HYPERLINK("https://files.afu.se/Downloads/Transcripts/0%20-%20Government/USA%20-%20NASA%20Johnson/2012 06 21 - NASA Johnson - ISS Update - June 21, 2012_yftHSsX6vqQ - transcript (automated).pdf","Transcript Link")</f>
        <v>Transcript Link</v>
      </c>
    </row>
    <row r="2792" ht="180" spans="1:13">
      <c r="A2792" s="1" t="s">
        <v>12250</v>
      </c>
      <c r="B2792" s="1" t="s">
        <v>13</v>
      </c>
      <c r="C2792" s="4" t="s">
        <v>12251</v>
      </c>
      <c r="D2792" s="1" t="s">
        <v>12252</v>
      </c>
      <c r="E2792" s="1" t="s">
        <v>12253</v>
      </c>
      <c r="F2792" s="4" t="s">
        <v>17</v>
      </c>
      <c r="G2792" s="1" t="s">
        <v>18</v>
      </c>
      <c r="H2792" s="1" t="s">
        <v>19</v>
      </c>
      <c r="I2792" s="1" t="s">
        <v>20</v>
      </c>
      <c r="J2792" s="1" t="s">
        <v>12254</v>
      </c>
      <c r="K2792" s="1" t="s">
        <v>22</v>
      </c>
      <c r="L2792" s="1" t="str">
        <f>HYPERLINK("https://files.afu.se/Downloads/Transcripts/0%20-%20Government/USA%20-%20NASA%20Johnson/2012 06 20 - NASA Johnson - ISS Update - June 20, 2012_Kp9XKP-8YfI - transcript (automated).pdf","Transcript Link")</f>
        <v>Transcript Link</v>
      </c>
      <c r="M2792" s="2" t="str">
        <f>HYPERLINK("https://files.afu.se/Downloads/Transcripts/0%20-%20Government/USA%20-%20NASA%20Johnson/2012 06 20 - NASA Johnson - ISS Update - June 20, 2012_Kp9XKP-8YfI - transcript (automated).pdf","Transcript Link")</f>
        <v>Transcript Link</v>
      </c>
    </row>
    <row r="2793" ht="180" spans="1:13">
      <c r="A2793" s="1" t="s">
        <v>12250</v>
      </c>
      <c r="B2793" s="1" t="s">
        <v>13</v>
      </c>
      <c r="C2793" s="4" t="s">
        <v>12255</v>
      </c>
      <c r="D2793" s="1" t="s">
        <v>12256</v>
      </c>
      <c r="E2793" s="1" t="s">
        <v>12257</v>
      </c>
      <c r="F2793" s="4" t="s">
        <v>17</v>
      </c>
      <c r="G2793" s="1" t="s">
        <v>18</v>
      </c>
      <c r="H2793" s="1" t="s">
        <v>19</v>
      </c>
      <c r="I2793" s="1" t="s">
        <v>20</v>
      </c>
      <c r="J2793" s="1" t="s">
        <v>12258</v>
      </c>
      <c r="K2793" s="1" t="s">
        <v>22</v>
      </c>
      <c r="L2793" s="1" t="str">
        <f>HYPERLINK("https://files.afu.se/Downloads/Transcripts/0%20-%20Government/USA%20-%20NASA%20Johnson/2012 06 20 - NASA Johnson - Expedition 32 Final Soyuz Qualification Exams_hZudNSm1oZs - transcript (automated).pdf","Transcript Link")</f>
        <v>Transcript Link</v>
      </c>
      <c r="M2793" s="2" t="str">
        <f>HYPERLINK("https://files.afu.se/Downloads/Transcripts/0%20-%20Government/USA%20-%20NASA%20Johnson/2012 06 20 - NASA Johnson - Expedition 32 Final Soyuz Qualification Exams_hZudNSm1oZs - transcript (automated).pdf","Transcript Link")</f>
        <v>Transcript Link</v>
      </c>
    </row>
    <row r="2794" ht="180" spans="1:13">
      <c r="A2794" s="1" t="s">
        <v>12259</v>
      </c>
      <c r="B2794" s="1" t="s">
        <v>13</v>
      </c>
      <c r="C2794" s="4" t="s">
        <v>12260</v>
      </c>
      <c r="D2794" s="1" t="s">
        <v>12261</v>
      </c>
      <c r="E2794" s="1" t="s">
        <v>12262</v>
      </c>
      <c r="F2794" s="4" t="s">
        <v>17</v>
      </c>
      <c r="G2794" s="1" t="s">
        <v>18</v>
      </c>
      <c r="H2794" s="1" t="s">
        <v>19</v>
      </c>
      <c r="I2794" s="1" t="s">
        <v>20</v>
      </c>
      <c r="J2794" s="1" t="s">
        <v>12263</v>
      </c>
      <c r="K2794" s="1" t="s">
        <v>22</v>
      </c>
      <c r="L2794" s="1" t="str">
        <f>HYPERLINK("https://files.afu.se/Downloads/Transcripts/0%20-%20Government/USA%20-%20NASA%20Johnson/2012 06 19 - NASA Johnson - NASA Asian-American History Month Profile -- Yong Yi_s_M_Flv5-IA - transcript (automated).pdf","Transcript Link")</f>
        <v>Transcript Link</v>
      </c>
      <c r="M2794" s="2" t="str">
        <f>HYPERLINK("https://files.afu.se/Downloads/Transcripts/0%20-%20Government/USA%20-%20NASA%20Johnson/2012 06 19 - NASA Johnson - NASA Asian-American History Month Profile -- Yong Yi_s_M_Flv5-IA - transcript (automated).pdf","Transcript Link")</f>
        <v>Transcript Link</v>
      </c>
    </row>
    <row r="2795" ht="180" spans="1:13">
      <c r="A2795" s="1" t="s">
        <v>12259</v>
      </c>
      <c r="B2795" s="1" t="s">
        <v>13</v>
      </c>
      <c r="C2795" s="4" t="s">
        <v>12264</v>
      </c>
      <c r="D2795" s="1" t="s">
        <v>12265</v>
      </c>
      <c r="E2795" s="1" t="s">
        <v>12266</v>
      </c>
      <c r="F2795" s="4" t="s">
        <v>17</v>
      </c>
      <c r="G2795" s="1" t="s">
        <v>18</v>
      </c>
      <c r="H2795" s="1" t="s">
        <v>19</v>
      </c>
      <c r="I2795" s="1" t="s">
        <v>20</v>
      </c>
      <c r="J2795" s="1" t="s">
        <v>12267</v>
      </c>
      <c r="K2795" s="1" t="s">
        <v>22</v>
      </c>
      <c r="L2795" s="1" t="str">
        <f>HYPERLINK("https://files.afu.se/Downloads/Transcripts/0%20-%20Government/USA%20-%20NASA%20Johnson/2012 06 19 - NASA Johnson - ISS Update - June 19, 2012_YP_ZbRY9vIY - transcript (automated).pdf","Transcript Link")</f>
        <v>Transcript Link</v>
      </c>
      <c r="M2795" s="2" t="str">
        <f>HYPERLINK("https://files.afu.se/Downloads/Transcripts/0%20-%20Government/USA%20-%20NASA%20Johnson/2012 06 19 - NASA Johnson - ISS Update - June 19, 2012_YP_ZbRY9vIY - transcript (automated).pdf","Transcript Link")</f>
        <v>Transcript Link</v>
      </c>
    </row>
    <row r="2796" ht="180" spans="1:13">
      <c r="A2796" s="1" t="s">
        <v>12259</v>
      </c>
      <c r="B2796" s="1" t="s">
        <v>13</v>
      </c>
      <c r="C2796" s="4" t="s">
        <v>12268</v>
      </c>
      <c r="D2796" s="1" t="s">
        <v>12269</v>
      </c>
      <c r="E2796" s="1" t="s">
        <v>12270</v>
      </c>
      <c r="F2796" s="4" t="s">
        <v>17</v>
      </c>
      <c r="G2796" s="1" t="s">
        <v>18</v>
      </c>
      <c r="H2796" s="1" t="s">
        <v>19</v>
      </c>
      <c r="I2796" s="1" t="s">
        <v>20</v>
      </c>
      <c r="J2796" s="1" t="s">
        <v>12271</v>
      </c>
      <c r="K2796" s="1" t="s">
        <v>22</v>
      </c>
      <c r="L2796" s="1" t="str">
        <f>HYPERLINK("https://files.afu.se/Downloads/Transcripts/0%20-%20Government/USA%20-%20NASA%20Johnson/2012 06 19 - NASA Johnson - ISS Update  Dr. Steve Squyres, NEEMO 16 Aquanaut and Cornell Professor_XCH59iKxU8Q - transcript (automated).pdf","Transcript Link")</f>
        <v>Transcript Link</v>
      </c>
      <c r="M2796" s="2" t="str">
        <f>HYPERLINK("https://files.afu.se/Downloads/Transcripts/0%20-%20Government/USA%20-%20NASA%20Johnson/2012 06 19 - NASA Johnson - ISS Update  Dr. Steve Squyres, NEEMO 16 Aquanaut and Cornell Professor_XCH59iKxU8Q - transcript (automated).pdf","Transcript Link")</f>
        <v>Transcript Link</v>
      </c>
    </row>
    <row r="2797" ht="180" spans="1:13">
      <c r="A2797" s="1" t="s">
        <v>12272</v>
      </c>
      <c r="B2797" s="1" t="s">
        <v>13</v>
      </c>
      <c r="C2797" s="4" t="s">
        <v>12273</v>
      </c>
      <c r="D2797" s="1" t="s">
        <v>12274</v>
      </c>
      <c r="E2797" s="1" t="s">
        <v>12275</v>
      </c>
      <c r="F2797" s="4" t="s">
        <v>17</v>
      </c>
      <c r="G2797" s="1" t="s">
        <v>18</v>
      </c>
      <c r="H2797" s="1" t="s">
        <v>19</v>
      </c>
      <c r="I2797" s="1" t="s">
        <v>20</v>
      </c>
      <c r="J2797" s="1" t="s">
        <v>12276</v>
      </c>
      <c r="K2797" s="1" t="s">
        <v>22</v>
      </c>
      <c r="L2797" s="1" t="str">
        <f>HYPERLINK("https://files.afu.se/Downloads/Transcripts/0%20-%20Government/USA%20-%20NASA%20Johnson/2012 06 18 - NASA Johnson - ISS Update - June 18, 2012_QiWPIf7CuKQ - transcript (automated).pdf","Transcript Link")</f>
        <v>Transcript Link</v>
      </c>
      <c r="M2797" s="2" t="str">
        <f>HYPERLINK("https://files.afu.se/Downloads/Transcripts/0%20-%20Government/USA%20-%20NASA%20Johnson/2012 06 18 - NASA Johnson - ISS Update - June 18, 2012_QiWPIf7CuKQ - transcript (automated).pdf","Transcript Link")</f>
        <v>Transcript Link</v>
      </c>
    </row>
    <row r="2798" ht="180" spans="1:13">
      <c r="A2798" s="1" t="s">
        <v>12277</v>
      </c>
      <c r="B2798" s="1" t="s">
        <v>13</v>
      </c>
      <c r="C2798" s="4" t="s">
        <v>12278</v>
      </c>
      <c r="D2798" s="1" t="s">
        <v>12279</v>
      </c>
      <c r="E2798" s="1" t="s">
        <v>12280</v>
      </c>
      <c r="F2798" s="4" t="s">
        <v>17</v>
      </c>
      <c r="G2798" s="1" t="s">
        <v>18</v>
      </c>
      <c r="H2798" s="1" t="s">
        <v>19</v>
      </c>
      <c r="I2798" s="1" t="s">
        <v>20</v>
      </c>
      <c r="J2798" s="1" t="s">
        <v>12281</v>
      </c>
      <c r="K2798" s="1" t="s">
        <v>22</v>
      </c>
      <c r="L2798" s="1" t="str">
        <f>HYPERLINK("https://files.afu.se/Downloads/Transcripts/0%20-%20Government/USA%20-%20NASA%20Johnson/2012 06 15 - NASA Johnson - ISS Update  Bruce Manners, NASA COTS Project Executive for Orbital Sciences_d5lbBIJQKCw - transcript (automated).pdf","Transcript Link")</f>
        <v>Transcript Link</v>
      </c>
      <c r="M2798" s="2" t="str">
        <f>HYPERLINK("https://files.afu.se/Downloads/Transcripts/0%20-%20Government/USA%20-%20NASA%20Johnson/2012 06 15 - NASA Johnson - ISS Update  Bruce Manners, NASA COTS Project Executive for Orbital Sciences_d5lbBIJQKCw - transcript (automated).pdf","Transcript Link")</f>
        <v>Transcript Link</v>
      </c>
    </row>
    <row r="2799" ht="180" spans="1:13">
      <c r="A2799" s="1" t="s">
        <v>12277</v>
      </c>
      <c r="B2799" s="1" t="s">
        <v>13</v>
      </c>
      <c r="C2799" s="4" t="s">
        <v>12282</v>
      </c>
      <c r="D2799" s="1" t="s">
        <v>12283</v>
      </c>
      <c r="E2799" s="1" t="s">
        <v>12284</v>
      </c>
      <c r="F2799" s="4" t="s">
        <v>17</v>
      </c>
      <c r="G2799" s="1" t="s">
        <v>18</v>
      </c>
      <c r="H2799" s="1" t="s">
        <v>19</v>
      </c>
      <c r="I2799" s="1" t="s">
        <v>20</v>
      </c>
      <c r="J2799" s="1" t="s">
        <v>12285</v>
      </c>
      <c r="K2799" s="1" t="s">
        <v>22</v>
      </c>
      <c r="L2799" s="1" t="str">
        <f>HYPERLINK("https://files.afu.se/Downloads/Transcripts/0%20-%20Government/USA%20-%20NASA%20Johnson/2012 06 15 - NASA Johnson - ISS Update  Autonomous Mission Operations_J0A7OJ7ZJes - transcript (automated).pdf","Transcript Link")</f>
        <v>Transcript Link</v>
      </c>
      <c r="M2799" s="2" t="str">
        <f>HYPERLINK("https://files.afu.se/Downloads/Transcripts/0%20-%20Government/USA%20-%20NASA%20Johnson/2012 06 15 - NASA Johnson - ISS Update  Autonomous Mission Operations_J0A7OJ7ZJes - transcript (automated).pdf","Transcript Link")</f>
        <v>Transcript Link</v>
      </c>
    </row>
    <row r="2800" ht="180" spans="1:13">
      <c r="A2800" s="1" t="s">
        <v>12277</v>
      </c>
      <c r="B2800" s="1" t="s">
        <v>13</v>
      </c>
      <c r="C2800" s="4" t="s">
        <v>12286</v>
      </c>
      <c r="D2800" s="1" t="s">
        <v>12287</v>
      </c>
      <c r="E2800" s="1" t="s">
        <v>12288</v>
      </c>
      <c r="F2800" s="4" t="s">
        <v>17</v>
      </c>
      <c r="G2800" s="1" t="s">
        <v>18</v>
      </c>
      <c r="H2800" s="1" t="s">
        <v>19</v>
      </c>
      <c r="I2800" s="1" t="s">
        <v>20</v>
      </c>
      <c r="J2800" s="1" t="s">
        <v>12289</v>
      </c>
      <c r="K2800" s="1" t="s">
        <v>22</v>
      </c>
      <c r="L2800" s="1" t="str">
        <f>HYPERLINK("https://files.afu.se/Downloads/Transcripts/0%20-%20Government/USA%20-%20NASA%20Johnson/2012 06 15 - NASA Johnson - ISS Update  Alvin Drew Talks about Delayed Communications_uFd9Xw18yfk - transcript (automated).pdf","Transcript Link")</f>
        <v>Transcript Link</v>
      </c>
      <c r="M2800" s="2" t="str">
        <f>HYPERLINK("https://files.afu.se/Downloads/Transcripts/0%20-%20Government/USA%20-%20NASA%20Johnson/2012 06 15 - NASA Johnson - ISS Update  Alvin Drew Talks about Delayed Communications_uFd9Xw18yfk - transcript (automated).pdf","Transcript Link")</f>
        <v>Transcript Link</v>
      </c>
    </row>
    <row r="2801" ht="180" spans="1:13">
      <c r="A2801" s="1" t="s">
        <v>12277</v>
      </c>
      <c r="B2801" s="1" t="s">
        <v>13</v>
      </c>
      <c r="C2801" s="4" t="s">
        <v>12290</v>
      </c>
      <c r="D2801" s="1" t="s">
        <v>12291</v>
      </c>
      <c r="E2801" s="1" t="s">
        <v>12292</v>
      </c>
      <c r="F2801" s="4" t="s">
        <v>17</v>
      </c>
      <c r="G2801" s="1" t="s">
        <v>18</v>
      </c>
      <c r="H2801" s="1" t="s">
        <v>19</v>
      </c>
      <c r="I2801" s="1" t="s">
        <v>20</v>
      </c>
      <c r="J2801" s="1" t="s">
        <v>12293</v>
      </c>
      <c r="K2801" s="1" t="s">
        <v>22</v>
      </c>
      <c r="L2801" s="1" t="str">
        <f>HYPERLINK("https://files.afu.se/Downloads/Transcripts/0%20-%20Government/USA%20-%20NASA%20Johnson/2012 06 15 - NASA Johnson - ISS Update  Weekly Recap for June 11, 2012_fMIQSfqlLd4 - transcript (automated).pdf","Transcript Link")</f>
        <v>Transcript Link</v>
      </c>
      <c r="M2801" s="2" t="str">
        <f>HYPERLINK("https://files.afu.se/Downloads/Transcripts/0%20-%20Government/USA%20-%20NASA%20Johnson/2012 06 15 - NASA Johnson - ISS Update  Weekly Recap for June 11, 2012_fMIQSfqlLd4 - transcript (automated).pdf","Transcript Link")</f>
        <v>Transcript Link</v>
      </c>
    </row>
    <row r="2802" ht="180" spans="1:13">
      <c r="A2802" s="1" t="s">
        <v>12294</v>
      </c>
      <c r="B2802" s="1" t="s">
        <v>13</v>
      </c>
      <c r="C2802" s="4" t="s">
        <v>12295</v>
      </c>
      <c r="D2802" s="1" t="s">
        <v>12296</v>
      </c>
      <c r="E2802" s="1" t="s">
        <v>12297</v>
      </c>
      <c r="F2802" s="4" t="s">
        <v>17</v>
      </c>
      <c r="G2802" s="1" t="s">
        <v>18</v>
      </c>
      <c r="H2802" s="1" t="s">
        <v>19</v>
      </c>
      <c r="I2802" s="1" t="s">
        <v>20</v>
      </c>
      <c r="J2802" s="1" t="s">
        <v>12298</v>
      </c>
      <c r="K2802" s="1" t="s">
        <v>22</v>
      </c>
      <c r="L2802" s="1" t="str">
        <f>HYPERLINK("https://files.afu.se/Downloads/Transcripts/0%20-%20Government/USA%20-%20NASA%20Johnson/2012 06 14 - NASA Johnson - Students Speak With Flight Director Mike Sarafin_5fOmqFndsg0 - transcript (automated).pdf","Transcript Link")</f>
        <v>Transcript Link</v>
      </c>
      <c r="M2802" s="2" t="str">
        <f>HYPERLINK("https://files.afu.se/Downloads/Transcripts/0%20-%20Government/USA%20-%20NASA%20Johnson/2012 06 14 - NASA Johnson - Students Speak With Flight Director Mike Sarafin_5fOmqFndsg0 - transcript (automated).pdf","Transcript Link")</f>
        <v>Transcript Link</v>
      </c>
    </row>
    <row r="2803" ht="180" spans="1:13">
      <c r="A2803" s="1" t="s">
        <v>12294</v>
      </c>
      <c r="B2803" s="1" t="s">
        <v>13</v>
      </c>
      <c r="C2803" s="4" t="s">
        <v>12299</v>
      </c>
      <c r="D2803" s="1" t="s">
        <v>12300</v>
      </c>
      <c r="E2803" s="1" t="s">
        <v>12301</v>
      </c>
      <c r="F2803" s="4" t="s">
        <v>17</v>
      </c>
      <c r="G2803" s="1" t="s">
        <v>18</v>
      </c>
      <c r="H2803" s="1" t="s">
        <v>19</v>
      </c>
      <c r="I2803" s="1" t="s">
        <v>20</v>
      </c>
      <c r="J2803" s="1" t="s">
        <v>12302</v>
      </c>
      <c r="K2803" s="1" t="s">
        <v>22</v>
      </c>
      <c r="L2803" s="1" t="str">
        <f>HYPERLINK("https://files.afu.se/Downloads/Transcripts/0%20-%20Government/USA%20-%20NASA%20Johnson/2012 06 14 - NASA Johnson - ISS Update - June 14, 2012_quHss1puIdc - transcript (automated).pdf","Transcript Link")</f>
        <v>Transcript Link</v>
      </c>
      <c r="M2803" s="2" t="str">
        <f>HYPERLINK("https://files.afu.se/Downloads/Transcripts/0%20-%20Government/USA%20-%20NASA%20Johnson/2012 06 14 - NASA Johnson - ISS Update - June 14, 2012_quHss1puIdc - transcript (automated).pdf","Transcript Link")</f>
        <v>Transcript Link</v>
      </c>
    </row>
    <row r="2804" ht="180" spans="1:13">
      <c r="A2804" s="1" t="s">
        <v>12294</v>
      </c>
      <c r="B2804" s="1" t="s">
        <v>13</v>
      </c>
      <c r="C2804" s="4" t="s">
        <v>12303</v>
      </c>
      <c r="D2804" s="1" t="s">
        <v>12304</v>
      </c>
      <c r="E2804" s="1" t="s">
        <v>12305</v>
      </c>
      <c r="F2804" s="4" t="s">
        <v>17</v>
      </c>
      <c r="G2804" s="1" t="s">
        <v>18</v>
      </c>
      <c r="H2804" s="1" t="s">
        <v>19</v>
      </c>
      <c r="I2804" s="1" t="s">
        <v>20</v>
      </c>
      <c r="J2804" s="1" t="s">
        <v>12306</v>
      </c>
      <c r="K2804" s="1" t="s">
        <v>22</v>
      </c>
      <c r="L2804" s="1" t="str">
        <f>HYPERLINK("https://files.afu.se/Downloads/Transcripts/0%20-%20Government/USA%20-%20NASA%20Johnson/2012 06 14 - NASA Johnson - ISS Update  NEEMO 16 Simulates Spacewalk Underwater_F2k3EOvwAhE - transcript (automated).pdf","Transcript Link")</f>
        <v>Transcript Link</v>
      </c>
      <c r="M2804" s="2" t="str">
        <f>HYPERLINK("https://files.afu.se/Downloads/Transcripts/0%20-%20Government/USA%20-%20NASA%20Johnson/2012 06 14 - NASA Johnson - ISS Update  NEEMO 16 Simulates Spacewalk Underwater_F2k3EOvwAhE - transcript (automated).pdf","Transcript Link")</f>
        <v>Transcript Link</v>
      </c>
    </row>
    <row r="2805" ht="180" spans="1:13">
      <c r="A2805" s="1" t="s">
        <v>12307</v>
      </c>
      <c r="B2805" s="1" t="s">
        <v>13</v>
      </c>
      <c r="C2805" s="4" t="s">
        <v>12308</v>
      </c>
      <c r="D2805" s="1" t="s">
        <v>12309</v>
      </c>
      <c r="E2805" s="1" t="s">
        <v>12310</v>
      </c>
      <c r="F2805" s="4" t="s">
        <v>17</v>
      </c>
      <c r="G2805" s="1" t="s">
        <v>18</v>
      </c>
      <c r="H2805" s="1" t="s">
        <v>19</v>
      </c>
      <c r="I2805" s="1" t="s">
        <v>20</v>
      </c>
      <c r="J2805" s="1" t="s">
        <v>12311</v>
      </c>
      <c r="K2805" s="1" t="s">
        <v>22</v>
      </c>
      <c r="L2805" s="1" t="str">
        <f>HYPERLINK("https://files.afu.se/Downloads/Transcripts/0%20-%20Government/USA%20-%20NASA%20Johnson/2012 06 13 - NASA Johnson - ISS Update  Day 2 of NEEMO 16_NrCmcdxrBI4 - transcript (automated).pdf","Transcript Link")</f>
        <v>Transcript Link</v>
      </c>
      <c r="M2805" s="2" t="str">
        <f>HYPERLINK("https://files.afu.se/Downloads/Transcripts/0%20-%20Government/USA%20-%20NASA%20Johnson/2012 06 13 - NASA Johnson - ISS Update  Day 2 of NEEMO 16_NrCmcdxrBI4 - transcript (automated).pdf","Transcript Link")</f>
        <v>Transcript Link</v>
      </c>
    </row>
    <row r="2806" ht="180" spans="1:13">
      <c r="A2806" s="1" t="s">
        <v>12307</v>
      </c>
      <c r="B2806" s="1" t="s">
        <v>13</v>
      </c>
      <c r="C2806" s="4" t="s">
        <v>12312</v>
      </c>
      <c r="D2806" s="1" t="s">
        <v>12313</v>
      </c>
      <c r="E2806" s="1" t="s">
        <v>12314</v>
      </c>
      <c r="F2806" s="4" t="s">
        <v>17</v>
      </c>
      <c r="G2806" s="1" t="s">
        <v>18</v>
      </c>
      <c r="H2806" s="1" t="s">
        <v>19</v>
      </c>
      <c r="I2806" s="1" t="s">
        <v>20</v>
      </c>
      <c r="J2806" s="1" t="s">
        <v>12315</v>
      </c>
      <c r="K2806" s="1" t="s">
        <v>22</v>
      </c>
      <c r="L2806" s="1" t="str">
        <f>HYPERLINK("https://files.afu.se/Downloads/Transcripts/0%20-%20Government/USA%20-%20NASA%20Johnson/2012 06 13 - NASA Johnson - ISS Update - June 13, 2012_Z8KJOcN--HM - transcript (automated).pdf","Transcript Link")</f>
        <v>Transcript Link</v>
      </c>
      <c r="M2806" s="2" t="str">
        <f>HYPERLINK("https://files.afu.se/Downloads/Transcripts/0%20-%20Government/USA%20-%20NASA%20Johnson/2012 06 13 - NASA Johnson - ISS Update - June 13, 2012_Z8KJOcN--HM - transcript (automated).pdf","Transcript Link")</f>
        <v>Transcript Link</v>
      </c>
    </row>
    <row r="2807" ht="180" spans="1:13">
      <c r="A2807" s="1" t="s">
        <v>12316</v>
      </c>
      <c r="B2807" s="1" t="s">
        <v>13</v>
      </c>
      <c r="C2807" s="4" t="s">
        <v>12317</v>
      </c>
      <c r="D2807" s="1" t="s">
        <v>12318</v>
      </c>
      <c r="E2807" s="1" t="s">
        <v>12319</v>
      </c>
      <c r="F2807" s="4" t="s">
        <v>17</v>
      </c>
      <c r="G2807" s="1" t="s">
        <v>18</v>
      </c>
      <c r="H2807" s="1" t="s">
        <v>19</v>
      </c>
      <c r="I2807" s="1" t="s">
        <v>20</v>
      </c>
      <c r="J2807" s="1" t="s">
        <v>12320</v>
      </c>
      <c r="K2807" s="1" t="s">
        <v>22</v>
      </c>
      <c r="L2807" s="1" t="str">
        <f>HYPERLINK("https://files.afu.se/Downloads/Transcripts/0%20-%20Government/USA%20-%20NASA%20Johnson/2012 06 12 - NASA Johnson - ISS Update  NEEMO 16_yasf5CjByZ0 - transcript (automated).pdf","Transcript Link")</f>
        <v>Transcript Link</v>
      </c>
      <c r="M2807" s="2" t="str">
        <f>HYPERLINK("https://files.afu.se/Downloads/Transcripts/0%20-%20Government/USA%20-%20NASA%20Johnson/2012 06 12 - NASA Johnson - ISS Update  NEEMO 16_yasf5CjByZ0 - transcript (automated).pdf","Transcript Link")</f>
        <v>Transcript Link</v>
      </c>
    </row>
    <row r="2808" ht="180" spans="1:13">
      <c r="A2808" s="1" t="s">
        <v>12316</v>
      </c>
      <c r="B2808" s="1" t="s">
        <v>13</v>
      </c>
      <c r="C2808" s="4" t="s">
        <v>12321</v>
      </c>
      <c r="D2808" s="1" t="s">
        <v>12322</v>
      </c>
      <c r="E2808" s="1" t="s">
        <v>12323</v>
      </c>
      <c r="F2808" s="4" t="s">
        <v>17</v>
      </c>
      <c r="G2808" s="1" t="s">
        <v>18</v>
      </c>
      <c r="H2808" s="1" t="s">
        <v>19</v>
      </c>
      <c r="I2808" s="1" t="s">
        <v>20</v>
      </c>
      <c r="J2808" s="1" t="s">
        <v>12324</v>
      </c>
      <c r="K2808" s="1" t="s">
        <v>22</v>
      </c>
      <c r="L2808" s="1" t="str">
        <f>HYPERLINK("https://files.afu.se/Downloads/Transcripts/0%20-%20Government/USA%20-%20NASA%20Johnson/2012 06 12 - NASA Johnson - ISS Update - June 12, 2012_GNSdLjZdp7M - transcript (automated).pdf","Transcript Link")</f>
        <v>Transcript Link</v>
      </c>
      <c r="M2808" s="2" t="str">
        <f>HYPERLINK("https://files.afu.se/Downloads/Transcripts/0%20-%20Government/USA%20-%20NASA%20Johnson/2012 06 12 - NASA Johnson - ISS Update - June 12, 2012_GNSdLjZdp7M - transcript (automated).pdf","Transcript Link")</f>
        <v>Transcript Link</v>
      </c>
    </row>
    <row r="2809" ht="180" spans="1:13">
      <c r="A2809" s="1" t="s">
        <v>12325</v>
      </c>
      <c r="B2809" s="1" t="s">
        <v>13</v>
      </c>
      <c r="C2809" s="4" t="s">
        <v>12326</v>
      </c>
      <c r="D2809" s="1" t="s">
        <v>12327</v>
      </c>
      <c r="E2809" s="1" t="s">
        <v>12328</v>
      </c>
      <c r="F2809" s="4" t="s">
        <v>17</v>
      </c>
      <c r="G2809" s="1" t="s">
        <v>18</v>
      </c>
      <c r="H2809" s="1" t="s">
        <v>19</v>
      </c>
      <c r="I2809" s="1" t="s">
        <v>20</v>
      </c>
      <c r="J2809" s="1" t="s">
        <v>12329</v>
      </c>
      <c r="K2809" s="1" t="s">
        <v>22</v>
      </c>
      <c r="L2809" s="1" t="str">
        <f>HYPERLINK("https://files.afu.se/Downloads/Transcripts/0%20-%20Government/USA%20-%20NASA%20Johnson/2012 06 11 - NASA Johnson - ISS Update - June 11, 2012_dJ5EJs-KLGI - transcript (automated).pdf","Transcript Link")</f>
        <v>Transcript Link</v>
      </c>
      <c r="M2809" s="2" t="str">
        <f>HYPERLINK("https://files.afu.se/Downloads/Transcripts/0%20-%20Government/USA%20-%20NASA%20Johnson/2012 06 11 - NASA Johnson - ISS Update - June 11, 2012_dJ5EJs-KLGI - transcript (automated).pdf","Transcript Link")</f>
        <v>Transcript Link</v>
      </c>
    </row>
    <row r="2810" ht="180" spans="1:13">
      <c r="A2810" s="1" t="s">
        <v>12330</v>
      </c>
      <c r="B2810" s="1" t="s">
        <v>13</v>
      </c>
      <c r="C2810" s="4" t="s">
        <v>12331</v>
      </c>
      <c r="D2810" s="1" t="s">
        <v>12332</v>
      </c>
      <c r="E2810" s="1" t="s">
        <v>12333</v>
      </c>
      <c r="F2810" s="4" t="s">
        <v>17</v>
      </c>
      <c r="G2810" s="1" t="s">
        <v>18</v>
      </c>
      <c r="H2810" s="1" t="s">
        <v>19</v>
      </c>
      <c r="I2810" s="1" t="s">
        <v>20</v>
      </c>
      <c r="J2810" s="1" t="s">
        <v>12334</v>
      </c>
      <c r="K2810" s="1" t="s">
        <v>22</v>
      </c>
      <c r="L2810" s="1" t="str">
        <f>HYPERLINK("https://files.afu.se/Downloads/Transcripts/0%20-%20Government/USA%20-%20NASA%20Johnson/2012 06 08 - NASA Johnson - Perpetual Sun_Vi5N-bBHBLE - transcript (automated).pdf","Transcript Link")</f>
        <v>Transcript Link</v>
      </c>
      <c r="M2810" s="2" t="str">
        <f>HYPERLINK("https://files.afu.se/Downloads/Transcripts/0%20-%20Government/USA%20-%20NASA%20Johnson/2012 06 08 - NASA Johnson - Perpetual Sun_Vi5N-bBHBLE - transcript (automated).pdf","Transcript Link")</f>
        <v>Transcript Link</v>
      </c>
    </row>
    <row r="2811" ht="180" spans="1:13">
      <c r="A2811" s="1" t="s">
        <v>12330</v>
      </c>
      <c r="B2811" s="1" t="s">
        <v>13</v>
      </c>
      <c r="C2811" s="4" t="s">
        <v>12335</v>
      </c>
      <c r="D2811" s="1" t="s">
        <v>12336</v>
      </c>
      <c r="E2811" s="1" t="s">
        <v>12337</v>
      </c>
      <c r="F2811" s="4" t="s">
        <v>17</v>
      </c>
      <c r="G2811" s="1" t="s">
        <v>18</v>
      </c>
      <c r="H2811" s="1" t="s">
        <v>19</v>
      </c>
      <c r="I2811" s="1" t="s">
        <v>20</v>
      </c>
      <c r="J2811" s="1" t="s">
        <v>12338</v>
      </c>
      <c r="K2811" s="1" t="s">
        <v>22</v>
      </c>
      <c r="L2811" s="1" t="str">
        <f>HYPERLINK("https://files.afu.se/Downloads/Transcripts/0%20-%20Government/USA%20-%20NASA%20Johnson/2012 06 08 - NASA Johnson - ISS Update  After the Venus Transit_53dWeDNsTF0 - transcript (automated).pdf","Transcript Link")</f>
        <v>Transcript Link</v>
      </c>
      <c r="M2811" s="2" t="str">
        <f>HYPERLINK("https://files.afu.se/Downloads/Transcripts/0%20-%20Government/USA%20-%20NASA%20Johnson/2012 06 08 - NASA Johnson - ISS Update  After the Venus Transit_53dWeDNsTF0 - transcript (automated).pdf","Transcript Link")</f>
        <v>Transcript Link</v>
      </c>
    </row>
    <row r="2812" ht="180" spans="1:13">
      <c r="A2812" s="1" t="s">
        <v>12330</v>
      </c>
      <c r="B2812" s="1" t="s">
        <v>13</v>
      </c>
      <c r="C2812" s="4" t="s">
        <v>12339</v>
      </c>
      <c r="D2812" s="1" t="s">
        <v>12340</v>
      </c>
      <c r="E2812" s="1" t="s">
        <v>12341</v>
      </c>
      <c r="F2812" s="4" t="s">
        <v>17</v>
      </c>
      <c r="G2812" s="1" t="s">
        <v>18</v>
      </c>
      <c r="H2812" s="1" t="s">
        <v>19</v>
      </c>
      <c r="I2812" s="1" t="s">
        <v>20</v>
      </c>
      <c r="J2812" s="1" t="s">
        <v>12342</v>
      </c>
      <c r="K2812" s="1" t="s">
        <v>22</v>
      </c>
      <c r="L2812" s="1" t="str">
        <f>HYPERLINK("https://files.afu.se/Downloads/Transcripts/0%20-%20Government/USA%20-%20NASA%20Johnson/2012 06 08 - NASA Johnson - ISS Update  Weekly Recap for June 4, 2012_gvQkqhDdhE4 - transcript (automated).pdf","Transcript Link")</f>
        <v>Transcript Link</v>
      </c>
      <c r="M2812" s="2" t="str">
        <f>HYPERLINK("https://files.afu.se/Downloads/Transcripts/0%20-%20Government/USA%20-%20NASA%20Johnson/2012 06 08 - NASA Johnson - ISS Update  Weekly Recap for June 4, 2012_gvQkqhDdhE4 - transcript (automated).pdf","Transcript Link")</f>
        <v>Transcript Link</v>
      </c>
    </row>
    <row r="2813" ht="180" spans="1:13">
      <c r="A2813" s="1" t="s">
        <v>12343</v>
      </c>
      <c r="B2813" s="1" t="s">
        <v>13</v>
      </c>
      <c r="C2813" s="4" t="s">
        <v>12344</v>
      </c>
      <c r="D2813" s="1" t="s">
        <v>12345</v>
      </c>
      <c r="E2813" s="1" t="s">
        <v>12346</v>
      </c>
      <c r="F2813" s="4" t="s">
        <v>17</v>
      </c>
      <c r="G2813" s="1" t="s">
        <v>18</v>
      </c>
      <c r="H2813" s="1" t="s">
        <v>19</v>
      </c>
      <c r="I2813" s="1" t="s">
        <v>20</v>
      </c>
      <c r="J2813" s="1" t="s">
        <v>12347</v>
      </c>
      <c r="K2813" s="1" t="s">
        <v>22</v>
      </c>
      <c r="L2813" s="1" t="str">
        <f>HYPERLINK("https://files.afu.se/Downloads/Transcripts/0%20-%20Government/USA%20-%20NASA%20Johnson/2012 06 07 - NASA Johnson - ISS Update  Suitport Testing_Hte9L5BXlDU - transcript (automated).pdf","Transcript Link")</f>
        <v>Transcript Link</v>
      </c>
      <c r="M2813" s="2" t="str">
        <f>HYPERLINK("https://files.afu.se/Downloads/Transcripts/0%20-%20Government/USA%20-%20NASA%20Johnson/2012 06 07 - NASA Johnson - ISS Update  Suitport Testing_Hte9L5BXlDU - transcript (automated).pdf","Transcript Link")</f>
        <v>Transcript Link</v>
      </c>
    </row>
    <row r="2814" ht="180" spans="1:13">
      <c r="A2814" s="1" t="s">
        <v>12343</v>
      </c>
      <c r="B2814" s="1" t="s">
        <v>13</v>
      </c>
      <c r="C2814" s="4" t="s">
        <v>12348</v>
      </c>
      <c r="D2814" s="1" t="s">
        <v>12349</v>
      </c>
      <c r="E2814" s="1" t="s">
        <v>12350</v>
      </c>
      <c r="F2814" s="4" t="s">
        <v>17</v>
      </c>
      <c r="G2814" s="1" t="s">
        <v>18</v>
      </c>
      <c r="H2814" s="1" t="s">
        <v>19</v>
      </c>
      <c r="I2814" s="1" t="s">
        <v>20</v>
      </c>
      <c r="J2814" s="1" t="s">
        <v>12351</v>
      </c>
      <c r="K2814" s="1" t="s">
        <v>22</v>
      </c>
      <c r="L2814" s="1" t="str">
        <f>HYPERLINK("https://files.afu.se/Downloads/Transcripts/0%20-%20Government/USA%20-%20NASA%20Johnson/2012 06 07 - NASA Johnson - ISS Update  Suitport_NUqm_-0P7y8 - transcript (automated).pdf","Transcript Link")</f>
        <v>Transcript Link</v>
      </c>
      <c r="M2814" s="2" t="str">
        <f>HYPERLINK("https://files.afu.se/Downloads/Transcripts/0%20-%20Government/USA%20-%20NASA%20Johnson/2012 06 07 - NASA Johnson - ISS Update  Suitport_NUqm_-0P7y8 - transcript (automated).pdf","Transcript Link")</f>
        <v>Transcript Link</v>
      </c>
    </row>
    <row r="2815" ht="180" spans="1:13">
      <c r="A2815" s="1" t="s">
        <v>12343</v>
      </c>
      <c r="B2815" s="1" t="s">
        <v>13</v>
      </c>
      <c r="C2815" s="4" t="s">
        <v>12352</v>
      </c>
      <c r="D2815" s="1" t="s">
        <v>12353</v>
      </c>
      <c r="E2815" s="1" t="s">
        <v>12354</v>
      </c>
      <c r="F2815" s="4" t="s">
        <v>17</v>
      </c>
      <c r="G2815" s="1" t="s">
        <v>18</v>
      </c>
      <c r="H2815" s="1" t="s">
        <v>19</v>
      </c>
      <c r="I2815" s="1" t="s">
        <v>20</v>
      </c>
      <c r="J2815" s="1" t="s">
        <v>12355</v>
      </c>
      <c r="K2815" s="1" t="s">
        <v>22</v>
      </c>
      <c r="L2815" s="1" t="str">
        <f>HYPERLINK("https://files.afu.se/Downloads/Transcripts/0%20-%20Government/USA%20-%20NASA%20Johnson/2012 06 07 - NASA Johnson - Students Speak With NASA Astronaut Mario Runco_GvFlYC_9le0 - transcript (automated).pdf","Transcript Link")</f>
        <v>Transcript Link</v>
      </c>
      <c r="M2815" s="2" t="str">
        <f>HYPERLINK("https://files.afu.se/Downloads/Transcripts/0%20-%20Government/USA%20-%20NASA%20Johnson/2012 06 07 - NASA Johnson - Students Speak With NASA Astronaut Mario Runco_GvFlYC_9le0 - transcript (automated).pdf","Transcript Link")</f>
        <v>Transcript Link</v>
      </c>
    </row>
    <row r="2816" ht="180" spans="1:13">
      <c r="A2816" s="1" t="s">
        <v>12343</v>
      </c>
      <c r="B2816" s="1" t="s">
        <v>13</v>
      </c>
      <c r="C2816" s="4" t="s">
        <v>12356</v>
      </c>
      <c r="D2816" s="1" t="s">
        <v>12357</v>
      </c>
      <c r="E2816" s="1" t="s">
        <v>12358</v>
      </c>
      <c r="F2816" s="4" t="s">
        <v>17</v>
      </c>
      <c r="G2816" s="1" t="s">
        <v>18</v>
      </c>
      <c r="H2816" s="1" t="s">
        <v>19</v>
      </c>
      <c r="I2816" s="1" t="s">
        <v>20</v>
      </c>
      <c r="J2816" s="1" t="s">
        <v>12359</v>
      </c>
      <c r="K2816" s="1" t="s">
        <v>22</v>
      </c>
      <c r="L2816" s="1" t="str">
        <f>HYPERLINK("https://files.afu.se/Downloads/Transcripts/0%20-%20Government/USA%20-%20NASA%20Johnson/2012 06 07 - NASA Johnson - ISS Update - June 7, 2012_05v8YtGIWvo - transcript (automated).pdf","Transcript Link")</f>
        <v>Transcript Link</v>
      </c>
      <c r="M2816" s="2" t="str">
        <f>HYPERLINK("https://files.afu.se/Downloads/Transcripts/0%20-%20Government/USA%20-%20NASA%20Johnson/2012 06 07 - NASA Johnson - ISS Update - June 7, 2012_05v8YtGIWvo - transcript (automated).pdf","Transcript Link")</f>
        <v>Transcript Link</v>
      </c>
    </row>
    <row r="2817" ht="180" spans="1:13">
      <c r="A2817" s="1" t="s">
        <v>12360</v>
      </c>
      <c r="B2817" s="1" t="s">
        <v>13</v>
      </c>
      <c r="C2817" s="4" t="s">
        <v>12361</v>
      </c>
      <c r="D2817" s="1" t="s">
        <v>12362</v>
      </c>
      <c r="E2817" s="1" t="s">
        <v>12363</v>
      </c>
      <c r="F2817" s="4" t="s">
        <v>17</v>
      </c>
      <c r="G2817" s="1" t="s">
        <v>18</v>
      </c>
      <c r="H2817" s="1" t="s">
        <v>19</v>
      </c>
      <c r="I2817" s="1" t="s">
        <v>20</v>
      </c>
      <c r="J2817" s="1" t="s">
        <v>12364</v>
      </c>
      <c r="K2817" s="1" t="s">
        <v>22</v>
      </c>
      <c r="L2817" s="1" t="str">
        <f>HYPERLINK("https://files.afu.se/Downloads/Transcripts/0%20-%20Government/USA%20-%20NASA%20Johnson/2012 06 06 - NASA Johnson - ISS Update - June 4, 2012_w6fOS2H0oBM - transcript (automated).pdf","Transcript Link")</f>
        <v>Transcript Link</v>
      </c>
      <c r="M2817" s="2" t="str">
        <f>HYPERLINK("https://files.afu.se/Downloads/Transcripts/0%20-%20Government/USA%20-%20NASA%20Johnson/2012 06 06 - NASA Johnson - ISS Update - June 4, 2012_w6fOS2H0oBM - transcript (automated).pdf","Transcript Link")</f>
        <v>Transcript Link</v>
      </c>
    </row>
    <row r="2818" ht="180" spans="1:13">
      <c r="A2818" s="1" t="s">
        <v>12360</v>
      </c>
      <c r="B2818" s="1" t="s">
        <v>13</v>
      </c>
      <c r="C2818" s="4" t="s">
        <v>12365</v>
      </c>
      <c r="D2818" s="1" t="s">
        <v>12366</v>
      </c>
      <c r="E2818" s="1" t="s">
        <v>12367</v>
      </c>
      <c r="F2818" s="4" t="s">
        <v>17</v>
      </c>
      <c r="G2818" s="1" t="s">
        <v>18</v>
      </c>
      <c r="H2818" s="1" t="s">
        <v>19</v>
      </c>
      <c r="I2818" s="1" t="s">
        <v>20</v>
      </c>
      <c r="J2818" s="1" t="s">
        <v>12368</v>
      </c>
      <c r="K2818" s="1" t="s">
        <v>22</v>
      </c>
      <c r="L2818" s="1" t="str">
        <f>HYPERLINK("https://files.afu.se/Downloads/Transcripts/0%20-%20Government/USA%20-%20NASA%20Johnson/2012 06 06 - NASA Johnson - ISS Update - June 5, 2012_XJklKnUsyEw - transcript (automated).pdf","Transcript Link")</f>
        <v>Transcript Link</v>
      </c>
      <c r="M2818" s="2" t="str">
        <f>HYPERLINK("https://files.afu.se/Downloads/Transcripts/0%20-%20Government/USA%20-%20NASA%20Johnson/2012 06 06 - NASA Johnson - ISS Update - June 5, 2012_XJklKnUsyEw - transcript (automated).pdf","Transcript Link")</f>
        <v>Transcript Link</v>
      </c>
    </row>
    <row r="2819" ht="180" spans="1:13">
      <c r="A2819" s="1" t="s">
        <v>12360</v>
      </c>
      <c r="B2819" s="1" t="s">
        <v>13</v>
      </c>
      <c r="C2819" s="4" t="s">
        <v>12369</v>
      </c>
      <c r="D2819" s="1" t="s">
        <v>12370</v>
      </c>
      <c r="E2819" s="1" t="s">
        <v>12371</v>
      </c>
      <c r="F2819" s="4" t="s">
        <v>17</v>
      </c>
      <c r="G2819" s="1" t="s">
        <v>18</v>
      </c>
      <c r="H2819" s="1" t="s">
        <v>19</v>
      </c>
      <c r="I2819" s="1" t="s">
        <v>20</v>
      </c>
      <c r="J2819" s="1" t="s">
        <v>12372</v>
      </c>
      <c r="K2819" s="1" t="s">
        <v>22</v>
      </c>
      <c r="L2819" s="1" t="str">
        <f>HYPERLINK("https://files.afu.se/Downloads/Transcripts/0%20-%20Government/USA%20-%20NASA%20Johnson/2012 06 06 - NASA Johnson - ISS Update  Transit of Venus_57YGgtb9Ktg - transcript (automated).pdf","Transcript Link")</f>
        <v>Transcript Link</v>
      </c>
      <c r="M2819" s="2" t="str">
        <f>HYPERLINK("https://files.afu.se/Downloads/Transcripts/0%20-%20Government/USA%20-%20NASA%20Johnson/2012 06 06 - NASA Johnson - ISS Update  Transit of Venus_57YGgtb9Ktg - transcript (automated).pdf","Transcript Link")</f>
        <v>Transcript Link</v>
      </c>
    </row>
    <row r="2820" ht="180" spans="1:13">
      <c r="A2820" s="1" t="s">
        <v>12360</v>
      </c>
      <c r="B2820" s="1" t="s">
        <v>13</v>
      </c>
      <c r="C2820" s="4" t="s">
        <v>12373</v>
      </c>
      <c r="D2820" s="1" t="s">
        <v>12374</v>
      </c>
      <c r="E2820" s="1" t="s">
        <v>12375</v>
      </c>
      <c r="F2820" s="4" t="s">
        <v>17</v>
      </c>
      <c r="G2820" s="1" t="s">
        <v>18</v>
      </c>
      <c r="H2820" s="1" t="s">
        <v>19</v>
      </c>
      <c r="I2820" s="1" t="s">
        <v>20</v>
      </c>
      <c r="J2820" s="1" t="s">
        <v>12376</v>
      </c>
      <c r="K2820" s="1" t="s">
        <v>22</v>
      </c>
      <c r="L2820" s="1" t="str">
        <f>HYPERLINK("https://files.afu.se/Downloads/Transcripts/0%20-%20Government/USA%20-%20NASA%20Johnson/2012 06 06 - NASA Johnson - ISS Update - June 6, 2012_P6P7xhuLd84 - transcript (automated).pdf","Transcript Link")</f>
        <v>Transcript Link</v>
      </c>
      <c r="M2820" s="2" t="str">
        <f>HYPERLINK("https://files.afu.se/Downloads/Transcripts/0%20-%20Government/USA%20-%20NASA%20Johnson/2012 06 06 - NASA Johnson - ISS Update - June 6, 2012_P6P7xhuLd84 - transcript (automated).pdf","Transcript Link")</f>
        <v>Transcript Link</v>
      </c>
    </row>
    <row r="2821" ht="180" spans="1:13">
      <c r="A2821" s="1" t="s">
        <v>12377</v>
      </c>
      <c r="B2821" s="1" t="s">
        <v>13</v>
      </c>
      <c r="C2821" s="4" t="s">
        <v>12378</v>
      </c>
      <c r="D2821" s="1" t="s">
        <v>12379</v>
      </c>
      <c r="E2821" s="1" t="s">
        <v>12380</v>
      </c>
      <c r="F2821" s="4" t="s">
        <v>17</v>
      </c>
      <c r="G2821" s="1" t="s">
        <v>18</v>
      </c>
      <c r="H2821" s="1" t="s">
        <v>19</v>
      </c>
      <c r="I2821" s="1" t="s">
        <v>20</v>
      </c>
      <c r="J2821" s="1" t="s">
        <v>12381</v>
      </c>
      <c r="K2821" s="1" t="s">
        <v>22</v>
      </c>
      <c r="L2821" s="1" t="str">
        <f>HYPERLINK("https://files.afu.se/Downloads/Transcripts/0%20-%20Government/USA%20-%20NASA%20Johnson/2012 06 01 - NASA Johnson - Shuttle Replica On The Way To Space Center Houston_mpIBhSXPEbo - transcript (automated).pdf","Transcript Link")</f>
        <v>Transcript Link</v>
      </c>
      <c r="M2821" s="2" t="str">
        <f>HYPERLINK("https://files.afu.se/Downloads/Transcripts/0%20-%20Government/USA%20-%20NASA%20Johnson/2012 06 01 - NASA Johnson - Shuttle Replica On The Way To Space Center Houston_mpIBhSXPEbo - transcript (automated).pdf","Transcript Link")</f>
        <v>Transcript Link</v>
      </c>
    </row>
    <row r="2822" ht="180" spans="1:13">
      <c r="A2822" s="1" t="s">
        <v>12377</v>
      </c>
      <c r="B2822" s="1" t="s">
        <v>13</v>
      </c>
      <c r="C2822" s="4" t="s">
        <v>12382</v>
      </c>
      <c r="D2822" s="1" t="s">
        <v>12383</v>
      </c>
      <c r="E2822" s="1" t="s">
        <v>12384</v>
      </c>
      <c r="F2822" s="4" t="s">
        <v>17</v>
      </c>
      <c r="G2822" s="1" t="s">
        <v>18</v>
      </c>
      <c r="H2822" s="1" t="s">
        <v>19</v>
      </c>
      <c r="I2822" s="1" t="s">
        <v>20</v>
      </c>
      <c r="J2822" s="1" t="s">
        <v>12385</v>
      </c>
      <c r="K2822" s="1" t="s">
        <v>22</v>
      </c>
      <c r="L2822" s="1" t="str">
        <f>HYPERLINK("https://files.afu.se/Downloads/Transcripts/0%20-%20Government/USA%20-%20NASA%20Johnson/2012 06 01 - NASA Johnson - ISS Update - June 1, 2012_C-w2oyGKEEg - transcript (automated).pdf","Transcript Link")</f>
        <v>Transcript Link</v>
      </c>
      <c r="M2822" s="2" t="str">
        <f>HYPERLINK("https://files.afu.se/Downloads/Transcripts/0%20-%20Government/USA%20-%20NASA%20Johnson/2012 06 01 - NASA Johnson - ISS Update - June 1, 2012_C-w2oyGKEEg - transcript (automated).pdf","Transcript Link")</f>
        <v>Transcript Link</v>
      </c>
    </row>
    <row r="2823" ht="180" spans="1:13">
      <c r="A2823" s="1" t="s">
        <v>12377</v>
      </c>
      <c r="B2823" s="1" t="s">
        <v>13</v>
      </c>
      <c r="C2823" s="4" t="s">
        <v>12386</v>
      </c>
      <c r="D2823" s="1" t="s">
        <v>12387</v>
      </c>
      <c r="E2823" s="1" t="s">
        <v>12388</v>
      </c>
      <c r="F2823" s="4" t="s">
        <v>17</v>
      </c>
      <c r="G2823" s="1" t="s">
        <v>18</v>
      </c>
      <c r="H2823" s="1" t="s">
        <v>19</v>
      </c>
      <c r="I2823" s="1" t="s">
        <v>20</v>
      </c>
      <c r="J2823" s="1" t="s">
        <v>12389</v>
      </c>
      <c r="K2823" s="1" t="s">
        <v>22</v>
      </c>
      <c r="L2823" s="1" t="str">
        <f>HYPERLINK("https://files.afu.se/Downloads/Transcripts/0%20-%20Government/USA%20-%20NASA%20Johnson/2012 06 01 - NASA Johnson - Chase Plane Video Of Historic SpaceX Splashdown_nbHj4P81voA - transcript (automated).pdf","Transcript Link")</f>
        <v>Transcript Link</v>
      </c>
      <c r="M2823" s="2" t="str">
        <f>HYPERLINK("https://files.afu.se/Downloads/Transcripts/0%20-%20Government/USA%20-%20NASA%20Johnson/2012 06 01 - NASA Johnson - Chase Plane Video Of Historic SpaceX Splashdown_nbHj4P81voA - transcript (automated).pdf","Transcript Link")</f>
        <v>Transcript Link</v>
      </c>
    </row>
    <row r="2824" ht="180" spans="1:13">
      <c r="A2824" s="1" t="s">
        <v>12377</v>
      </c>
      <c r="B2824" s="1" t="s">
        <v>13</v>
      </c>
      <c r="C2824" s="4" t="s">
        <v>12390</v>
      </c>
      <c r="D2824" s="1" t="s">
        <v>12391</v>
      </c>
      <c r="E2824" s="1" t="s">
        <v>12392</v>
      </c>
      <c r="F2824" s="4" t="s">
        <v>17</v>
      </c>
      <c r="G2824" s="1" t="s">
        <v>18</v>
      </c>
      <c r="H2824" s="1" t="s">
        <v>19</v>
      </c>
      <c r="I2824" s="1" t="s">
        <v>20</v>
      </c>
      <c r="J2824" s="1" t="s">
        <v>12393</v>
      </c>
      <c r="K2824" s="1" t="s">
        <v>22</v>
      </c>
      <c r="L2824" s="1" t="str">
        <f>HYPERLINK("https://files.afu.se/Downloads/Transcripts/0%20-%20Government/USA%20-%20NASA%20Johnson/2012 06 01 - NASA Johnson - Science off the Sphere  Space Soundwaves II- Electric Didgeridoo_KYgmShdAUdk - transcript (automated).pdf","Transcript Link")</f>
        <v>Transcript Link</v>
      </c>
      <c r="M2824" s="2" t="str">
        <f>HYPERLINK("https://files.afu.se/Downloads/Transcripts/0%20-%20Government/USA%20-%20NASA%20Johnson/2012 06 01 - NASA Johnson - Science off the Sphere  Space Soundwaves II- Electric Didgeridoo_KYgmShdAUdk - transcript (automated).pdf","Transcript Link")</f>
        <v>Transcript Link</v>
      </c>
    </row>
    <row r="2825" ht="180" spans="1:13">
      <c r="A2825" s="1" t="s">
        <v>12394</v>
      </c>
      <c r="B2825" s="1" t="s">
        <v>13</v>
      </c>
      <c r="C2825" s="4" t="s">
        <v>12395</v>
      </c>
      <c r="D2825" s="1" t="s">
        <v>12396</v>
      </c>
      <c r="E2825" s="1" t="s">
        <v>12397</v>
      </c>
      <c r="F2825" s="4" t="s">
        <v>17</v>
      </c>
      <c r="G2825" s="1" t="s">
        <v>18</v>
      </c>
      <c r="H2825" s="1" t="s">
        <v>19</v>
      </c>
      <c r="I2825" s="1" t="s">
        <v>20</v>
      </c>
      <c r="J2825" s="1" t="s">
        <v>12398</v>
      </c>
      <c r="K2825" s="1" t="s">
        <v>22</v>
      </c>
      <c r="L2825" s="1" t="str">
        <f>HYPERLINK("https://files.afu.se/Downloads/Transcripts/0%20-%20Government/USA%20-%20NASA%20Johnson/2012 05 31 - NASA Johnson - ISS Update - May 31, 2012_dKSbZQX4sSw - transcript (automated).pdf","Transcript Link")</f>
        <v>Transcript Link</v>
      </c>
      <c r="M2825" s="2" t="str">
        <f>HYPERLINK("https://files.afu.se/Downloads/Transcripts/0%20-%20Government/USA%20-%20NASA%20Johnson/2012 05 31 - NASA Johnson - ISS Update - May 31, 2012_dKSbZQX4sSw - transcript (automated).pdf","Transcript Link")</f>
        <v>Transcript Link</v>
      </c>
    </row>
    <row r="2826" ht="180" spans="1:13">
      <c r="A2826" s="1" t="s">
        <v>12394</v>
      </c>
      <c r="B2826" s="1" t="s">
        <v>13</v>
      </c>
      <c r="C2826" s="4" t="s">
        <v>12399</v>
      </c>
      <c r="D2826" s="1" t="s">
        <v>12400</v>
      </c>
      <c r="E2826" s="1" t="s">
        <v>12401</v>
      </c>
      <c r="F2826" s="4" t="s">
        <v>17</v>
      </c>
      <c r="G2826" s="1" t="s">
        <v>18</v>
      </c>
      <c r="H2826" s="1" t="s">
        <v>19</v>
      </c>
      <c r="I2826" s="1" t="s">
        <v>20</v>
      </c>
      <c r="J2826" s="1" t="s">
        <v>12402</v>
      </c>
      <c r="K2826" s="1" t="s">
        <v>22</v>
      </c>
      <c r="L2826" s="1" t="str">
        <f>HYPERLINK("https://files.afu.se/Downloads/Transcripts/0%20-%20Government/USA%20-%20NASA%20Johnson/2012 05 31 - NASA Johnson - Dragon Departs the Station_ANRgfnTcM2o - transcript (automated).pdf","Transcript Link")</f>
        <v>Transcript Link</v>
      </c>
      <c r="M2826" s="2" t="str">
        <f>HYPERLINK("https://files.afu.se/Downloads/Transcripts/0%20-%20Government/USA%20-%20NASA%20Johnson/2012 05 31 - NASA Johnson - Dragon Departs the Station_ANRgfnTcM2o - transcript (automated).pdf","Transcript Link")</f>
        <v>Transcript Link</v>
      </c>
    </row>
    <row r="2827" ht="180" spans="1:13">
      <c r="A2827" s="1" t="s">
        <v>12403</v>
      </c>
      <c r="B2827" s="1" t="s">
        <v>13</v>
      </c>
      <c r="C2827" s="4" t="s">
        <v>12404</v>
      </c>
      <c r="D2827" s="1" t="s">
        <v>12405</v>
      </c>
      <c r="E2827" s="1" t="s">
        <v>12406</v>
      </c>
      <c r="F2827" s="4" t="s">
        <v>17</v>
      </c>
      <c r="G2827" s="1" t="s">
        <v>18</v>
      </c>
      <c r="H2827" s="1" t="s">
        <v>19</v>
      </c>
      <c r="I2827" s="1" t="s">
        <v>20</v>
      </c>
      <c r="J2827" s="1" t="s">
        <v>12407</v>
      </c>
      <c r="K2827" s="1" t="s">
        <v>22</v>
      </c>
      <c r="L2827" s="1" t="str">
        <f>HYPERLINK("https://files.afu.se/Downloads/Transcripts/0%20-%20Government/USA%20-%20NASA%20Johnson/2012 05 30 - NASA Johnson - ISS Update  How Long-Duration Spaceflight Affects Health_AQx9GRwHD74 - transcript (automated).pdf","Transcript Link")</f>
        <v>Transcript Link</v>
      </c>
      <c r="M2827" s="2" t="str">
        <f>HYPERLINK("https://files.afu.se/Downloads/Transcripts/0%20-%20Government/USA%20-%20NASA%20Johnson/2012 05 30 - NASA Johnson - ISS Update  How Long-Duration Spaceflight Affects Health_AQx9GRwHD74 - transcript (automated).pdf","Transcript Link")</f>
        <v>Transcript Link</v>
      </c>
    </row>
    <row r="2828" ht="180" spans="1:13">
      <c r="A2828" s="1" t="s">
        <v>12403</v>
      </c>
      <c r="B2828" s="1" t="s">
        <v>13</v>
      </c>
      <c r="C2828" s="4" t="s">
        <v>12408</v>
      </c>
      <c r="D2828" s="1" t="s">
        <v>12409</v>
      </c>
      <c r="E2828" s="1" t="s">
        <v>12410</v>
      </c>
      <c r="F2828" s="4" t="s">
        <v>17</v>
      </c>
      <c r="G2828" s="1" t="s">
        <v>18</v>
      </c>
      <c r="H2828" s="1" t="s">
        <v>19</v>
      </c>
      <c r="I2828" s="1" t="s">
        <v>20</v>
      </c>
      <c r="J2828" s="1" t="s">
        <v>12411</v>
      </c>
      <c r="K2828" s="1" t="s">
        <v>22</v>
      </c>
      <c r="L2828" s="1" t="str">
        <f>HYPERLINK("https://files.afu.se/Downloads/Transcripts/0%20-%20Government/USA%20-%20NASA%20Johnson/2012 05 30 - NASA Johnson - Moon Rise_YcHUlVMKy5o - transcript (automated).pdf","Transcript Link")</f>
        <v>Transcript Link</v>
      </c>
      <c r="M2828" s="2" t="str">
        <f>HYPERLINK("https://files.afu.se/Downloads/Transcripts/0%20-%20Government/USA%20-%20NASA%20Johnson/2012 05 30 - NASA Johnson - Moon Rise_YcHUlVMKy5o - transcript (automated).pdf","Transcript Link")</f>
        <v>Transcript Link</v>
      </c>
    </row>
    <row r="2829" ht="180" spans="1:13">
      <c r="A2829" s="1" t="s">
        <v>12403</v>
      </c>
      <c r="B2829" s="1" t="s">
        <v>13</v>
      </c>
      <c r="C2829" s="4" t="s">
        <v>12412</v>
      </c>
      <c r="D2829" s="1" t="s">
        <v>12413</v>
      </c>
      <c r="E2829" s="1" t="s">
        <v>12414</v>
      </c>
      <c r="F2829" s="4" t="s">
        <v>17</v>
      </c>
      <c r="G2829" s="1" t="s">
        <v>18</v>
      </c>
      <c r="H2829" s="1" t="s">
        <v>19</v>
      </c>
      <c r="I2829" s="1" t="s">
        <v>20</v>
      </c>
      <c r="J2829" s="1" t="s">
        <v>12415</v>
      </c>
      <c r="K2829" s="1" t="s">
        <v>22</v>
      </c>
      <c r="L2829" s="1" t="str">
        <f>HYPERLINK("https://files.afu.se/Downloads/Transcripts/0%20-%20Government/USA%20-%20NASA%20Johnson/2012 05 30 - NASA Johnson - ISS Update - May 30, 2012_xyNEnBqBxuM - transcript (automated).pdf","Transcript Link")</f>
        <v>Transcript Link</v>
      </c>
      <c r="M2829" s="2" t="str">
        <f>HYPERLINK("https://files.afu.se/Downloads/Transcripts/0%20-%20Government/USA%20-%20NASA%20Johnson/2012 05 30 - NASA Johnson - ISS Update - May 30, 2012_xyNEnBqBxuM - transcript (automated).pdf","Transcript Link")</f>
        <v>Transcript Link</v>
      </c>
    </row>
    <row r="2830" ht="180" spans="1:13">
      <c r="A2830" s="1" t="s">
        <v>12416</v>
      </c>
      <c r="B2830" s="1" t="s">
        <v>13</v>
      </c>
      <c r="C2830" s="4" t="s">
        <v>12417</v>
      </c>
      <c r="D2830" s="1" t="s">
        <v>12418</v>
      </c>
      <c r="E2830" s="1" t="s">
        <v>12419</v>
      </c>
      <c r="F2830" s="4" t="s">
        <v>17</v>
      </c>
      <c r="G2830" s="1" t="s">
        <v>18</v>
      </c>
      <c r="H2830" s="1" t="s">
        <v>19</v>
      </c>
      <c r="I2830" s="1" t="s">
        <v>20</v>
      </c>
      <c r="J2830" s="1" t="s">
        <v>12420</v>
      </c>
      <c r="K2830" s="1" t="s">
        <v>22</v>
      </c>
      <c r="L2830" s="1" t="str">
        <f>HYPERLINK("https://files.afu.se/Downloads/Transcripts/0%20-%20Government/USA%20-%20NASA%20Johnson/2012 05 29 - NASA Johnson - ISS Update  SpaceX Dragon Operations_xttzy1YDehM - transcript (automated).pdf","Transcript Link")</f>
        <v>Transcript Link</v>
      </c>
      <c r="M2830" s="2" t="str">
        <f>HYPERLINK("https://files.afu.se/Downloads/Transcripts/0%20-%20Government/USA%20-%20NASA%20Johnson/2012 05 29 - NASA Johnson - ISS Update  SpaceX Dragon Operations_xttzy1YDehM - transcript (automated).pdf","Transcript Link")</f>
        <v>Transcript Link</v>
      </c>
    </row>
    <row r="2831" ht="180" spans="1:13">
      <c r="A2831" s="1" t="s">
        <v>12416</v>
      </c>
      <c r="B2831" s="1" t="s">
        <v>13</v>
      </c>
      <c r="C2831" s="4" t="s">
        <v>12421</v>
      </c>
      <c r="D2831" s="1" t="s">
        <v>12422</v>
      </c>
      <c r="E2831" s="1" t="s">
        <v>12423</v>
      </c>
      <c r="F2831" s="4" t="s">
        <v>17</v>
      </c>
      <c r="G2831" s="1" t="s">
        <v>18</v>
      </c>
      <c r="H2831" s="1" t="s">
        <v>19</v>
      </c>
      <c r="I2831" s="1" t="s">
        <v>20</v>
      </c>
      <c r="J2831" s="1" t="s">
        <v>12424</v>
      </c>
      <c r="K2831" s="1" t="s">
        <v>22</v>
      </c>
      <c r="L2831" s="1" t="str">
        <f>HYPERLINK("https://files.afu.se/Downloads/Transcripts/0%20-%20Government/USA%20-%20NASA%20Johnson/2012 05 29 - NASA Johnson - ISS Update - May 29, 2012_V1QhuWFWHIk - transcript (automated).pdf","Transcript Link")</f>
        <v>Transcript Link</v>
      </c>
      <c r="M2831" s="2" t="str">
        <f>HYPERLINK("https://files.afu.se/Downloads/Transcripts/0%20-%20Government/USA%20-%20NASA%20Johnson/2012 05 29 - NASA Johnson - ISS Update - May 29, 2012_V1QhuWFWHIk - transcript (automated).pdf","Transcript Link")</f>
        <v>Transcript Link</v>
      </c>
    </row>
    <row r="2832" ht="180" spans="1:13">
      <c r="A2832" s="1" t="s">
        <v>12425</v>
      </c>
      <c r="B2832" s="1" t="s">
        <v>13</v>
      </c>
      <c r="C2832" s="4" t="s">
        <v>12426</v>
      </c>
      <c r="D2832" s="1" t="s">
        <v>12427</v>
      </c>
      <c r="E2832" s="1" t="s">
        <v>12428</v>
      </c>
      <c r="F2832" s="4" t="s">
        <v>17</v>
      </c>
      <c r="G2832" s="1" t="s">
        <v>18</v>
      </c>
      <c r="H2832" s="1" t="s">
        <v>19</v>
      </c>
      <c r="I2832" s="1" t="s">
        <v>20</v>
      </c>
      <c r="J2832" s="1" t="s">
        <v>12429</v>
      </c>
      <c r="K2832" s="1" t="s">
        <v>22</v>
      </c>
      <c r="L2832" s="1" t="str">
        <f>HYPERLINK("https://files.afu.se/Downloads/Transcripts/0%20-%20Government/USA%20-%20NASA%20Johnson/2012 05 26 - NASA Johnson - Station Crew Talks To Reporters About Dragon Spacecraft_FZavdmhmuRI - transcript (automated).pdf","Transcript Link")</f>
        <v>Transcript Link</v>
      </c>
      <c r="M2832" s="2" t="str">
        <f>HYPERLINK("https://files.afu.se/Downloads/Transcripts/0%20-%20Government/USA%20-%20NASA%20Johnson/2012 05 26 - NASA Johnson - Station Crew Talks To Reporters About Dragon Spacecraft_FZavdmhmuRI - transcript (automated).pdf","Transcript Link")</f>
        <v>Transcript Link</v>
      </c>
    </row>
    <row r="2833" ht="180" spans="1:13">
      <c r="A2833" s="1" t="s">
        <v>12425</v>
      </c>
      <c r="B2833" s="1" t="s">
        <v>13</v>
      </c>
      <c r="C2833" s="4" t="s">
        <v>12430</v>
      </c>
      <c r="D2833" s="1" t="s">
        <v>12431</v>
      </c>
      <c r="E2833" s="1" t="s">
        <v>12432</v>
      </c>
      <c r="F2833" s="4" t="s">
        <v>17</v>
      </c>
      <c r="G2833" s="1" t="s">
        <v>18</v>
      </c>
      <c r="H2833" s="1" t="s">
        <v>19</v>
      </c>
      <c r="I2833" s="1" t="s">
        <v>20</v>
      </c>
      <c r="J2833" s="1" t="s">
        <v>12433</v>
      </c>
      <c r="K2833" s="1" t="s">
        <v>22</v>
      </c>
      <c r="L2833" s="1" t="str">
        <f>HYPERLINK("https://files.afu.se/Downloads/Transcripts/0%20-%20Government/USA%20-%20NASA%20Johnson/2012 05 26 - NASA Johnson - Station Crew Opens Dragon's Hatch_9T0Sk1JV_oc - transcript (automated).pdf","Transcript Link")</f>
        <v>Transcript Link</v>
      </c>
      <c r="M2833" s="2" t="str">
        <f>HYPERLINK("https://files.afu.se/Downloads/Transcripts/0%20-%20Government/USA%20-%20NASA%20Johnson/2012 05 26 - NASA Johnson - Station Crew Opens Dragon's Hatch_9T0Sk1JV_oc - transcript (automated).pdf","Transcript Link")</f>
        <v>Transcript Link</v>
      </c>
    </row>
    <row r="2834" ht="180" spans="1:13">
      <c r="A2834" s="1" t="s">
        <v>12434</v>
      </c>
      <c r="B2834" s="1" t="s">
        <v>13</v>
      </c>
      <c r="C2834" s="4" t="s">
        <v>12435</v>
      </c>
      <c r="D2834" s="1" t="s">
        <v>12436</v>
      </c>
      <c r="E2834" s="1" t="s">
        <v>12437</v>
      </c>
      <c r="F2834" s="4" t="s">
        <v>17</v>
      </c>
      <c r="G2834" s="1" t="s">
        <v>18</v>
      </c>
      <c r="H2834" s="1" t="s">
        <v>19</v>
      </c>
      <c r="I2834" s="1" t="s">
        <v>20</v>
      </c>
      <c r="J2834" s="1" t="s">
        <v>12438</v>
      </c>
      <c r="K2834" s="1" t="s">
        <v>22</v>
      </c>
      <c r="L2834" s="1" t="str">
        <f>HYPERLINK("https://files.afu.se/Downloads/Transcripts/0%20-%20Government/USA%20-%20NASA%20Johnson/2012 05 25 - NASA Johnson - Space Station Crew Welcomes World's First Commercial Cargo Craft_bGoJ66WNapE - transcript (automated).pdf","Transcript Link")</f>
        <v>Transcript Link</v>
      </c>
      <c r="M2834" s="2" t="str">
        <f>HYPERLINK("https://files.afu.se/Downloads/Transcripts/0%20-%20Government/USA%20-%20NASA%20Johnson/2012 05 25 - NASA Johnson - Space Station Crew Welcomes World's First Commercial Cargo Craft_bGoJ66WNapE - transcript (automated).pdf","Transcript Link")</f>
        <v>Transcript Link</v>
      </c>
    </row>
    <row r="2835" ht="180" spans="1:13">
      <c r="A2835" s="1" t="s">
        <v>12434</v>
      </c>
      <c r="B2835" s="1" t="s">
        <v>13</v>
      </c>
      <c r="C2835" s="4" t="s">
        <v>12439</v>
      </c>
      <c r="D2835" s="1" t="s">
        <v>12440</v>
      </c>
      <c r="E2835" s="1" t="s">
        <v>12441</v>
      </c>
      <c r="F2835" s="4" t="s">
        <v>17</v>
      </c>
      <c r="G2835" s="1" t="s">
        <v>18</v>
      </c>
      <c r="H2835" s="1" t="s">
        <v>19</v>
      </c>
      <c r="I2835" s="1" t="s">
        <v>20</v>
      </c>
      <c r="J2835" s="1" t="s">
        <v>12442</v>
      </c>
      <c r="K2835" s="1" t="s">
        <v>22</v>
      </c>
      <c r="L2835" s="1" t="str">
        <f>HYPERLINK("https://files.afu.se/Downloads/Transcripts/0%20-%20Government/USA%20-%20NASA%20Johnson/2012 05 25 - NASA Johnson - Dragon Grappled and Berthed to Station_Lg5vd_Gs0G4 - transcript (automated).pdf","Transcript Link")</f>
        <v>Transcript Link</v>
      </c>
      <c r="M2835" s="2" t="str">
        <f>HYPERLINK("https://files.afu.se/Downloads/Transcripts/0%20-%20Government/USA%20-%20NASA%20Johnson/2012 05 25 - NASA Johnson - Dragon Grappled and Berthed to Station_Lg5vd_Gs0G4 - transcript (automated).pdf","Transcript Link")</f>
        <v>Transcript Link</v>
      </c>
    </row>
    <row r="2836" ht="180" spans="1:13">
      <c r="A2836" s="1" t="s">
        <v>12434</v>
      </c>
      <c r="B2836" s="1" t="s">
        <v>13</v>
      </c>
      <c r="C2836" s="4" t="s">
        <v>12443</v>
      </c>
      <c r="D2836" s="1" t="s">
        <v>12444</v>
      </c>
      <c r="E2836" s="1" t="s">
        <v>12445</v>
      </c>
      <c r="F2836" s="4" t="s">
        <v>17</v>
      </c>
      <c r="G2836" s="1" t="s">
        <v>18</v>
      </c>
      <c r="H2836" s="1" t="s">
        <v>19</v>
      </c>
      <c r="I2836" s="1" t="s">
        <v>20</v>
      </c>
      <c r="J2836" s="1" t="s">
        <v>12446</v>
      </c>
      <c r="K2836" s="1" t="s">
        <v>22</v>
      </c>
      <c r="L2836" s="1" t="str">
        <f>HYPERLINK("https://files.afu.se/Downloads/Transcripts/0%20-%20Government/USA%20-%20NASA%20Johnson/2012 05 25 - NASA Johnson - May 24 Dragon Fly-Under Captured by Station Crew_sBpFdbqWoNI - transcript (automated).pdf","Transcript Link")</f>
        <v>Transcript Link</v>
      </c>
      <c r="M2836" s="2" t="str">
        <f>HYPERLINK("https://files.afu.se/Downloads/Transcripts/0%20-%20Government/USA%20-%20NASA%20Johnson/2012 05 25 - NASA Johnson - May 24 Dragon Fly-Under Captured by Station Crew_sBpFdbqWoNI - transcript (automated).pdf","Transcript Link")</f>
        <v>Transcript Link</v>
      </c>
    </row>
    <row r="2837" ht="180" spans="1:13">
      <c r="A2837" s="1" t="s">
        <v>12447</v>
      </c>
      <c r="B2837" s="1" t="s">
        <v>13</v>
      </c>
      <c r="C2837" s="4" t="s">
        <v>12448</v>
      </c>
      <c r="D2837" s="1" t="s">
        <v>12449</v>
      </c>
      <c r="E2837" s="1" t="s">
        <v>12450</v>
      </c>
      <c r="F2837" s="4" t="s">
        <v>17</v>
      </c>
      <c r="G2837" s="1" t="s">
        <v>18</v>
      </c>
      <c r="H2837" s="1" t="s">
        <v>19</v>
      </c>
      <c r="I2837" s="1" t="s">
        <v>20</v>
      </c>
      <c r="J2837" s="1" t="s">
        <v>12451</v>
      </c>
      <c r="K2837" s="1" t="s">
        <v>22</v>
      </c>
      <c r="L2837" s="1" t="str">
        <f>HYPERLINK("https://files.afu.se/Downloads/Transcripts/0%20-%20Government/USA%20-%20NASA%20Johnson/2012 05 24 - NASA Johnson - ISS Update - May 24, 2012_YOuz7rTUP7M - transcript (automated).pdf","Transcript Link")</f>
        <v>Transcript Link</v>
      </c>
      <c r="M2837" s="2" t="str">
        <f>HYPERLINK("https://files.afu.se/Downloads/Transcripts/0%20-%20Government/USA%20-%20NASA%20Johnson/2012 05 24 - NASA Johnson - ISS Update - May 24, 2012_YOuz7rTUP7M - transcript (automated).pdf","Transcript Link")</f>
        <v>Transcript Link</v>
      </c>
    </row>
    <row r="2838" ht="180" spans="1:13">
      <c r="A2838" s="1" t="s">
        <v>12447</v>
      </c>
      <c r="B2838" s="1" t="s">
        <v>13</v>
      </c>
      <c r="C2838" s="4" t="s">
        <v>12452</v>
      </c>
      <c r="D2838" s="1" t="s">
        <v>12453</v>
      </c>
      <c r="E2838" s="1" t="s">
        <v>12454</v>
      </c>
      <c r="F2838" s="4" t="s">
        <v>17</v>
      </c>
      <c r="G2838" s="1" t="s">
        <v>18</v>
      </c>
      <c r="H2838" s="1" t="s">
        <v>19</v>
      </c>
      <c r="I2838" s="1" t="s">
        <v>20</v>
      </c>
      <c r="J2838" s="1" t="s">
        <v>12455</v>
      </c>
      <c r="K2838" s="1" t="s">
        <v>22</v>
      </c>
      <c r="L2838" s="1" t="str">
        <f>HYPERLINK("https://files.afu.se/Downloads/Transcripts/0%20-%20Government/USA%20-%20NASA%20Johnson/2012 05 24 - NASA Johnson - Dragon Closes in on Station_lOSOfZCs2qQ - transcript (automated).pdf","Transcript Link")</f>
        <v>Transcript Link</v>
      </c>
      <c r="M2838" s="2" t="str">
        <f>HYPERLINK("https://files.afu.se/Downloads/Transcripts/0%20-%20Government/USA%20-%20NASA%20Johnson/2012 05 24 - NASA Johnson - Dragon Closes in on Station_lOSOfZCs2qQ - transcript (automated).pdf","Transcript Link")</f>
        <v>Transcript Link</v>
      </c>
    </row>
    <row r="2839" ht="180" spans="1:13">
      <c r="A2839" s="1" t="s">
        <v>12456</v>
      </c>
      <c r="B2839" s="1" t="s">
        <v>13</v>
      </c>
      <c r="C2839" s="4" t="s">
        <v>12457</v>
      </c>
      <c r="D2839" s="1" t="s">
        <v>12458</v>
      </c>
      <c r="E2839" s="1" t="s">
        <v>12459</v>
      </c>
      <c r="F2839" s="4" t="s">
        <v>17</v>
      </c>
      <c r="G2839" s="1" t="s">
        <v>18</v>
      </c>
      <c r="H2839" s="1" t="s">
        <v>19</v>
      </c>
      <c r="I2839" s="1" t="s">
        <v>20</v>
      </c>
      <c r="J2839" s="1" t="s">
        <v>12460</v>
      </c>
      <c r="K2839" s="1" t="s">
        <v>22</v>
      </c>
      <c r="L2839" s="1" t="str">
        <f>HYPERLINK("https://files.afu.se/Downloads/Transcripts/0%20-%20Government/USA%20-%20NASA%20Johnson/2012 05 23 - NASA Johnson - ISS Update  Astronaut Participates in Autonomous Mission Operations Test_kFcXLNpVO90 - transcript (automated).pdf","Transcript Link")</f>
        <v>Transcript Link</v>
      </c>
      <c r="M2839" s="2" t="str">
        <f>HYPERLINK("https://files.afu.se/Downloads/Transcripts/0%20-%20Government/USA%20-%20NASA%20Johnson/2012 05 23 - NASA Johnson - ISS Update  Astronaut Participates in Autonomous Mission Operations Test_kFcXLNpVO90 - transcript (automated).pdf","Transcript Link")</f>
        <v>Transcript Link</v>
      </c>
    </row>
    <row r="2840" ht="180" spans="1:13">
      <c r="A2840" s="1" t="s">
        <v>12456</v>
      </c>
      <c r="B2840" s="1" t="s">
        <v>13</v>
      </c>
      <c r="C2840" s="4" t="s">
        <v>12461</v>
      </c>
      <c r="D2840" s="1" t="s">
        <v>12462</v>
      </c>
      <c r="E2840" s="1" t="s">
        <v>12463</v>
      </c>
      <c r="F2840" s="4" t="s">
        <v>17</v>
      </c>
      <c r="G2840" s="1" t="s">
        <v>18</v>
      </c>
      <c r="H2840" s="1" t="s">
        <v>19</v>
      </c>
      <c r="I2840" s="1" t="s">
        <v>20</v>
      </c>
      <c r="J2840" s="1" t="s">
        <v>12464</v>
      </c>
      <c r="K2840" s="1" t="s">
        <v>22</v>
      </c>
      <c r="L2840" s="1" t="str">
        <f>HYPERLINK("https://files.afu.se/Downloads/Transcripts/0%20-%20Government/USA%20-%20NASA%20Johnson/2012 05 23 - NASA Johnson - ISS Update - May 23, 2012_fCWT563ckpE - transcript (automated).pdf","Transcript Link")</f>
        <v>Transcript Link</v>
      </c>
      <c r="M2840" s="2" t="str">
        <f>HYPERLINK("https://files.afu.se/Downloads/Transcripts/0%20-%20Government/USA%20-%20NASA%20Johnson/2012 05 23 - NASA Johnson - ISS Update - May 23, 2012_fCWT563ckpE - transcript (automated).pdf","Transcript Link")</f>
        <v>Transcript Link</v>
      </c>
    </row>
    <row r="2841" ht="180" spans="1:13">
      <c r="A2841" s="1" t="s">
        <v>12456</v>
      </c>
      <c r="B2841" s="1" t="s">
        <v>13</v>
      </c>
      <c r="C2841" s="4" t="s">
        <v>12465</v>
      </c>
      <c r="D2841" s="1" t="s">
        <v>12466</v>
      </c>
      <c r="E2841" s="1" t="s">
        <v>12467</v>
      </c>
      <c r="F2841" s="4" t="s">
        <v>17</v>
      </c>
      <c r="G2841" s="1" t="s">
        <v>18</v>
      </c>
      <c r="H2841" s="1" t="s">
        <v>19</v>
      </c>
      <c r="I2841" s="1" t="s">
        <v>20</v>
      </c>
      <c r="J2841" s="1" t="s">
        <v>12468</v>
      </c>
      <c r="K2841" s="1" t="s">
        <v>22</v>
      </c>
      <c r="L2841" s="1" t="str">
        <f>HYPERLINK("https://files.afu.se/Downloads/Transcripts/0%20-%20Government/USA%20-%20NASA%20Johnson/2012 05 23 - NASA Johnson - ISS Update  Communication Delays During Deep Space Missions_eQaCFrjWSBo - transcript (automated).pdf","Transcript Link")</f>
        <v>Transcript Link</v>
      </c>
      <c r="M2841" s="2" t="str">
        <f>HYPERLINK("https://files.afu.se/Downloads/Transcripts/0%20-%20Government/USA%20-%20NASA%20Johnson/2012 05 23 - NASA Johnson - ISS Update  Communication Delays During Deep Space Missions_eQaCFrjWSBo - transcript (automated).pdf","Transcript Link")</f>
        <v>Transcript Link</v>
      </c>
    </row>
    <row r="2842" ht="180" spans="1:13">
      <c r="A2842" s="1" t="s">
        <v>12456</v>
      </c>
      <c r="B2842" s="1" t="s">
        <v>13</v>
      </c>
      <c r="C2842" s="4" t="s">
        <v>12469</v>
      </c>
      <c r="D2842" s="1" t="s">
        <v>12470</v>
      </c>
      <c r="E2842" s="1" t="s">
        <v>12471</v>
      </c>
      <c r="F2842" s="4" t="s">
        <v>17</v>
      </c>
      <c r="G2842" s="1" t="s">
        <v>18</v>
      </c>
      <c r="H2842" s="1" t="s">
        <v>19</v>
      </c>
      <c r="I2842" s="1" t="s">
        <v>20</v>
      </c>
      <c r="J2842" s="1" t="s">
        <v>12472</v>
      </c>
      <c r="K2842" s="1" t="s">
        <v>22</v>
      </c>
      <c r="L2842" s="1" t="str">
        <f>HYPERLINK("https://files.afu.se/Downloads/Transcripts/0%20-%20Government/USA%20-%20NASA%20Johnson/2012 05 23 - NASA Johnson - ISS Update  Science and Commercial Vehicles_7nniQacLdfw - transcript (automated).pdf","Transcript Link")</f>
        <v>Transcript Link</v>
      </c>
      <c r="M2842" s="2" t="str">
        <f>HYPERLINK("https://files.afu.se/Downloads/Transcripts/0%20-%20Government/USA%20-%20NASA%20Johnson/2012 05 23 - NASA Johnson - ISS Update  Science and Commercial Vehicles_7nniQacLdfw - transcript (automated).pdf","Transcript Link")</f>
        <v>Transcript Link</v>
      </c>
    </row>
    <row r="2843" ht="180" spans="1:13">
      <c r="A2843" s="1" t="s">
        <v>12473</v>
      </c>
      <c r="B2843" s="1" t="s">
        <v>13</v>
      </c>
      <c r="C2843" s="4" t="s">
        <v>12474</v>
      </c>
      <c r="D2843" s="1" t="s">
        <v>12475</v>
      </c>
      <c r="E2843" s="1" t="s">
        <v>12476</v>
      </c>
      <c r="F2843" s="4" t="s">
        <v>17</v>
      </c>
      <c r="G2843" s="1" t="s">
        <v>18</v>
      </c>
      <c r="H2843" s="1" t="s">
        <v>19</v>
      </c>
      <c r="I2843" s="1" t="s">
        <v>20</v>
      </c>
      <c r="J2843" s="1" t="s">
        <v>12477</v>
      </c>
      <c r="K2843" s="1" t="s">
        <v>22</v>
      </c>
      <c r="L2843" s="1" t="str">
        <f>HYPERLINK("https://files.afu.se/Downloads/Transcripts/0%20-%20Government/USA%20-%20NASA%20Johnson/2012 05 22 - NASA Johnson - ISS Update  The Role of OSO in Dragon's Demo Mission_2VHCxltC91g - transcript (automated).pdf","Transcript Link")</f>
        <v>Transcript Link</v>
      </c>
      <c r="M2843" s="2" t="str">
        <f>HYPERLINK("https://files.afu.se/Downloads/Transcripts/0%20-%20Government/USA%20-%20NASA%20Johnson/2012 05 22 - NASA Johnson - ISS Update  The Role of OSO in Dragon's Demo Mission_2VHCxltC91g - transcript (automated).pdf","Transcript Link")</f>
        <v>Transcript Link</v>
      </c>
    </row>
    <row r="2844" ht="180" spans="1:13">
      <c r="A2844" s="1" t="s">
        <v>12473</v>
      </c>
      <c r="B2844" s="1" t="s">
        <v>13</v>
      </c>
      <c r="C2844" s="4" t="s">
        <v>12478</v>
      </c>
      <c r="D2844" s="1" t="s">
        <v>12479</v>
      </c>
      <c r="E2844" s="1" t="s">
        <v>12480</v>
      </c>
      <c r="F2844" s="4" t="s">
        <v>17</v>
      </c>
      <c r="G2844" s="1" t="s">
        <v>18</v>
      </c>
      <c r="H2844" s="1" t="s">
        <v>19</v>
      </c>
      <c r="I2844" s="1" t="s">
        <v>20</v>
      </c>
      <c r="J2844" s="1" t="s">
        <v>12481</v>
      </c>
      <c r="K2844" s="1" t="s">
        <v>22</v>
      </c>
      <c r="L2844" s="1" t="str">
        <f>HYPERLINK("https://files.afu.se/Downloads/Transcripts/0%20-%20Government/USA%20-%20NASA%20Johnson/2012 05 22 - NASA Johnson - ISS Update - May 22, 2012_8LUMvJD8tX8 - transcript (automated).pdf","Transcript Link")</f>
        <v>Transcript Link</v>
      </c>
      <c r="M2844" s="2" t="str">
        <f>HYPERLINK("https://files.afu.se/Downloads/Transcripts/0%20-%20Government/USA%20-%20NASA%20Johnson/2012 05 22 - NASA Johnson - ISS Update - May 22, 2012_8LUMvJD8tX8 - transcript (automated).pdf","Transcript Link")</f>
        <v>Transcript Link</v>
      </c>
    </row>
    <row r="2845" ht="180" spans="1:13">
      <c r="A2845" s="1" t="s">
        <v>12473</v>
      </c>
      <c r="B2845" s="1" t="s">
        <v>13</v>
      </c>
      <c r="C2845" s="4" t="s">
        <v>12482</v>
      </c>
      <c r="D2845" s="1" t="s">
        <v>12483</v>
      </c>
      <c r="E2845" s="1" t="s">
        <v>12484</v>
      </c>
      <c r="F2845" s="4" t="s">
        <v>17</v>
      </c>
      <c r="G2845" s="1" t="s">
        <v>18</v>
      </c>
      <c r="H2845" s="1" t="s">
        <v>19</v>
      </c>
      <c r="I2845" s="1" t="s">
        <v>20</v>
      </c>
      <c r="J2845" s="1" t="s">
        <v>12485</v>
      </c>
      <c r="K2845" s="1" t="s">
        <v>22</v>
      </c>
      <c r="L2845" s="1" t="str">
        <f>HYPERLINK("https://files.afu.se/Downloads/Transcripts/0%20-%20Government/USA%20-%20NASA%20Johnson/2012 05 22 - NASA Johnson - Launch of SpaceX Falcon 9_kd4cHe9-iME - transcript (automated).pdf","Transcript Link")</f>
        <v>Transcript Link</v>
      </c>
      <c r="M2845" s="2" t="str">
        <f>HYPERLINK("https://files.afu.se/Downloads/Transcripts/0%20-%20Government/USA%20-%20NASA%20Johnson/2012 05 22 - NASA Johnson - Launch of SpaceX Falcon 9_kd4cHe9-iME - transcript (automated).pdf","Transcript Link")</f>
        <v>Transcript Link</v>
      </c>
    </row>
    <row r="2846" ht="180" spans="1:13">
      <c r="A2846" s="1" t="s">
        <v>12486</v>
      </c>
      <c r="B2846" s="1" t="s">
        <v>13</v>
      </c>
      <c r="C2846" s="4" t="s">
        <v>12487</v>
      </c>
      <c r="D2846" s="1" t="s">
        <v>12488</v>
      </c>
      <c r="E2846" s="1" t="s">
        <v>12489</v>
      </c>
      <c r="F2846" s="4" t="s">
        <v>17</v>
      </c>
      <c r="G2846" s="1" t="s">
        <v>18</v>
      </c>
      <c r="H2846" s="1" t="s">
        <v>19</v>
      </c>
      <c r="I2846" s="1" t="s">
        <v>20</v>
      </c>
      <c r="J2846" s="1" t="s">
        <v>12490</v>
      </c>
      <c r="K2846" s="1" t="s">
        <v>22</v>
      </c>
      <c r="L2846" s="1" t="str">
        <f>HYPERLINK("https://files.afu.se/Downloads/Transcripts/0%20-%20Government/USA%20-%20NASA%20Johnson/2012 05 21 - NASA Johnson - ISS Update  SpaceX Dragon Launch Update_DhuxwKfi8IY - transcript (automated).pdf","Transcript Link")</f>
        <v>Transcript Link</v>
      </c>
      <c r="M2846" s="2" t="str">
        <f>HYPERLINK("https://files.afu.se/Downloads/Transcripts/0%20-%20Government/USA%20-%20NASA%20Johnson/2012 05 21 - NASA Johnson - ISS Update  SpaceX Dragon Launch Update_DhuxwKfi8IY - transcript (automated).pdf","Transcript Link")</f>
        <v>Transcript Link</v>
      </c>
    </row>
    <row r="2847" ht="180" spans="1:13">
      <c r="A2847" s="1" t="s">
        <v>12486</v>
      </c>
      <c r="B2847" s="1" t="s">
        <v>13</v>
      </c>
      <c r="C2847" s="4" t="s">
        <v>12491</v>
      </c>
      <c r="D2847" s="1" t="s">
        <v>12492</v>
      </c>
      <c r="E2847" s="1" t="s">
        <v>12493</v>
      </c>
      <c r="F2847" s="4" t="s">
        <v>17</v>
      </c>
      <c r="G2847" s="1" t="s">
        <v>18</v>
      </c>
      <c r="H2847" s="1" t="s">
        <v>19</v>
      </c>
      <c r="I2847" s="1" t="s">
        <v>20</v>
      </c>
      <c r="J2847" s="1" t="s">
        <v>12494</v>
      </c>
      <c r="K2847" s="1" t="s">
        <v>22</v>
      </c>
      <c r="L2847" s="1" t="str">
        <f>HYPERLINK("https://files.afu.se/Downloads/Transcripts/0%20-%20Government/USA%20-%20NASA%20Johnson/2012 05 21 - NASA Johnson - ISS Update - May 21, 2012_HUIPjYqbMIA - transcript (automated).pdf","Transcript Link")</f>
        <v>Transcript Link</v>
      </c>
      <c r="M2847" s="2" t="str">
        <f>HYPERLINK("https://files.afu.se/Downloads/Transcripts/0%20-%20Government/USA%20-%20NASA%20Johnson/2012 05 21 - NASA Johnson - ISS Update - May 21, 2012_HUIPjYqbMIA - transcript (automated).pdf","Transcript Link")</f>
        <v>Transcript Link</v>
      </c>
    </row>
    <row r="2848" ht="180" spans="1:13">
      <c r="A2848" s="1" t="s">
        <v>12495</v>
      </c>
      <c r="B2848" s="1" t="s">
        <v>13</v>
      </c>
      <c r="C2848" s="4" t="s">
        <v>12496</v>
      </c>
      <c r="D2848" s="1" t="s">
        <v>12497</v>
      </c>
      <c r="E2848" s="1" t="s">
        <v>12498</v>
      </c>
      <c r="F2848" s="4" t="s">
        <v>17</v>
      </c>
      <c r="G2848" s="1" t="s">
        <v>18</v>
      </c>
      <c r="H2848" s="1" t="s">
        <v>19</v>
      </c>
      <c r="I2848" s="1" t="s">
        <v>20</v>
      </c>
      <c r="J2848" s="1" t="s">
        <v>12499</v>
      </c>
      <c r="K2848" s="1" t="s">
        <v>22</v>
      </c>
      <c r="L2848" s="1" t="str">
        <f>HYPERLINK("https://files.afu.se/Downloads/Transcripts/0%20-%20Government/USA%20-%20NASA%20Johnson/2012 05 18 - NASA Johnson - Science off the Sphere  Goo!_Ohs8TQxDuX8 - transcript (automated).pdf","Transcript Link")</f>
        <v>Transcript Link</v>
      </c>
      <c r="M2848" s="2" t="str">
        <f>HYPERLINK("https://files.afu.se/Downloads/Transcripts/0%20-%20Government/USA%20-%20NASA%20Johnson/2012 05 18 - NASA Johnson - Science off the Sphere  Goo!_Ohs8TQxDuX8 - transcript (automated).pdf","Transcript Link")</f>
        <v>Transcript Link</v>
      </c>
    </row>
    <row r="2849" ht="180" spans="1:13">
      <c r="A2849" s="1" t="s">
        <v>12495</v>
      </c>
      <c r="B2849" s="1" t="s">
        <v>13</v>
      </c>
      <c r="C2849" s="4" t="s">
        <v>12500</v>
      </c>
      <c r="D2849" s="1" t="s">
        <v>12501</v>
      </c>
      <c r="E2849" s="1" t="s">
        <v>12502</v>
      </c>
      <c r="F2849" s="4" t="s">
        <v>17</v>
      </c>
      <c r="G2849" s="1" t="s">
        <v>18</v>
      </c>
      <c r="H2849" s="1" t="s">
        <v>19</v>
      </c>
      <c r="I2849" s="1" t="s">
        <v>20</v>
      </c>
      <c r="J2849" s="1" t="s">
        <v>12503</v>
      </c>
      <c r="K2849" s="1" t="s">
        <v>22</v>
      </c>
      <c r="L2849" s="1" t="str">
        <f>HYPERLINK("https://files.afu.se/Downloads/Transcripts/0%20-%20Government/USA%20-%20NASA%20Johnson/2012 05 18 - NASA Johnson - ISS Update  Working With SpaceX Dragon_KRLCJ14tULQ - transcript (automated).pdf","Transcript Link")</f>
        <v>Transcript Link</v>
      </c>
      <c r="M2849" s="2" t="str">
        <f>HYPERLINK("https://files.afu.se/Downloads/Transcripts/0%20-%20Government/USA%20-%20NASA%20Johnson/2012 05 18 - NASA Johnson - ISS Update  Working With SpaceX Dragon_KRLCJ14tULQ - transcript (automated).pdf","Transcript Link")</f>
        <v>Transcript Link</v>
      </c>
    </row>
    <row r="2850" ht="180" spans="1:13">
      <c r="A2850" s="1" t="s">
        <v>12495</v>
      </c>
      <c r="B2850" s="1" t="s">
        <v>13</v>
      </c>
      <c r="C2850" s="4" t="s">
        <v>12504</v>
      </c>
      <c r="D2850" s="1" t="s">
        <v>12505</v>
      </c>
      <c r="E2850" s="1" t="s">
        <v>12506</v>
      </c>
      <c r="F2850" s="4" t="s">
        <v>17</v>
      </c>
      <c r="G2850" s="1" t="s">
        <v>18</v>
      </c>
      <c r="H2850" s="1" t="s">
        <v>19</v>
      </c>
      <c r="I2850" s="1" t="s">
        <v>20</v>
      </c>
      <c r="J2850" s="1" t="s">
        <v>12507</v>
      </c>
      <c r="K2850" s="1" t="s">
        <v>22</v>
      </c>
      <c r="L2850" s="1" t="str">
        <f>HYPERLINK("https://files.afu.se/Downloads/Transcripts/0%20-%20Government/USA%20-%20NASA%20Johnson/2012 05 18 - NASA Johnson - America's New Paths in Space_3GZy4EK6Tic - transcript (automated).pdf","Transcript Link")</f>
        <v>Transcript Link</v>
      </c>
      <c r="M2850" s="2" t="str">
        <f>HYPERLINK("https://files.afu.se/Downloads/Transcripts/0%20-%20Government/USA%20-%20NASA%20Johnson/2012 05 18 - NASA Johnson - America's New Paths in Space_3GZy4EK6Tic - transcript (automated).pdf","Transcript Link")</f>
        <v>Transcript Link</v>
      </c>
    </row>
    <row r="2851" ht="180" spans="1:13">
      <c r="A2851" s="1" t="s">
        <v>12495</v>
      </c>
      <c r="B2851" s="1" t="s">
        <v>13</v>
      </c>
      <c r="C2851" s="4" t="s">
        <v>12508</v>
      </c>
      <c r="D2851" s="1" t="s">
        <v>12509</v>
      </c>
      <c r="E2851" s="1" t="s">
        <v>12510</v>
      </c>
      <c r="F2851" s="4" t="s">
        <v>17</v>
      </c>
      <c r="G2851" s="1" t="s">
        <v>18</v>
      </c>
      <c r="H2851" s="1" t="s">
        <v>19</v>
      </c>
      <c r="I2851" s="1" t="s">
        <v>20</v>
      </c>
      <c r="J2851" s="1" t="s">
        <v>12511</v>
      </c>
      <c r="K2851" s="1" t="s">
        <v>22</v>
      </c>
      <c r="L2851" s="1" t="str">
        <f>HYPERLINK("https://files.afu.se/Downloads/Transcripts/0%20-%20Government/USA%20-%20NASA%20Johnson/2012 05 18 - NASA Johnson - ISS Update  Weekly Recap for May 14, 2012_bA9PXqX_L4Y - transcript (automated).pdf","Transcript Link")</f>
        <v>Transcript Link</v>
      </c>
      <c r="M2851" s="2" t="str">
        <f>HYPERLINK("https://files.afu.se/Downloads/Transcripts/0%20-%20Government/USA%20-%20NASA%20Johnson/2012 05 18 - NASA Johnson - ISS Update  Weekly Recap for May 14, 2012_bA9PXqX_L4Y - transcript (automated).pdf","Transcript Link")</f>
        <v>Transcript Link</v>
      </c>
    </row>
    <row r="2852" ht="180" spans="1:13">
      <c r="A2852" s="1" t="s">
        <v>12512</v>
      </c>
      <c r="B2852" s="1" t="s">
        <v>13</v>
      </c>
      <c r="C2852" s="4" t="s">
        <v>12513</v>
      </c>
      <c r="D2852" s="1" t="s">
        <v>12514</v>
      </c>
      <c r="E2852" s="1" t="s">
        <v>12515</v>
      </c>
      <c r="F2852" s="4" t="s">
        <v>17</v>
      </c>
      <c r="G2852" s="1" t="s">
        <v>18</v>
      </c>
      <c r="H2852" s="1" t="s">
        <v>19</v>
      </c>
      <c r="I2852" s="1" t="s">
        <v>20</v>
      </c>
      <c r="J2852" s="1" t="s">
        <v>12516</v>
      </c>
      <c r="K2852" s="1" t="s">
        <v>22</v>
      </c>
      <c r="L2852" s="1" t="str">
        <f>HYPERLINK("https://files.afu.se/Downloads/Transcripts/0%20-%20Government/USA%20-%20NASA%20Johnson/2012 05 17 - NASA Johnson - ISS Update  Astronaut's Perspective_Rat8vk1ZqN8 - transcript (automated).pdf","Transcript Link")</f>
        <v>Transcript Link</v>
      </c>
      <c r="M2852" s="2" t="str">
        <f>HYPERLINK("https://files.afu.se/Downloads/Transcripts/0%20-%20Government/USA%20-%20NASA%20Johnson/2012 05 17 - NASA Johnson - ISS Update  Astronaut's Perspective_Rat8vk1ZqN8 - transcript (automated).pdf","Transcript Link")</f>
        <v>Transcript Link</v>
      </c>
    </row>
    <row r="2853" ht="180" spans="1:13">
      <c r="A2853" s="1" t="s">
        <v>12512</v>
      </c>
      <c r="B2853" s="1" t="s">
        <v>13</v>
      </c>
      <c r="C2853" s="4" t="s">
        <v>12517</v>
      </c>
      <c r="D2853" s="1" t="s">
        <v>12518</v>
      </c>
      <c r="E2853" s="1" t="s">
        <v>12519</v>
      </c>
      <c r="F2853" s="4" t="s">
        <v>17</v>
      </c>
      <c r="G2853" s="1" t="s">
        <v>18</v>
      </c>
      <c r="H2853" s="1" t="s">
        <v>19</v>
      </c>
      <c r="I2853" s="1" t="s">
        <v>20</v>
      </c>
      <c r="J2853" s="1" t="s">
        <v>12520</v>
      </c>
      <c r="K2853" s="1" t="s">
        <v>22</v>
      </c>
      <c r="L2853" s="1" t="str">
        <f>HYPERLINK("https://files.afu.se/Downloads/Transcripts/0%20-%20Government/USA%20-%20NASA%20Johnson/2012 05 17 - NASA Johnson - ISS Update - May 17, 2012_hK_iJTP8tLk - transcript (automated).pdf","Transcript Link")</f>
        <v>Transcript Link</v>
      </c>
      <c r="M2853" s="2" t="str">
        <f>HYPERLINK("https://files.afu.se/Downloads/Transcripts/0%20-%20Government/USA%20-%20NASA%20Johnson/2012 05 17 - NASA Johnson - ISS Update - May 17, 2012_hK_iJTP8tLk - transcript (automated).pdf","Transcript Link")</f>
        <v>Transcript Link</v>
      </c>
    </row>
    <row r="2854" ht="180" spans="1:13">
      <c r="A2854" s="1" t="s">
        <v>12512</v>
      </c>
      <c r="B2854" s="1" t="s">
        <v>13</v>
      </c>
      <c r="C2854" s="4" t="s">
        <v>12521</v>
      </c>
      <c r="D2854" s="1" t="s">
        <v>12522</v>
      </c>
      <c r="E2854" s="1" t="s">
        <v>12523</v>
      </c>
      <c r="F2854" s="4" t="s">
        <v>17</v>
      </c>
      <c r="G2854" s="1" t="s">
        <v>18</v>
      </c>
      <c r="H2854" s="1" t="s">
        <v>19</v>
      </c>
      <c r="I2854" s="1" t="s">
        <v>20</v>
      </c>
      <c r="J2854" s="1" t="s">
        <v>12524</v>
      </c>
      <c r="K2854" s="1" t="s">
        <v>22</v>
      </c>
      <c r="L2854" s="1" t="str">
        <f>HYPERLINK("https://files.afu.se/Downloads/Transcripts/0%20-%20Government/USA%20-%20NASA%20Johnson/2012 05 17 - NASA Johnson - Expedition 31 Welcomes Three New Crewmates_PXsd5lnb0WM - transcript (automated).pdf","Transcript Link")</f>
        <v>Transcript Link</v>
      </c>
      <c r="M2854" s="2" t="str">
        <f>HYPERLINK("https://files.afu.se/Downloads/Transcripts/0%20-%20Government/USA%20-%20NASA%20Johnson/2012 05 17 - NASA Johnson - Expedition 31 Welcomes Three New Crewmates_PXsd5lnb0WM - transcript (automated).pdf","Transcript Link")</f>
        <v>Transcript Link</v>
      </c>
    </row>
    <row r="2855" ht="180" spans="1:13">
      <c r="A2855" s="1" t="s">
        <v>12512</v>
      </c>
      <c r="B2855" s="1" t="s">
        <v>13</v>
      </c>
      <c r="C2855" s="4" t="s">
        <v>12525</v>
      </c>
      <c r="D2855" s="1" t="s">
        <v>12526</v>
      </c>
      <c r="E2855" s="1" t="s">
        <v>12527</v>
      </c>
      <c r="F2855" s="4" t="s">
        <v>17</v>
      </c>
      <c r="G2855" s="1" t="s">
        <v>18</v>
      </c>
      <c r="H2855" s="1" t="s">
        <v>19</v>
      </c>
      <c r="I2855" s="1" t="s">
        <v>20</v>
      </c>
      <c r="J2855" s="1" t="s">
        <v>12528</v>
      </c>
      <c r="K2855" s="1" t="s">
        <v>22</v>
      </c>
      <c r="L2855" s="1" t="str">
        <f>HYPERLINK("https://files.afu.se/Downloads/Transcripts/0%20-%20Government/USA%20-%20NASA%20Johnson/2012 05 17 - NASA Johnson - New Crew Docks to Poisk Module_1edR-eqo7bg - transcript (automated).pdf","Transcript Link")</f>
        <v>Transcript Link</v>
      </c>
      <c r="M2855" s="2" t="str">
        <f>HYPERLINK("https://files.afu.se/Downloads/Transcripts/0%20-%20Government/USA%20-%20NASA%20Johnson/2012 05 17 - NASA Johnson - New Crew Docks to Poisk Module_1edR-eqo7bg - transcript (automated).pdf","Transcript Link")</f>
        <v>Transcript Link</v>
      </c>
    </row>
    <row r="2856" ht="180" spans="1:13">
      <c r="A2856" s="1" t="s">
        <v>12529</v>
      </c>
      <c r="B2856" s="1" t="s">
        <v>13</v>
      </c>
      <c r="C2856" s="4" t="s">
        <v>12530</v>
      </c>
      <c r="D2856" s="1" t="s">
        <v>12531</v>
      </c>
      <c r="E2856" s="1" t="s">
        <v>12532</v>
      </c>
      <c r="F2856" s="4" t="s">
        <v>17</v>
      </c>
      <c r="G2856" s="1" t="s">
        <v>18</v>
      </c>
      <c r="H2856" s="1" t="s">
        <v>19</v>
      </c>
      <c r="I2856" s="1" t="s">
        <v>20</v>
      </c>
      <c r="J2856" s="1" t="s">
        <v>12533</v>
      </c>
      <c r="K2856" s="1" t="s">
        <v>22</v>
      </c>
      <c r="L2856" s="1" t="str">
        <f>HYPERLINK("https://files.afu.se/Downloads/Transcripts/0%20-%20Government/USA%20-%20NASA%20Johnson/2012 05 16 - NASA Johnson - ISS Update  SpaceX Dragon Carrying Station Science_1GfAAokC4YY - transcript (automated).pdf","Transcript Link")</f>
        <v>Transcript Link</v>
      </c>
      <c r="M2856" s="2" t="str">
        <f>HYPERLINK("https://files.afu.se/Downloads/Transcripts/0%20-%20Government/USA%20-%20NASA%20Johnson/2012 05 16 - NASA Johnson - ISS Update  SpaceX Dragon Carrying Station Science_1GfAAokC4YY - transcript (automated).pdf","Transcript Link")</f>
        <v>Transcript Link</v>
      </c>
    </row>
    <row r="2857" ht="180" spans="1:13">
      <c r="A2857" s="1" t="s">
        <v>12529</v>
      </c>
      <c r="B2857" s="1" t="s">
        <v>13</v>
      </c>
      <c r="C2857" s="4" t="s">
        <v>12534</v>
      </c>
      <c r="D2857" s="1" t="s">
        <v>12535</v>
      </c>
      <c r="E2857" s="1" t="s">
        <v>12536</v>
      </c>
      <c r="F2857" s="4" t="s">
        <v>17</v>
      </c>
      <c r="G2857" s="1" t="s">
        <v>18</v>
      </c>
      <c r="H2857" s="1" t="s">
        <v>19</v>
      </c>
      <c r="I2857" s="1" t="s">
        <v>20</v>
      </c>
      <c r="J2857" s="1" t="s">
        <v>12537</v>
      </c>
      <c r="K2857" s="1" t="s">
        <v>22</v>
      </c>
      <c r="L2857" s="1" t="str">
        <f>HYPERLINK("https://files.afu.se/Downloads/Transcripts/0%20-%20Government/USA%20-%20NASA%20Johnson/2012 05 16 - NASA Johnson - ISS Update - May 16, 2012_VYtRIRNbPHo - transcript (automated).pdf","Transcript Link")</f>
        <v>Transcript Link</v>
      </c>
      <c r="M2857" s="2" t="str">
        <f>HYPERLINK("https://files.afu.se/Downloads/Transcripts/0%20-%20Government/USA%20-%20NASA%20Johnson/2012 05 16 - NASA Johnson - ISS Update - May 16, 2012_VYtRIRNbPHo - transcript (automated).pdf","Transcript Link")</f>
        <v>Transcript Link</v>
      </c>
    </row>
    <row r="2858" ht="180" spans="1:13">
      <c r="A2858" s="1" t="s">
        <v>12538</v>
      </c>
      <c r="B2858" s="1" t="s">
        <v>13</v>
      </c>
      <c r="C2858" s="4" t="s">
        <v>12539</v>
      </c>
      <c r="D2858" s="1" t="s">
        <v>12540</v>
      </c>
      <c r="E2858" s="1" t="s">
        <v>12541</v>
      </c>
      <c r="F2858" s="4" t="s">
        <v>17</v>
      </c>
      <c r="G2858" s="1" t="s">
        <v>18</v>
      </c>
      <c r="H2858" s="1" t="s">
        <v>19</v>
      </c>
      <c r="I2858" s="1" t="s">
        <v>20</v>
      </c>
      <c r="J2858" s="1" t="s">
        <v>12542</v>
      </c>
      <c r="K2858" s="1" t="s">
        <v>22</v>
      </c>
      <c r="L2858" s="1" t="str">
        <f>HYPERLINK("https://files.afu.se/Downloads/Transcripts/0%20-%20Government/USA%20-%20NASA%20Johnson/2012 05 15 - NASA Johnson - ISS Update - May 15, 2012_WGY2v_Ge3d0 - transcript (automated).pdf","Transcript Link")</f>
        <v>Transcript Link</v>
      </c>
      <c r="M2858" s="2" t="str">
        <f>HYPERLINK("https://files.afu.se/Downloads/Transcripts/0%20-%20Government/USA%20-%20NASA%20Johnson/2012 05 15 - NASA Johnson - ISS Update - May 15, 2012_WGY2v_Ge3d0 - transcript (automated).pdf","Transcript Link")</f>
        <v>Transcript Link</v>
      </c>
    </row>
    <row r="2859" ht="180" spans="1:13">
      <c r="A2859" s="1" t="s">
        <v>12538</v>
      </c>
      <c r="B2859" s="1" t="s">
        <v>13</v>
      </c>
      <c r="C2859" s="4" t="s">
        <v>12543</v>
      </c>
      <c r="D2859" s="1" t="s">
        <v>12544</v>
      </c>
      <c r="E2859" s="1" t="s">
        <v>12545</v>
      </c>
      <c r="F2859" s="4" t="s">
        <v>17</v>
      </c>
      <c r="G2859" s="1" t="s">
        <v>18</v>
      </c>
      <c r="H2859" s="1" t="s">
        <v>19</v>
      </c>
      <c r="I2859" s="1" t="s">
        <v>20</v>
      </c>
      <c r="J2859" s="1" t="s">
        <v>12546</v>
      </c>
      <c r="K2859" s="1" t="s">
        <v>22</v>
      </c>
      <c r="L2859" s="1" t="str">
        <f>HYPERLINK("https://files.afu.se/Downloads/Transcripts/0%20-%20Government/USA%20-%20NASA%20Johnson/2012 05 15 - NASA Johnson - Expedition 31 Crew Launch_nWHbDib7spI - transcript (automated).pdf","Transcript Link")</f>
        <v>Transcript Link</v>
      </c>
      <c r="M2859" s="2" t="str">
        <f>HYPERLINK("https://files.afu.se/Downloads/Transcripts/0%20-%20Government/USA%20-%20NASA%20Johnson/2012 05 15 - NASA Johnson - Expedition 31 Crew Launch_nWHbDib7spI - transcript (automated).pdf","Transcript Link")</f>
        <v>Transcript Link</v>
      </c>
    </row>
    <row r="2860" ht="180" spans="1:13">
      <c r="A2860" s="1" t="s">
        <v>12547</v>
      </c>
      <c r="B2860" s="1" t="s">
        <v>13</v>
      </c>
      <c r="C2860" s="4" t="s">
        <v>12548</v>
      </c>
      <c r="D2860" s="1" t="s">
        <v>12549</v>
      </c>
      <c r="E2860" s="1" t="s">
        <v>12550</v>
      </c>
      <c r="F2860" s="4" t="s">
        <v>17</v>
      </c>
      <c r="G2860" s="1" t="s">
        <v>18</v>
      </c>
      <c r="H2860" s="1" t="s">
        <v>19</v>
      </c>
      <c r="I2860" s="1" t="s">
        <v>20</v>
      </c>
      <c r="J2860" s="1" t="s">
        <v>12551</v>
      </c>
      <c r="K2860" s="1" t="s">
        <v>22</v>
      </c>
      <c r="L2860" s="1" t="str">
        <f>HYPERLINK("https://files.afu.se/Downloads/Transcripts/0%20-%20Government/USA%20-%20NASA%20Johnson/2012 05 14 - NASA Johnson - Inside the ISS  Riding the Rocket_dXcrRyo1yS4 - transcript (automated).pdf","Transcript Link")</f>
        <v>Transcript Link</v>
      </c>
      <c r="M2860" s="2" t="str">
        <f>HYPERLINK("https://files.afu.se/Downloads/Transcripts/0%20-%20Government/USA%20-%20NASA%20Johnson/2012 05 14 - NASA Johnson - Inside the ISS  Riding the Rocket_dXcrRyo1yS4 - transcript (automated).pdf","Transcript Link")</f>
        <v>Transcript Link</v>
      </c>
    </row>
    <row r="2861" ht="180" spans="1:13">
      <c r="A2861" s="1" t="s">
        <v>12547</v>
      </c>
      <c r="B2861" s="1" t="s">
        <v>13</v>
      </c>
      <c r="C2861" s="4" t="s">
        <v>12552</v>
      </c>
      <c r="D2861" s="1" t="s">
        <v>12553</v>
      </c>
      <c r="E2861" s="1" t="s">
        <v>12554</v>
      </c>
      <c r="F2861" s="4" t="s">
        <v>17</v>
      </c>
      <c r="G2861" s="1" t="s">
        <v>18</v>
      </c>
      <c r="H2861" s="1" t="s">
        <v>19</v>
      </c>
      <c r="I2861" s="1" t="s">
        <v>20</v>
      </c>
      <c r="J2861" s="1" t="s">
        <v>12555</v>
      </c>
      <c r="K2861" s="1" t="s">
        <v>22</v>
      </c>
      <c r="L2861" s="1" t="str">
        <f>HYPERLINK("https://files.afu.se/Downloads/Transcripts/0%20-%20Government/USA%20-%20NASA%20Johnson/2012 05 14 - NASA Johnson - Inside the ISS  Training Together_Tt2ayBSnexo - transcript (automated).pdf","Transcript Link")</f>
        <v>Transcript Link</v>
      </c>
      <c r="M2861" s="2" t="str">
        <f>HYPERLINK("https://files.afu.se/Downloads/Transcripts/0%20-%20Government/USA%20-%20NASA%20Johnson/2012 05 14 - NASA Johnson - Inside the ISS  Training Together_Tt2ayBSnexo - transcript (automated).pdf","Transcript Link")</f>
        <v>Transcript Link</v>
      </c>
    </row>
    <row r="2862" ht="180" spans="1:13">
      <c r="A2862" s="1" t="s">
        <v>12547</v>
      </c>
      <c r="B2862" s="1" t="s">
        <v>13</v>
      </c>
      <c r="C2862" s="4" t="s">
        <v>12556</v>
      </c>
      <c r="D2862" s="1" t="s">
        <v>12557</v>
      </c>
      <c r="E2862" s="1" t="s">
        <v>12558</v>
      </c>
      <c r="F2862" s="4" t="s">
        <v>17</v>
      </c>
      <c r="G2862" s="1" t="s">
        <v>18</v>
      </c>
      <c r="H2862" s="1" t="s">
        <v>19</v>
      </c>
      <c r="I2862" s="1" t="s">
        <v>20</v>
      </c>
      <c r="J2862" s="1" t="s">
        <v>12559</v>
      </c>
      <c r="K2862" s="1" t="s">
        <v>22</v>
      </c>
      <c r="L2862" s="1" t="str">
        <f>HYPERLINK("https://files.afu.se/Downloads/Transcripts/0%20-%20Government/USA%20-%20NASA%20Johnson/2012 05 14 - NASA Johnson - Inside the ISS  Staying Connected_qYXVWGnr4kY - transcript (automated).pdf","Transcript Link")</f>
        <v>Transcript Link</v>
      </c>
      <c r="M2862" s="2" t="str">
        <f>HYPERLINK("https://files.afu.se/Downloads/Transcripts/0%20-%20Government/USA%20-%20NASA%20Johnson/2012 05 14 - NASA Johnson - Inside the ISS  Staying Connected_qYXVWGnr4kY - transcript (automated).pdf","Transcript Link")</f>
        <v>Transcript Link</v>
      </c>
    </row>
    <row r="2863" ht="180" spans="1:13">
      <c r="A2863" s="1" t="s">
        <v>12547</v>
      </c>
      <c r="B2863" s="1" t="s">
        <v>13</v>
      </c>
      <c r="C2863" s="4" t="s">
        <v>12560</v>
      </c>
      <c r="D2863" s="1" t="s">
        <v>12561</v>
      </c>
      <c r="E2863" s="1" t="s">
        <v>12562</v>
      </c>
      <c r="F2863" s="4" t="s">
        <v>17</v>
      </c>
      <c r="G2863" s="1" t="s">
        <v>18</v>
      </c>
      <c r="H2863" s="1" t="s">
        <v>19</v>
      </c>
      <c r="I2863" s="1" t="s">
        <v>20</v>
      </c>
      <c r="J2863" s="1" t="s">
        <v>12563</v>
      </c>
      <c r="K2863" s="1" t="s">
        <v>22</v>
      </c>
      <c r="L2863" s="1" t="str">
        <f>HYPERLINK("https://files.afu.se/Downloads/Transcripts/0%20-%20Government/USA%20-%20NASA%20Johnson/2012 05 14 - NASA Johnson - Inside the ISS  Baikonur, the Secret City_qnFNZGdKn7U - transcript (automated).pdf","Transcript Link")</f>
        <v>Transcript Link</v>
      </c>
      <c r="M2863" s="2" t="str">
        <f>HYPERLINK("https://files.afu.se/Downloads/Transcripts/0%20-%20Government/USA%20-%20NASA%20Johnson/2012 05 14 - NASA Johnson - Inside the ISS  Baikonur, the Secret City_qnFNZGdKn7U - transcript (automated).pdf","Transcript Link")</f>
        <v>Transcript Link</v>
      </c>
    </row>
    <row r="2864" ht="180" spans="1:13">
      <c r="A2864" s="1" t="s">
        <v>12547</v>
      </c>
      <c r="B2864" s="1" t="s">
        <v>13</v>
      </c>
      <c r="C2864" s="4" t="s">
        <v>12564</v>
      </c>
      <c r="D2864" s="1" t="s">
        <v>12565</v>
      </c>
      <c r="E2864" s="1" t="s">
        <v>12566</v>
      </c>
      <c r="F2864" s="4" t="s">
        <v>17</v>
      </c>
      <c r="G2864" s="1" t="s">
        <v>18</v>
      </c>
      <c r="H2864" s="1" t="s">
        <v>19</v>
      </c>
      <c r="I2864" s="1" t="s">
        <v>20</v>
      </c>
      <c r="J2864" s="1" t="s">
        <v>12567</v>
      </c>
      <c r="K2864" s="1" t="s">
        <v>22</v>
      </c>
      <c r="L2864" s="1" t="str">
        <f>HYPERLINK("https://files.afu.se/Downloads/Transcripts/0%20-%20Government/USA%20-%20NASA%20Johnson/2012 05 14 - NASA Johnson - ISS Update  GPS and SpaceX Dragon Launch_GNbW9F4tr_I - transcript (automated).pdf","Transcript Link")</f>
        <v>Transcript Link</v>
      </c>
      <c r="M2864" s="2" t="str">
        <f>HYPERLINK("https://files.afu.se/Downloads/Transcripts/0%20-%20Government/USA%20-%20NASA%20Johnson/2012 05 14 - NASA Johnson - ISS Update  GPS and SpaceX Dragon Launch_GNbW9F4tr_I - transcript (automated).pdf","Transcript Link")</f>
        <v>Transcript Link</v>
      </c>
    </row>
    <row r="2865" ht="180" spans="1:13">
      <c r="A2865" s="1" t="s">
        <v>12547</v>
      </c>
      <c r="B2865" s="1" t="s">
        <v>13</v>
      </c>
      <c r="C2865" s="4" t="s">
        <v>12568</v>
      </c>
      <c r="D2865" s="1" t="s">
        <v>12569</v>
      </c>
      <c r="E2865" s="1" t="s">
        <v>12570</v>
      </c>
      <c r="F2865" s="4" t="s">
        <v>17</v>
      </c>
      <c r="G2865" s="1" t="s">
        <v>18</v>
      </c>
      <c r="H2865" s="1" t="s">
        <v>19</v>
      </c>
      <c r="I2865" s="1" t="s">
        <v>20</v>
      </c>
      <c r="J2865" s="1" t="s">
        <v>12571</v>
      </c>
      <c r="K2865" s="1" t="s">
        <v>22</v>
      </c>
      <c r="L2865" s="1" t="str">
        <f>HYPERLINK("https://files.afu.se/Downloads/Transcripts/0%20-%20Government/USA%20-%20NASA%20Johnson/2012 05 14 - NASA Johnson - ISS Update - May 14, 2012_BJ293OyB84M - transcript (automated).pdf","Transcript Link")</f>
        <v>Transcript Link</v>
      </c>
      <c r="M2865" s="2" t="str">
        <f>HYPERLINK("https://files.afu.se/Downloads/Transcripts/0%20-%20Government/USA%20-%20NASA%20Johnson/2012 05 14 - NASA Johnson - ISS Update - May 14, 2012_BJ293OyB84M - transcript (automated).pdf","Transcript Link")</f>
        <v>Transcript Link</v>
      </c>
    </row>
    <row r="2866" ht="180" spans="1:13">
      <c r="A2866" s="1" t="s">
        <v>12572</v>
      </c>
      <c r="B2866" s="1" t="s">
        <v>13</v>
      </c>
      <c r="C2866" s="4" t="s">
        <v>12573</v>
      </c>
      <c r="D2866" s="1" t="s">
        <v>12574</v>
      </c>
      <c r="E2866" s="1" t="s">
        <v>12575</v>
      </c>
      <c r="F2866" s="4" t="s">
        <v>17</v>
      </c>
      <c r="G2866" s="1" t="s">
        <v>18</v>
      </c>
      <c r="H2866" s="1" t="s">
        <v>19</v>
      </c>
      <c r="I2866" s="1" t="s">
        <v>20</v>
      </c>
      <c r="J2866" s="1" t="s">
        <v>12576</v>
      </c>
      <c r="K2866" s="1" t="s">
        <v>22</v>
      </c>
      <c r="L2866" s="1" t="str">
        <f>HYPERLINK("https://files.afu.se/Downloads/Transcripts/0%20-%20Government/USA%20-%20NASA%20Johnson/2012 05 11 - NASA Johnson - ISS Update  Weekly Recap for May 11, 2012_9hO6I8ybLCA - transcript (automated).pdf","Transcript Link")</f>
        <v>Transcript Link</v>
      </c>
      <c r="M2866" s="2" t="str">
        <f>HYPERLINK("https://files.afu.se/Downloads/Transcripts/0%20-%20Government/USA%20-%20NASA%20Johnson/2012 05 11 - NASA Johnson - ISS Update  Weekly Recap for May 11, 2012_9hO6I8ybLCA - transcript (automated).pdf","Transcript Link")</f>
        <v>Transcript Link</v>
      </c>
    </row>
    <row r="2867" ht="180" spans="1:13">
      <c r="A2867" s="1" t="s">
        <v>12572</v>
      </c>
      <c r="B2867" s="1" t="s">
        <v>13</v>
      </c>
      <c r="C2867" s="4" t="s">
        <v>12577</v>
      </c>
      <c r="D2867" s="1" t="s">
        <v>12578</v>
      </c>
      <c r="E2867" s="1" t="s">
        <v>12579</v>
      </c>
      <c r="F2867" s="4" t="s">
        <v>17</v>
      </c>
      <c r="G2867" s="1" t="s">
        <v>18</v>
      </c>
      <c r="H2867" s="1" t="s">
        <v>19</v>
      </c>
      <c r="I2867" s="1" t="s">
        <v>20</v>
      </c>
      <c r="J2867" s="1" t="s">
        <v>12580</v>
      </c>
      <c r="K2867" s="1" t="s">
        <v>22</v>
      </c>
      <c r="L2867" s="1" t="str">
        <f>HYPERLINK("https://files.afu.se/Downloads/Transcripts/0%20-%20Government/USA%20-%20NASA%20Johnson/2012 05 11 - NASA Johnson - Morpheus Tether Test %2315_0g9nZRNjAAM - transcript (automated).pdf","Transcript Link")</f>
        <v>Transcript Link</v>
      </c>
      <c r="M2867" s="2" t="str">
        <f>HYPERLINK("https://files.afu.se/Downloads/Transcripts/0%20-%20Government/USA%20-%20NASA%20Johnson/2012 05 11 - NASA Johnson - Morpheus Tether Test %2315_0g9nZRNjAAM - transcript (automated).pdf","Transcript Link")</f>
        <v>Transcript Link</v>
      </c>
    </row>
    <row r="2868" ht="180" spans="1:13">
      <c r="A2868" s="1" t="s">
        <v>12572</v>
      </c>
      <c r="B2868" s="1" t="s">
        <v>13</v>
      </c>
      <c r="C2868" s="4" t="s">
        <v>12581</v>
      </c>
      <c r="D2868" s="1" t="s">
        <v>12582</v>
      </c>
      <c r="E2868" s="1" t="s">
        <v>12583</v>
      </c>
      <c r="F2868" s="4" t="s">
        <v>17</v>
      </c>
      <c r="G2868" s="1" t="s">
        <v>18</v>
      </c>
      <c r="H2868" s="1" t="s">
        <v>19</v>
      </c>
      <c r="I2868" s="1" t="s">
        <v>20</v>
      </c>
      <c r="J2868" s="1" t="s">
        <v>12584</v>
      </c>
      <c r="K2868" s="1" t="s">
        <v>22</v>
      </c>
      <c r="L2868" s="1" t="str">
        <f>HYPERLINK("https://files.afu.se/Downloads/Transcripts/0%20-%20Government/USA%20-%20NASA%20Johnson/2012 05 11 - NASA Johnson - Morpheus Tether Test %2314_Eb8MfkgDFTA - transcript (automated).pdf","Transcript Link")</f>
        <v>Transcript Link</v>
      </c>
      <c r="M2868" s="2" t="str">
        <f>HYPERLINK("https://files.afu.se/Downloads/Transcripts/0%20-%20Government/USA%20-%20NASA%20Johnson/2012 05 11 - NASA Johnson - Morpheus Tether Test %2314_Eb8MfkgDFTA - transcript (automated).pdf","Transcript Link")</f>
        <v>Transcript Link</v>
      </c>
    </row>
    <row r="2869" ht="180" spans="1:13">
      <c r="A2869" s="1" t="s">
        <v>12572</v>
      </c>
      <c r="B2869" s="1" t="s">
        <v>13</v>
      </c>
      <c r="C2869" s="4" t="s">
        <v>12585</v>
      </c>
      <c r="D2869" s="1" t="s">
        <v>12586</v>
      </c>
      <c r="E2869" s="1" t="s">
        <v>12587</v>
      </c>
      <c r="F2869" s="4" t="s">
        <v>17</v>
      </c>
      <c r="G2869" s="1" t="s">
        <v>18</v>
      </c>
      <c r="H2869" s="1" t="s">
        <v>19</v>
      </c>
      <c r="I2869" s="1" t="s">
        <v>20</v>
      </c>
      <c r="J2869" s="1" t="s">
        <v>12588</v>
      </c>
      <c r="K2869" s="1" t="s">
        <v>22</v>
      </c>
      <c r="L2869" s="1" t="str">
        <f>HYPERLINK("https://files.afu.se/Downloads/Transcripts/0%20-%20Government/USA%20-%20NASA%20Johnson/2012 05 11 - NASA Johnson - Morpheus Tether Test %2313_lSrmxAy8BwE - transcript (automated).pdf","Transcript Link")</f>
        <v>Transcript Link</v>
      </c>
      <c r="M2869" s="2" t="str">
        <f>HYPERLINK("https://files.afu.se/Downloads/Transcripts/0%20-%20Government/USA%20-%20NASA%20Johnson/2012 05 11 - NASA Johnson - Morpheus Tether Test %2313_lSrmxAy8BwE - transcript (automated).pdf","Transcript Link")</f>
        <v>Transcript Link</v>
      </c>
    </row>
    <row r="2870" ht="180" spans="1:13">
      <c r="A2870" s="1" t="s">
        <v>12572</v>
      </c>
      <c r="B2870" s="1" t="s">
        <v>13</v>
      </c>
      <c r="C2870" s="4" t="s">
        <v>12589</v>
      </c>
      <c r="D2870" s="1" t="s">
        <v>12590</v>
      </c>
      <c r="E2870" s="1" t="s">
        <v>12591</v>
      </c>
      <c r="F2870" s="4" t="s">
        <v>17</v>
      </c>
      <c r="G2870" s="1" t="s">
        <v>18</v>
      </c>
      <c r="H2870" s="1" t="s">
        <v>19</v>
      </c>
      <c r="I2870" s="1" t="s">
        <v>20</v>
      </c>
      <c r="J2870" s="1" t="s">
        <v>12592</v>
      </c>
      <c r="K2870" s="1" t="s">
        <v>22</v>
      </c>
      <c r="L2870" s="1" t="str">
        <f>HYPERLINK("https://files.afu.se/Downloads/Transcripts/0%20-%20Government/USA%20-%20NASA%20Johnson/2012 05 11 - NASA Johnson - Morpheus Tether Test %2312_zW8-HKTB9tY - transcript (automated).pdf","Transcript Link")</f>
        <v>Transcript Link</v>
      </c>
      <c r="M2870" s="2" t="str">
        <f>HYPERLINK("https://files.afu.se/Downloads/Transcripts/0%20-%20Government/USA%20-%20NASA%20Johnson/2012 05 11 - NASA Johnson - Morpheus Tether Test %2312_zW8-HKTB9tY - transcript (automated).pdf","Transcript Link")</f>
        <v>Transcript Link</v>
      </c>
    </row>
    <row r="2871" ht="180" spans="1:13">
      <c r="A2871" s="1" t="s">
        <v>12593</v>
      </c>
      <c r="B2871" s="1" t="s">
        <v>13</v>
      </c>
      <c r="C2871" s="4" t="s">
        <v>12594</v>
      </c>
      <c r="D2871" s="1" t="s">
        <v>12595</v>
      </c>
      <c r="E2871" s="1" t="s">
        <v>12596</v>
      </c>
      <c r="F2871" s="4" t="s">
        <v>17</v>
      </c>
      <c r="G2871" s="1" t="s">
        <v>18</v>
      </c>
      <c r="H2871" s="1" t="s">
        <v>19</v>
      </c>
      <c r="I2871" s="1" t="s">
        <v>20</v>
      </c>
      <c r="J2871" s="1" t="s">
        <v>12597</v>
      </c>
      <c r="K2871" s="1" t="s">
        <v>22</v>
      </c>
      <c r="L2871" s="1" t="str">
        <f>HYPERLINK("https://files.afu.se/Downloads/Transcripts/0%20-%20Government/USA%20-%20NASA%20Johnson/2012 05 10 - NASA Johnson - Students Speak With ECLSS Officer Jesse Bazley_5F412sXS6pA - transcript (automated).pdf","Transcript Link")</f>
        <v>Transcript Link</v>
      </c>
      <c r="M2871" s="2" t="str">
        <f>HYPERLINK("https://files.afu.se/Downloads/Transcripts/0%20-%20Government/USA%20-%20NASA%20Johnson/2012 05 10 - NASA Johnson - Students Speak With ECLSS Officer Jesse Bazley_5F412sXS6pA - transcript (automated).pdf","Transcript Link")</f>
        <v>Transcript Link</v>
      </c>
    </row>
    <row r="2872" ht="180" spans="1:13">
      <c r="A2872" s="1" t="s">
        <v>12593</v>
      </c>
      <c r="B2872" s="1" t="s">
        <v>13</v>
      </c>
      <c r="C2872" s="4" t="s">
        <v>12598</v>
      </c>
      <c r="D2872" s="1" t="s">
        <v>12599</v>
      </c>
      <c r="E2872" s="1" t="s">
        <v>12600</v>
      </c>
      <c r="F2872" s="4" t="s">
        <v>17</v>
      </c>
      <c r="G2872" s="1" t="s">
        <v>18</v>
      </c>
      <c r="H2872" s="1" t="s">
        <v>19</v>
      </c>
      <c r="I2872" s="1" t="s">
        <v>20</v>
      </c>
      <c r="J2872" s="1" t="s">
        <v>12601</v>
      </c>
      <c r="K2872" s="1" t="s">
        <v>22</v>
      </c>
      <c r="L2872" s="1" t="str">
        <f>HYPERLINK("https://files.afu.se/Downloads/Transcripts/0%20-%20Government/USA%20-%20NASA%20Johnson/2012 05 10 - NASA Johnson - ISS Update - May 10, 2012_xKTN0CHq7sk - transcript (automated).pdf","Transcript Link")</f>
        <v>Transcript Link</v>
      </c>
      <c r="M2872" s="2" t="str">
        <f>HYPERLINK("https://files.afu.se/Downloads/Transcripts/0%20-%20Government/USA%20-%20NASA%20Johnson/2012 05 10 - NASA Johnson - ISS Update - May 10, 2012_xKTN0CHq7sk - transcript (automated).pdf","Transcript Link")</f>
        <v>Transcript Link</v>
      </c>
    </row>
    <row r="2873" ht="180" spans="1:13">
      <c r="A2873" s="1" t="s">
        <v>12602</v>
      </c>
      <c r="B2873" s="1" t="s">
        <v>13</v>
      </c>
      <c r="C2873" s="4" t="s">
        <v>12603</v>
      </c>
      <c r="D2873" s="1" t="s">
        <v>12604</v>
      </c>
      <c r="E2873" s="1" t="s">
        <v>12605</v>
      </c>
      <c r="F2873" s="4" t="s">
        <v>17</v>
      </c>
      <c r="G2873" s="1" t="s">
        <v>18</v>
      </c>
      <c r="H2873" s="1" t="s">
        <v>19</v>
      </c>
      <c r="I2873" s="1" t="s">
        <v>20</v>
      </c>
      <c r="J2873" s="1" t="s">
        <v>12606</v>
      </c>
      <c r="K2873" s="1" t="s">
        <v>22</v>
      </c>
      <c r="L2873" s="1" t="str">
        <f>HYPERLINK("https://files.afu.se/Downloads/Transcripts/0%20-%20Government/USA%20-%20NASA%20Johnson/2012 05 09 - NASA Johnson - ISS Update - May 9, 2012_Jn7MdfdRFr0 - transcript (automated).pdf","Transcript Link")</f>
        <v>Transcript Link</v>
      </c>
      <c r="M2873" s="2" t="str">
        <f>HYPERLINK("https://files.afu.se/Downloads/Transcripts/0%20-%20Government/USA%20-%20NASA%20Johnson/2012 05 09 - NASA Johnson - ISS Update - May 9, 2012_Jn7MdfdRFr0 - transcript (automated).pdf","Transcript Link")</f>
        <v>Transcript Link</v>
      </c>
    </row>
    <row r="2874" ht="180" spans="1:13">
      <c r="A2874" s="1" t="s">
        <v>12607</v>
      </c>
      <c r="B2874" s="1" t="s">
        <v>13</v>
      </c>
      <c r="C2874" s="4" t="s">
        <v>12608</v>
      </c>
      <c r="D2874" s="1" t="s">
        <v>12609</v>
      </c>
      <c r="E2874" s="1" t="s">
        <v>12610</v>
      </c>
      <c r="F2874" s="4" t="s">
        <v>17</v>
      </c>
      <c r="G2874" s="1" t="s">
        <v>18</v>
      </c>
      <c r="H2874" s="1" t="s">
        <v>19</v>
      </c>
      <c r="I2874" s="1" t="s">
        <v>20</v>
      </c>
      <c r="J2874" s="1" t="s">
        <v>12611</v>
      </c>
      <c r="K2874" s="1" t="s">
        <v>22</v>
      </c>
      <c r="L2874" s="1" t="str">
        <f>HYPERLINK("https://files.afu.se/Downloads/Transcripts/0%20-%20Government/USA%20-%20NASA%20Johnson/2012 05 08 - NASA Johnson - ISS Update - May 8, 2012_0BkR6JPCSvA - transcript (automated).pdf","Transcript Link")</f>
        <v>Transcript Link</v>
      </c>
      <c r="M2874" s="2" t="str">
        <f>HYPERLINK("https://files.afu.se/Downloads/Transcripts/0%20-%20Government/USA%20-%20NASA%20Johnson/2012 05 08 - NASA Johnson - ISS Update - May 8, 2012_0BkR6JPCSvA - transcript (automated).pdf","Transcript Link")</f>
        <v>Transcript Link</v>
      </c>
    </row>
    <row r="2875" ht="180" spans="1:13">
      <c r="A2875" s="1" t="s">
        <v>12612</v>
      </c>
      <c r="B2875" s="1" t="s">
        <v>13</v>
      </c>
      <c r="C2875" s="4" t="s">
        <v>12613</v>
      </c>
      <c r="D2875" s="1" t="s">
        <v>12614</v>
      </c>
      <c r="E2875" s="1" t="s">
        <v>12615</v>
      </c>
      <c r="F2875" s="4" t="s">
        <v>17</v>
      </c>
      <c r="G2875" s="1" t="s">
        <v>18</v>
      </c>
      <c r="H2875" s="1" t="s">
        <v>19</v>
      </c>
      <c r="I2875" s="1" t="s">
        <v>20</v>
      </c>
      <c r="J2875" s="1" t="s">
        <v>12616</v>
      </c>
      <c r="K2875" s="1" t="s">
        <v>22</v>
      </c>
      <c r="L2875" s="1" t="str">
        <f>HYPERLINK("https://files.afu.se/Downloads/Transcripts/0%20-%20Government/USA%20-%20NASA%20Johnson/2012 05 07 - NASA Johnson - Science off the Sphere  Space Soundwaves_U0rl_-z1YwQ - transcript (automated).pdf","Transcript Link")</f>
        <v>Transcript Link</v>
      </c>
      <c r="M2875" s="2" t="str">
        <f>HYPERLINK("https://files.afu.se/Downloads/Transcripts/0%20-%20Government/USA%20-%20NASA%20Johnson/2012 05 07 - NASA Johnson - Science off the Sphere  Space Soundwaves_U0rl_-z1YwQ - transcript (automated).pdf","Transcript Link")</f>
        <v>Transcript Link</v>
      </c>
    </row>
    <row r="2876" ht="180" spans="1:13">
      <c r="A2876" s="1" t="s">
        <v>12612</v>
      </c>
      <c r="B2876" s="1" t="s">
        <v>13</v>
      </c>
      <c r="C2876" s="4" t="s">
        <v>12617</v>
      </c>
      <c r="D2876" s="1" t="s">
        <v>12618</v>
      </c>
      <c r="E2876" s="1" t="s">
        <v>12619</v>
      </c>
      <c r="F2876" s="4" t="s">
        <v>17</v>
      </c>
      <c r="G2876" s="1" t="s">
        <v>18</v>
      </c>
      <c r="H2876" s="1" t="s">
        <v>19</v>
      </c>
      <c r="I2876" s="1" t="s">
        <v>20</v>
      </c>
      <c r="J2876" s="1" t="s">
        <v>12620</v>
      </c>
      <c r="K2876" s="1" t="s">
        <v>22</v>
      </c>
      <c r="L2876" s="1" t="str">
        <f>HYPERLINK("https://files.afu.se/Downloads/Transcripts/0%20-%20Government/USA%20-%20NASA%20Johnson/2012 05 07 - NASA Johnson - ISS Update  Supermoon_GPrd9hM4WFU - transcript (automated).pdf","Transcript Link")</f>
        <v>Transcript Link</v>
      </c>
      <c r="M2876" s="2" t="str">
        <f>HYPERLINK("https://files.afu.se/Downloads/Transcripts/0%20-%20Government/USA%20-%20NASA%20Johnson/2012 05 07 - NASA Johnson - ISS Update  Supermoon_GPrd9hM4WFU - transcript (automated).pdf","Transcript Link")</f>
        <v>Transcript Link</v>
      </c>
    </row>
    <row r="2877" ht="180" spans="1:13">
      <c r="A2877" s="1" t="s">
        <v>12612</v>
      </c>
      <c r="B2877" s="1" t="s">
        <v>13</v>
      </c>
      <c r="C2877" s="4" t="s">
        <v>12621</v>
      </c>
      <c r="D2877" s="1" t="s">
        <v>12622</v>
      </c>
      <c r="E2877" s="1" t="s">
        <v>12623</v>
      </c>
      <c r="F2877" s="4" t="s">
        <v>17</v>
      </c>
      <c r="G2877" s="1" t="s">
        <v>18</v>
      </c>
      <c r="H2877" s="1" t="s">
        <v>19</v>
      </c>
      <c r="I2877" s="1" t="s">
        <v>20</v>
      </c>
      <c r="J2877" s="1" t="s">
        <v>12624</v>
      </c>
      <c r="K2877" s="1" t="s">
        <v>22</v>
      </c>
      <c r="L2877" s="1" t="str">
        <f>HYPERLINK("https://files.afu.se/Downloads/Transcripts/0%20-%20Government/USA%20-%20NASA%20Johnson/2012 05 07 - NASA Johnson - ISS Update - May 7, 2012_kHI9bTsn7ds - transcript (automated).pdf","Transcript Link")</f>
        <v>Transcript Link</v>
      </c>
      <c r="M2877" s="2" t="str">
        <f>HYPERLINK("https://files.afu.se/Downloads/Transcripts/0%20-%20Government/USA%20-%20NASA%20Johnson/2012 05 07 - NASA Johnson - ISS Update - May 7, 2012_kHI9bTsn7ds - transcript (automated).pdf","Transcript Link")</f>
        <v>Transcript Link</v>
      </c>
    </row>
    <row r="2878" ht="180" spans="1:13">
      <c r="A2878" s="1" t="s">
        <v>12625</v>
      </c>
      <c r="B2878" s="1" t="s">
        <v>13</v>
      </c>
      <c r="C2878" s="4" t="s">
        <v>12626</v>
      </c>
      <c r="D2878" s="1" t="s">
        <v>12627</v>
      </c>
      <c r="E2878" s="1" t="s">
        <v>12628</v>
      </c>
      <c r="F2878" s="4" t="s">
        <v>17</v>
      </c>
      <c r="G2878" s="1" t="s">
        <v>18</v>
      </c>
      <c r="H2878" s="1" t="s">
        <v>19</v>
      </c>
      <c r="I2878" s="1" t="s">
        <v>20</v>
      </c>
      <c r="J2878" s="1" t="s">
        <v>12629</v>
      </c>
      <c r="K2878" s="1" t="s">
        <v>22</v>
      </c>
      <c r="L2878" s="1" t="str">
        <f>HYPERLINK("https://files.afu.se/Downloads/Transcripts/0%20-%20Government/USA%20-%20NASA%20Johnson/2012 05 04 - NASA Johnson - ISS Update  Weekly Recap for May 4, 2012_F1iQyFFX63o - transcript (automated).pdf","Transcript Link")</f>
        <v>Transcript Link</v>
      </c>
      <c r="M2878" s="2" t="str">
        <f>HYPERLINK("https://files.afu.se/Downloads/Transcripts/0%20-%20Government/USA%20-%20NASA%20Johnson/2012 05 04 - NASA Johnson - ISS Update  Weekly Recap for May 4, 2012_F1iQyFFX63o - transcript (automated).pdf","Transcript Link")</f>
        <v>Transcript Link</v>
      </c>
    </row>
    <row r="2879" ht="180" spans="1:13">
      <c r="A2879" s="1" t="s">
        <v>12630</v>
      </c>
      <c r="B2879" s="1" t="s">
        <v>13</v>
      </c>
      <c r="C2879" s="4" t="s">
        <v>12631</v>
      </c>
      <c r="D2879" s="1" t="s">
        <v>12632</v>
      </c>
      <c r="E2879" s="1" t="s">
        <v>12633</v>
      </c>
      <c r="F2879" s="4" t="s">
        <v>17</v>
      </c>
      <c r="G2879" s="1" t="s">
        <v>18</v>
      </c>
      <c r="H2879" s="1" t="s">
        <v>19</v>
      </c>
      <c r="I2879" s="1" t="s">
        <v>20</v>
      </c>
      <c r="J2879" s="1" t="s">
        <v>12634</v>
      </c>
      <c r="K2879" s="1" t="s">
        <v>22</v>
      </c>
      <c r="L2879" s="1" t="str">
        <f>HYPERLINK("https://files.afu.se/Downloads/Transcripts/0%20-%20Government/USA%20-%20NASA%20Johnson/2012 05 03 - NASA Johnson - Students Speak With EVA Operations Specialist Glenda Brown_yFGz3EjaFjA - transcript (automated).pdf","Transcript Link")</f>
        <v>Transcript Link</v>
      </c>
      <c r="M2879" s="2" t="str">
        <f>HYPERLINK("https://files.afu.se/Downloads/Transcripts/0%20-%20Government/USA%20-%20NASA%20Johnson/2012 05 03 - NASA Johnson - Students Speak With EVA Operations Specialist Glenda Brown_yFGz3EjaFjA - transcript (automated).pdf","Transcript Link")</f>
        <v>Transcript Link</v>
      </c>
    </row>
    <row r="2880" ht="180" spans="1:13">
      <c r="A2880" s="1" t="s">
        <v>12630</v>
      </c>
      <c r="B2880" s="1" t="s">
        <v>13</v>
      </c>
      <c r="C2880" s="4" t="s">
        <v>12635</v>
      </c>
      <c r="D2880" s="1" t="s">
        <v>12636</v>
      </c>
      <c r="E2880" s="1" t="s">
        <v>12637</v>
      </c>
      <c r="F2880" s="4" t="s">
        <v>17</v>
      </c>
      <c r="G2880" s="1" t="s">
        <v>18</v>
      </c>
      <c r="H2880" s="1" t="s">
        <v>19</v>
      </c>
      <c r="I2880" s="1" t="s">
        <v>20</v>
      </c>
      <c r="J2880" s="1" t="s">
        <v>12638</v>
      </c>
      <c r="K2880" s="1" t="s">
        <v>22</v>
      </c>
      <c r="L2880" s="1" t="str">
        <f>HYPERLINK("https://files.afu.se/Downloads/Transcripts/0%20-%20Government/USA%20-%20NASA%20Johnson/2012 05 03 - NASA Johnson - ISS Update  American Physical Society_tOXJgYnyGoM - transcript (automated).pdf","Transcript Link")</f>
        <v>Transcript Link</v>
      </c>
      <c r="M2880" s="2" t="str">
        <f>HYPERLINK("https://files.afu.se/Downloads/Transcripts/0%20-%20Government/USA%20-%20NASA%20Johnson/2012 05 03 - NASA Johnson - ISS Update  American Physical Society_tOXJgYnyGoM - transcript (automated).pdf","Transcript Link")</f>
        <v>Transcript Link</v>
      </c>
    </row>
    <row r="2881" ht="180" spans="1:13">
      <c r="A2881" s="1" t="s">
        <v>12630</v>
      </c>
      <c r="B2881" s="1" t="s">
        <v>13</v>
      </c>
      <c r="C2881" s="4" t="s">
        <v>12639</v>
      </c>
      <c r="D2881" s="1" t="s">
        <v>12640</v>
      </c>
      <c r="E2881" s="1" t="s">
        <v>12641</v>
      </c>
      <c r="F2881" s="4" t="s">
        <v>17</v>
      </c>
      <c r="G2881" s="1" t="s">
        <v>18</v>
      </c>
      <c r="H2881" s="1" t="s">
        <v>19</v>
      </c>
      <c r="I2881" s="1" t="s">
        <v>20</v>
      </c>
      <c r="J2881" s="1" t="s">
        <v>12642</v>
      </c>
      <c r="K2881" s="1" t="s">
        <v>22</v>
      </c>
      <c r="L2881" s="1" t="str">
        <f>HYPERLINK("https://files.afu.se/Downloads/Transcripts/0%20-%20Government/USA%20-%20NASA%20Johnson/2012 05 03 - NASA Johnson - ISS Update  e-Textiles, Alerting Future Astronauts_w2fdRww2A14 - transcript (automated).pdf","Transcript Link")</f>
        <v>Transcript Link</v>
      </c>
      <c r="M2881" s="2" t="str">
        <f>HYPERLINK("https://files.afu.se/Downloads/Transcripts/0%20-%20Government/USA%20-%20NASA%20Johnson/2012 05 03 - NASA Johnson - ISS Update  e-Textiles, Alerting Future Astronauts_w2fdRww2A14 - transcript (automated).pdf","Transcript Link")</f>
        <v>Transcript Link</v>
      </c>
    </row>
    <row r="2882" ht="180" spans="1:13">
      <c r="A2882" s="1" t="s">
        <v>12630</v>
      </c>
      <c r="B2882" s="1" t="s">
        <v>13</v>
      </c>
      <c r="C2882" s="4" t="s">
        <v>12643</v>
      </c>
      <c r="D2882" s="1" t="s">
        <v>12644</v>
      </c>
      <c r="E2882" s="1" t="s">
        <v>12645</v>
      </c>
      <c r="F2882" s="4" t="s">
        <v>17</v>
      </c>
      <c r="G2882" s="1" t="s">
        <v>18</v>
      </c>
      <c r="H2882" s="1" t="s">
        <v>19</v>
      </c>
      <c r="I2882" s="1" t="s">
        <v>20</v>
      </c>
      <c r="J2882" s="1" t="s">
        <v>12646</v>
      </c>
      <c r="K2882" s="1" t="s">
        <v>22</v>
      </c>
      <c r="L2882" s="1" t="str">
        <f>HYPERLINK("https://files.afu.se/Downloads/Transcripts/0%20-%20Government/USA%20-%20NASA%20Johnson/2012 05 03 - NASA Johnson - ISS Update  Wearable Technology_M85C7BsEP_g - transcript (automated).pdf","Transcript Link")</f>
        <v>Transcript Link</v>
      </c>
      <c r="M2882" s="2" t="str">
        <f>HYPERLINK("https://files.afu.se/Downloads/Transcripts/0%20-%20Government/USA%20-%20NASA%20Johnson/2012 05 03 - NASA Johnson - ISS Update  Wearable Technology_M85C7BsEP_g - transcript (automated).pdf","Transcript Link")</f>
        <v>Transcript Link</v>
      </c>
    </row>
    <row r="2883" ht="180" spans="1:13">
      <c r="A2883" s="1" t="s">
        <v>12630</v>
      </c>
      <c r="B2883" s="1" t="s">
        <v>13</v>
      </c>
      <c r="C2883" s="4" t="s">
        <v>12647</v>
      </c>
      <c r="D2883" s="1" t="s">
        <v>12648</v>
      </c>
      <c r="E2883" s="1" t="s">
        <v>12649</v>
      </c>
      <c r="F2883" s="4" t="s">
        <v>17</v>
      </c>
      <c r="G2883" s="1" t="s">
        <v>18</v>
      </c>
      <c r="H2883" s="1" t="s">
        <v>19</v>
      </c>
      <c r="I2883" s="1" t="s">
        <v>20</v>
      </c>
      <c r="J2883" s="1" t="s">
        <v>12650</v>
      </c>
      <c r="K2883" s="1" t="s">
        <v>22</v>
      </c>
      <c r="L2883" s="1" t="str">
        <f>HYPERLINK("https://files.afu.se/Downloads/Transcripts/0%20-%20Government/USA%20-%20NASA%20Johnson/2012 05 03 - NASA Johnson - ISS Update - May 3, 2012_RGDkmkX1f94 - transcript (automated).pdf","Transcript Link")</f>
        <v>Transcript Link</v>
      </c>
      <c r="M2883" s="2" t="str">
        <f>HYPERLINK("https://files.afu.se/Downloads/Transcripts/0%20-%20Government/USA%20-%20NASA%20Johnson/2012 05 03 - NASA Johnson - ISS Update - May 3, 2012_RGDkmkX1f94 - transcript (automated).pdf","Transcript Link")</f>
        <v>Transcript Link</v>
      </c>
    </row>
    <row r="2884" ht="180" spans="1:13">
      <c r="A2884" s="1" t="s">
        <v>12651</v>
      </c>
      <c r="B2884" s="1" t="s">
        <v>13</v>
      </c>
      <c r="C2884" s="4" t="s">
        <v>12652</v>
      </c>
      <c r="D2884" s="1" t="s">
        <v>12653</v>
      </c>
      <c r="E2884" s="1" t="s">
        <v>12654</v>
      </c>
      <c r="F2884" s="4" t="s">
        <v>17</v>
      </c>
      <c r="G2884" s="1" t="s">
        <v>18</v>
      </c>
      <c r="H2884" s="1" t="s">
        <v>19</v>
      </c>
      <c r="I2884" s="1" t="s">
        <v>20</v>
      </c>
      <c r="J2884" s="1" t="s">
        <v>12655</v>
      </c>
      <c r="K2884" s="1" t="s">
        <v>22</v>
      </c>
      <c r="L2884" s="1" t="str">
        <f>HYPERLINK("https://files.afu.se/Downloads/Transcripts/0%20-%20Government/USA%20-%20NASA%20Johnson/2012 05 02 - NASA Johnson - ISS Update - May 2, 2012_0gEuzdgir2w - transcript (automated).pdf","Transcript Link")</f>
        <v>Transcript Link</v>
      </c>
      <c r="M2884" s="2" t="str">
        <f>HYPERLINK("https://files.afu.se/Downloads/Transcripts/0%20-%20Government/USA%20-%20NASA%20Johnson/2012 05 02 - NASA Johnson - ISS Update - May 2, 2012_0gEuzdgir2w - transcript (automated).pdf","Transcript Link")</f>
        <v>Transcript Link</v>
      </c>
    </row>
    <row r="2885" ht="180" spans="1:13">
      <c r="A2885" s="1" t="s">
        <v>12656</v>
      </c>
      <c r="B2885" s="1" t="s">
        <v>13</v>
      </c>
      <c r="C2885" s="4" t="s">
        <v>12657</v>
      </c>
      <c r="D2885" s="1" t="s">
        <v>12658</v>
      </c>
      <c r="E2885" s="1" t="s">
        <v>12659</v>
      </c>
      <c r="F2885" s="4" t="s">
        <v>17</v>
      </c>
      <c r="G2885" s="1" t="s">
        <v>18</v>
      </c>
      <c r="H2885" s="1" t="s">
        <v>19</v>
      </c>
      <c r="I2885" s="1" t="s">
        <v>20</v>
      </c>
      <c r="J2885" s="1" t="s">
        <v>12660</v>
      </c>
      <c r="K2885" s="1" t="s">
        <v>22</v>
      </c>
      <c r="L2885" s="1" t="str">
        <f>HYPERLINK("https://files.afu.se/Downloads/Transcripts/0%20-%20Government/USA%20-%20NASA%20Johnson/2012 05 01 - NASA Johnson - ISS Update - May 1, 2012_dwxBC0n2SNI - transcript (automated).pdf","Transcript Link")</f>
        <v>Transcript Link</v>
      </c>
      <c r="M2885" s="2" t="str">
        <f>HYPERLINK("https://files.afu.se/Downloads/Transcripts/0%20-%20Government/USA%20-%20NASA%20Johnson/2012 05 01 - NASA Johnson - ISS Update - May 1, 2012_dwxBC0n2SNI - transcript (automated).pdf","Transcript Link")</f>
        <v>Transcript Link</v>
      </c>
    </row>
    <row r="2886" ht="180" spans="1:13">
      <c r="A2886" s="1" t="s">
        <v>12656</v>
      </c>
      <c r="B2886" s="1" t="s">
        <v>13</v>
      </c>
      <c r="C2886" s="4" t="s">
        <v>12661</v>
      </c>
      <c r="D2886" s="1" t="s">
        <v>11476</v>
      </c>
      <c r="E2886" s="1" t="s">
        <v>12662</v>
      </c>
      <c r="F2886" s="4" t="s">
        <v>17</v>
      </c>
      <c r="G2886" s="1" t="s">
        <v>18</v>
      </c>
      <c r="H2886" s="1" t="s">
        <v>19</v>
      </c>
      <c r="I2886" s="1" t="s">
        <v>20</v>
      </c>
      <c r="J2886" s="1" t="s">
        <v>12663</v>
      </c>
      <c r="K2886" s="1" t="s">
        <v>22</v>
      </c>
      <c r="L2886" s="1" t="str">
        <f>HYPERLINK("https://files.afu.se/Downloads/Transcripts/0%20-%20Government/USA%20-%20NASA%20Johnson/2012 05 01 - NASA Johnson - ISS Update  Capturing a Dragon_vZO27PSZbrc - transcript (automated).pdf","Transcript Link")</f>
        <v>Transcript Link</v>
      </c>
      <c r="M2886" s="2" t="str">
        <f>HYPERLINK("https://files.afu.se/Downloads/Transcripts/0%20-%20Government/USA%20-%20NASA%20Johnson/2012 05 01 - NASA Johnson - ISS Update  Capturing a Dragon_vZO27PSZbrc - transcript (automated).pdf","Transcript Link")</f>
        <v>Transcript Link</v>
      </c>
    </row>
    <row r="2887" ht="180" spans="1:13">
      <c r="A2887" s="1" t="s">
        <v>12664</v>
      </c>
      <c r="B2887" s="1" t="s">
        <v>13</v>
      </c>
      <c r="C2887" s="4" t="s">
        <v>12665</v>
      </c>
      <c r="D2887" s="1" t="s">
        <v>12666</v>
      </c>
      <c r="E2887" s="1" t="s">
        <v>12667</v>
      </c>
      <c r="F2887" s="4" t="s">
        <v>17</v>
      </c>
      <c r="G2887" s="1" t="s">
        <v>18</v>
      </c>
      <c r="H2887" s="1" t="s">
        <v>19</v>
      </c>
      <c r="I2887" s="1" t="s">
        <v>20</v>
      </c>
      <c r="J2887" s="1" t="s">
        <v>12668</v>
      </c>
      <c r="K2887" s="1" t="s">
        <v>22</v>
      </c>
      <c r="L2887" s="1" t="str">
        <f>HYPERLINK("https://files.afu.se/Downloads/Transcripts/0%20-%20Government/USA%20-%20NASA%20Johnson/2012 04 30 - NASA Johnson - ISS Update - April 30, 2012_CNSmfxriT80 - transcript (automated).pdf","Transcript Link")</f>
        <v>Transcript Link</v>
      </c>
      <c r="M2887" s="2" t="str">
        <f>HYPERLINK("https://files.afu.se/Downloads/Transcripts/0%20-%20Government/USA%20-%20NASA%20Johnson/2012 04 30 - NASA Johnson - ISS Update - April 30, 2012_CNSmfxriT80 - transcript (automated).pdf","Transcript Link")</f>
        <v>Transcript Link</v>
      </c>
    </row>
    <row r="2888" ht="180" spans="1:13">
      <c r="A2888" s="1" t="s">
        <v>12669</v>
      </c>
      <c r="B2888" s="1" t="s">
        <v>13</v>
      </c>
      <c r="C2888" s="4" t="s">
        <v>12670</v>
      </c>
      <c r="D2888" s="1" t="s">
        <v>12671</v>
      </c>
      <c r="E2888" s="1" t="s">
        <v>12672</v>
      </c>
      <c r="F2888" s="4" t="s">
        <v>17</v>
      </c>
      <c r="G2888" s="1" t="s">
        <v>18</v>
      </c>
      <c r="H2888" s="1" t="s">
        <v>19</v>
      </c>
      <c r="I2888" s="1" t="s">
        <v>20</v>
      </c>
      <c r="J2888" s="1" t="s">
        <v>12673</v>
      </c>
      <c r="K2888" s="1" t="s">
        <v>22</v>
      </c>
      <c r="L2888" s="1" t="str">
        <f>HYPERLINK("https://files.afu.se/Downloads/Transcripts/0%20-%20Government/USA%20-%20NASA%20Johnson/2012 04 27 - NASA Johnson - ISS Update  SpaceX Dragon_iiyK9_tgek0 - transcript (automated).pdf","Transcript Link")</f>
        <v>Transcript Link</v>
      </c>
      <c r="M2888" s="2" t="str">
        <f>HYPERLINK("https://files.afu.se/Downloads/Transcripts/0%20-%20Government/USA%20-%20NASA%20Johnson/2012 04 27 - NASA Johnson - ISS Update  SpaceX Dragon_iiyK9_tgek0 - transcript (automated).pdf","Transcript Link")</f>
        <v>Transcript Link</v>
      </c>
    </row>
    <row r="2889" ht="180" spans="1:13">
      <c r="A2889" s="1" t="s">
        <v>12669</v>
      </c>
      <c r="B2889" s="1" t="s">
        <v>13</v>
      </c>
      <c r="C2889" s="4" t="s">
        <v>12674</v>
      </c>
      <c r="D2889" s="1" t="s">
        <v>12675</v>
      </c>
      <c r="E2889" s="1" t="s">
        <v>12676</v>
      </c>
      <c r="F2889" s="4" t="s">
        <v>17</v>
      </c>
      <c r="G2889" s="1" t="s">
        <v>18</v>
      </c>
      <c r="H2889" s="1" t="s">
        <v>19</v>
      </c>
      <c r="I2889" s="1" t="s">
        <v>20</v>
      </c>
      <c r="J2889" s="1" t="s">
        <v>12677</v>
      </c>
      <c r="K2889" s="1" t="s">
        <v>22</v>
      </c>
      <c r="L2889" s="1" t="str">
        <f>HYPERLINK("https://files.afu.se/Downloads/Transcripts/0%20-%20Government/USA%20-%20NASA%20Johnson/2012 04 27 - NASA Johnson - Science off the Sphere  Earth in Infrared_3m8hTq0xtkw - transcript (automated).pdf","Transcript Link")</f>
        <v>Transcript Link</v>
      </c>
      <c r="M2889" s="2" t="str">
        <f>HYPERLINK("https://files.afu.se/Downloads/Transcripts/0%20-%20Government/USA%20-%20NASA%20Johnson/2012 04 27 - NASA Johnson - Science off the Sphere  Earth in Infrared_3m8hTq0xtkw - transcript (automated).pdf","Transcript Link")</f>
        <v>Transcript Link</v>
      </c>
    </row>
    <row r="2890" ht="180" spans="1:13">
      <c r="A2890" s="1" t="s">
        <v>12669</v>
      </c>
      <c r="B2890" s="1" t="s">
        <v>13</v>
      </c>
      <c r="C2890" s="4" t="s">
        <v>12678</v>
      </c>
      <c r="D2890" s="1" t="s">
        <v>12679</v>
      </c>
      <c r="E2890" s="1" t="s">
        <v>12680</v>
      </c>
      <c r="F2890" s="4" t="s">
        <v>17</v>
      </c>
      <c r="G2890" s="1" t="s">
        <v>18</v>
      </c>
      <c r="H2890" s="1" t="s">
        <v>19</v>
      </c>
      <c r="I2890" s="1" t="s">
        <v>20</v>
      </c>
      <c r="J2890" s="1" t="s">
        <v>12681</v>
      </c>
      <c r="K2890" s="1" t="s">
        <v>22</v>
      </c>
      <c r="L2890" s="1" t="str">
        <f>HYPERLINK("https://files.afu.se/Downloads/Transcripts/0%20-%20Government/USA%20-%20NASA%20Johnson/2012 04 27 - NASA Johnson - Science off the Sphere  Fun with Antibubbles_U9VFwGYRZQg - transcript (automated).pdf","Transcript Link")</f>
        <v>Transcript Link</v>
      </c>
      <c r="M2890" s="2" t="str">
        <f>HYPERLINK("https://files.afu.se/Downloads/Transcripts/0%20-%20Government/USA%20-%20NASA%20Johnson/2012 04 27 - NASA Johnson - Science off the Sphere  Fun with Antibubbles_U9VFwGYRZQg - transcript (automated).pdf","Transcript Link")</f>
        <v>Transcript Link</v>
      </c>
    </row>
    <row r="2891" ht="180" spans="1:13">
      <c r="A2891" s="1" t="s">
        <v>12669</v>
      </c>
      <c r="B2891" s="1" t="s">
        <v>13</v>
      </c>
      <c r="C2891" s="4" t="s">
        <v>12682</v>
      </c>
      <c r="D2891" s="1" t="s">
        <v>12683</v>
      </c>
      <c r="E2891" s="1" t="s">
        <v>12684</v>
      </c>
      <c r="F2891" s="4" t="s">
        <v>17</v>
      </c>
      <c r="G2891" s="1" t="s">
        <v>18</v>
      </c>
      <c r="H2891" s="1" t="s">
        <v>19</v>
      </c>
      <c r="I2891" s="1" t="s">
        <v>20</v>
      </c>
      <c r="J2891" s="1" t="s">
        <v>12685</v>
      </c>
      <c r="K2891" s="1" t="s">
        <v>22</v>
      </c>
      <c r="L2891" s="1" t="str">
        <f>HYPERLINK("https://files.afu.se/Downloads/Transcripts/0%20-%20Government/USA%20-%20NASA%20Johnson/2012 04 27 - NASA Johnson - ISS Update  Weekly Recap for April 27, 2012_LhdCeiiAGjY - transcript (automated).pdf","Transcript Link")</f>
        <v>Transcript Link</v>
      </c>
      <c r="M2891" s="2" t="str">
        <f>HYPERLINK("https://files.afu.se/Downloads/Transcripts/0%20-%20Government/USA%20-%20NASA%20Johnson/2012 04 27 - NASA Johnson - ISS Update  Weekly Recap for April 27, 2012_LhdCeiiAGjY - transcript (automated).pdf","Transcript Link")</f>
        <v>Transcript Link</v>
      </c>
    </row>
    <row r="2892" ht="180" spans="1:13">
      <c r="A2892" s="1" t="s">
        <v>12669</v>
      </c>
      <c r="B2892" s="1" t="s">
        <v>13</v>
      </c>
      <c r="C2892" s="4" t="s">
        <v>12686</v>
      </c>
      <c r="D2892" s="1" t="s">
        <v>12687</v>
      </c>
      <c r="E2892" s="1" t="s">
        <v>12688</v>
      </c>
      <c r="F2892" s="4" t="s">
        <v>17</v>
      </c>
      <c r="G2892" s="1" t="s">
        <v>18</v>
      </c>
      <c r="H2892" s="1" t="s">
        <v>19</v>
      </c>
      <c r="I2892" s="1" t="s">
        <v>20</v>
      </c>
      <c r="J2892" s="1" t="s">
        <v>12689</v>
      </c>
      <c r="K2892" s="1" t="s">
        <v>22</v>
      </c>
      <c r="L2892" s="1" t="str">
        <f>HYPERLINK("https://files.afu.se/Downloads/Transcripts/0%20-%20Government/USA%20-%20NASA%20Johnson/2012 04 27 - NASA Johnson - Expedition 30 Landing_0JnLhJhl_00 - transcript (automated).pdf","Transcript Link")</f>
        <v>Transcript Link</v>
      </c>
      <c r="M2892" s="2" t="str">
        <f>HYPERLINK("https://files.afu.se/Downloads/Transcripts/0%20-%20Government/USA%20-%20NASA%20Johnson/2012 04 27 - NASA Johnson - Expedition 30 Landing_0JnLhJhl_00 - transcript (automated).pdf","Transcript Link")</f>
        <v>Transcript Link</v>
      </c>
    </row>
    <row r="2893" ht="180" spans="1:13">
      <c r="A2893" s="1" t="s">
        <v>12669</v>
      </c>
      <c r="B2893" s="1" t="s">
        <v>13</v>
      </c>
      <c r="C2893" s="4" t="s">
        <v>12690</v>
      </c>
      <c r="D2893" s="1" t="s">
        <v>12691</v>
      </c>
      <c r="E2893" s="1" t="s">
        <v>12692</v>
      </c>
      <c r="F2893" s="4" t="s">
        <v>17</v>
      </c>
      <c r="G2893" s="1" t="s">
        <v>18</v>
      </c>
      <c r="H2893" s="1" t="s">
        <v>19</v>
      </c>
      <c r="I2893" s="1" t="s">
        <v>20</v>
      </c>
      <c r="J2893" s="1" t="s">
        <v>12693</v>
      </c>
      <c r="K2893" s="1" t="s">
        <v>22</v>
      </c>
      <c r="L2893" s="1" t="str">
        <f>HYPERLINK("https://files.afu.se/Downloads/Transcripts/0%20-%20Government/USA%20-%20NASA%20Johnson/2012 04 27 - NASA Johnson - Expedition 30 Farewell, Hatch Closure, Undocking_PbLHgGbzTZI - transcript (automated).pdf","Transcript Link")</f>
        <v>Transcript Link</v>
      </c>
      <c r="M2893" s="2" t="str">
        <f>HYPERLINK("https://files.afu.se/Downloads/Transcripts/0%20-%20Government/USA%20-%20NASA%20Johnson/2012 04 27 - NASA Johnson - Expedition 30 Farewell, Hatch Closure, Undocking_PbLHgGbzTZI - transcript (automated).pdf","Transcript Link")</f>
        <v>Transcript Link</v>
      </c>
    </row>
    <row r="2894" ht="180" spans="1:13">
      <c r="A2894" s="1" t="s">
        <v>12694</v>
      </c>
      <c r="B2894" s="1" t="s">
        <v>13</v>
      </c>
      <c r="C2894" s="4" t="s">
        <v>12695</v>
      </c>
      <c r="D2894" s="1" t="s">
        <v>12696</v>
      </c>
      <c r="E2894" s="1" t="s">
        <v>12697</v>
      </c>
      <c r="F2894" s="4" t="s">
        <v>17</v>
      </c>
      <c r="G2894" s="1" t="s">
        <v>18</v>
      </c>
      <c r="H2894" s="1" t="s">
        <v>19</v>
      </c>
      <c r="I2894" s="1" t="s">
        <v>20</v>
      </c>
      <c r="J2894" s="1" t="s">
        <v>12698</v>
      </c>
      <c r="K2894" s="1" t="s">
        <v>22</v>
      </c>
      <c r="L2894" s="1" t="str">
        <f>HYPERLINK("https://files.afu.se/Downloads/Transcripts/0%20-%20Government/USA%20-%20NASA%20Johnson/2012 04 26 - NASA Johnson - Students Speak With ODIN Flight Controller Amy Brezinski_KPpWRXmEnR8 - transcript (automated).pdf","Transcript Link")</f>
        <v>Transcript Link</v>
      </c>
      <c r="M2894" s="2" t="str">
        <f>HYPERLINK("https://files.afu.se/Downloads/Transcripts/0%20-%20Government/USA%20-%20NASA%20Johnson/2012 04 26 - NASA Johnson - Students Speak With ODIN Flight Controller Amy Brezinski_KPpWRXmEnR8 - transcript (automated).pdf","Transcript Link")</f>
        <v>Transcript Link</v>
      </c>
    </row>
    <row r="2895" ht="180" spans="1:13">
      <c r="A2895" s="1" t="s">
        <v>12694</v>
      </c>
      <c r="B2895" s="1" t="s">
        <v>13</v>
      </c>
      <c r="C2895" s="4" t="s">
        <v>12699</v>
      </c>
      <c r="D2895" s="1" t="s">
        <v>12700</v>
      </c>
      <c r="E2895" s="1" t="s">
        <v>12701</v>
      </c>
      <c r="F2895" s="4" t="s">
        <v>17</v>
      </c>
      <c r="G2895" s="1" t="s">
        <v>18</v>
      </c>
      <c r="H2895" s="1" t="s">
        <v>19</v>
      </c>
      <c r="I2895" s="1" t="s">
        <v>20</v>
      </c>
      <c r="J2895" s="1" t="s">
        <v>12702</v>
      </c>
      <c r="K2895" s="1" t="s">
        <v>22</v>
      </c>
      <c r="L2895" s="1" t="str">
        <f>HYPERLINK("https://files.afu.se/Downloads/Transcripts/0%20-%20Government/USA%20-%20NASA%20Johnson/2012 04 26 - NASA Johnson - ISS Update  Station Command and Data Handling System_L_NrzD5_D3E - transcript (automated).pdf","Transcript Link")</f>
        <v>Transcript Link</v>
      </c>
      <c r="M2895" s="2" t="str">
        <f>HYPERLINK("https://files.afu.se/Downloads/Transcripts/0%20-%20Government/USA%20-%20NASA%20Johnson/2012 04 26 - NASA Johnson - ISS Update  Station Command and Data Handling System_L_NrzD5_D3E - transcript (automated).pdf","Transcript Link")</f>
        <v>Transcript Link</v>
      </c>
    </row>
    <row r="2896" ht="180" spans="1:13">
      <c r="A2896" s="1" t="s">
        <v>12694</v>
      </c>
      <c r="B2896" s="1" t="s">
        <v>13</v>
      </c>
      <c r="C2896" s="4" t="s">
        <v>12703</v>
      </c>
      <c r="D2896" s="1" t="s">
        <v>12704</v>
      </c>
      <c r="E2896" s="1" t="s">
        <v>12705</v>
      </c>
      <c r="F2896" s="4" t="s">
        <v>17</v>
      </c>
      <c r="G2896" s="1" t="s">
        <v>18</v>
      </c>
      <c r="H2896" s="1" t="s">
        <v>19</v>
      </c>
      <c r="I2896" s="1" t="s">
        <v>20</v>
      </c>
      <c r="J2896" s="1" t="s">
        <v>12706</v>
      </c>
      <c r="K2896" s="1" t="s">
        <v>22</v>
      </c>
      <c r="L2896" s="1" t="str">
        <f>HYPERLINK("https://files.afu.se/Downloads/Transcripts/0%20-%20Government/USA%20-%20NASA%20Johnson/2012 04 26 - NASA Johnson - ISS Update - April 26, 2012_pXoaiZMcKn8 - transcript (automated).pdf","Transcript Link")</f>
        <v>Transcript Link</v>
      </c>
      <c r="M2896" s="2" t="str">
        <f>HYPERLINK("https://files.afu.se/Downloads/Transcripts/0%20-%20Government/USA%20-%20NASA%20Johnson/2012 04 26 - NASA Johnson - ISS Update - April 26, 2012_pXoaiZMcKn8 - transcript (automated).pdf","Transcript Link")</f>
        <v>Transcript Link</v>
      </c>
    </row>
    <row r="2897" ht="180" spans="1:13">
      <c r="A2897" s="1" t="s">
        <v>12707</v>
      </c>
      <c r="B2897" s="1" t="s">
        <v>13</v>
      </c>
      <c r="C2897" s="4" t="s">
        <v>12708</v>
      </c>
      <c r="D2897" s="1" t="s">
        <v>4392</v>
      </c>
      <c r="E2897" s="1" t="s">
        <v>12709</v>
      </c>
      <c r="F2897" s="4" t="s">
        <v>17</v>
      </c>
      <c r="G2897" s="1" t="s">
        <v>18</v>
      </c>
      <c r="H2897" s="1" t="s">
        <v>19</v>
      </c>
      <c r="I2897" s="1" t="s">
        <v>20</v>
      </c>
      <c r="J2897" s="1" t="s">
        <v>12710</v>
      </c>
      <c r="K2897" s="1" t="s">
        <v>22</v>
      </c>
      <c r="L2897" s="1" t="str">
        <f>HYPERLINK("https://files.afu.se/Downloads/Transcripts/0%20-%20Government/USA%20-%20NASA%20Johnson/2012 04 25 - NASA Johnson - Station Change of Command Ceremony_rJcV_kWIR2A - transcript (automated).pdf","Transcript Link")</f>
        <v>Transcript Link</v>
      </c>
      <c r="M2897" s="2" t="str">
        <f>HYPERLINK("https://files.afu.se/Downloads/Transcripts/0%20-%20Government/USA%20-%20NASA%20Johnson/2012 04 25 - NASA Johnson - Station Change of Command Ceremony_rJcV_kWIR2A - transcript (automated).pdf","Transcript Link")</f>
        <v>Transcript Link</v>
      </c>
    </row>
    <row r="2898" ht="180" spans="1:13">
      <c r="A2898" s="1" t="s">
        <v>12707</v>
      </c>
      <c r="B2898" s="1" t="s">
        <v>13</v>
      </c>
      <c r="C2898" s="4" t="s">
        <v>12711</v>
      </c>
      <c r="D2898" s="1" t="s">
        <v>12712</v>
      </c>
      <c r="E2898" s="1" t="s">
        <v>12713</v>
      </c>
      <c r="F2898" s="4" t="s">
        <v>17</v>
      </c>
      <c r="G2898" s="1" t="s">
        <v>18</v>
      </c>
      <c r="H2898" s="1" t="s">
        <v>19</v>
      </c>
      <c r="I2898" s="1" t="s">
        <v>20</v>
      </c>
      <c r="J2898" s="1" t="s">
        <v>12714</v>
      </c>
      <c r="K2898" s="1" t="s">
        <v>22</v>
      </c>
      <c r="L2898" s="1" t="str">
        <f>HYPERLINK("https://files.afu.se/Downloads/Transcripts/0%20-%20Government/USA%20-%20NASA%20Johnson/2012 04 25 - NASA Johnson - Students Speak With NASA Astronaut Mike Foreman_Su0I0T43aPg - transcript (automated).pdf","Transcript Link")</f>
        <v>Transcript Link</v>
      </c>
      <c r="M2898" s="2" t="str">
        <f>HYPERLINK("https://files.afu.se/Downloads/Transcripts/0%20-%20Government/USA%20-%20NASA%20Johnson/2012 04 25 - NASA Johnson - Students Speak With NASA Astronaut Mike Foreman_Su0I0T43aPg - transcript (automated).pdf","Transcript Link")</f>
        <v>Transcript Link</v>
      </c>
    </row>
    <row r="2899" ht="180" spans="1:13">
      <c r="A2899" s="1" t="s">
        <v>12707</v>
      </c>
      <c r="B2899" s="1" t="s">
        <v>13</v>
      </c>
      <c r="C2899" s="4" t="s">
        <v>12715</v>
      </c>
      <c r="D2899" s="1" t="s">
        <v>12716</v>
      </c>
      <c r="E2899" s="1" t="s">
        <v>12717</v>
      </c>
      <c r="F2899" s="4" t="s">
        <v>17</v>
      </c>
      <c r="G2899" s="1" t="s">
        <v>18</v>
      </c>
      <c r="H2899" s="1" t="s">
        <v>19</v>
      </c>
      <c r="I2899" s="1" t="s">
        <v>20</v>
      </c>
      <c r="J2899" s="1" t="s">
        <v>12718</v>
      </c>
      <c r="K2899" s="1" t="s">
        <v>22</v>
      </c>
      <c r="L2899" s="1" t="str">
        <f>HYPERLINK("https://files.afu.se/Downloads/Transcripts/0%20-%20Government/USA%20-%20NASA%20Johnson/2012 04 25 - NASA Johnson - Inside the Russian Soyuz Spacecraft_YfCws6c6_Tw - transcript (automated).pdf","Transcript Link")</f>
        <v>Transcript Link</v>
      </c>
      <c r="M2899" s="2" t="str">
        <f>HYPERLINK("https://files.afu.se/Downloads/Transcripts/0%20-%20Government/USA%20-%20NASA%20Johnson/2012 04 25 - NASA Johnson - Inside the Russian Soyuz Spacecraft_YfCws6c6_Tw - transcript (automated).pdf","Transcript Link")</f>
        <v>Transcript Link</v>
      </c>
    </row>
    <row r="2900" ht="180" spans="1:13">
      <c r="A2900" s="1" t="s">
        <v>12707</v>
      </c>
      <c r="B2900" s="1" t="s">
        <v>13</v>
      </c>
      <c r="C2900" s="4" t="s">
        <v>12719</v>
      </c>
      <c r="D2900" s="1" t="s">
        <v>12720</v>
      </c>
      <c r="E2900" s="1" t="s">
        <v>12721</v>
      </c>
      <c r="F2900" s="4" t="s">
        <v>17</v>
      </c>
      <c r="G2900" s="1" t="s">
        <v>18</v>
      </c>
      <c r="H2900" s="1" t="s">
        <v>19</v>
      </c>
      <c r="I2900" s="1" t="s">
        <v>20</v>
      </c>
      <c r="J2900" s="1" t="s">
        <v>12722</v>
      </c>
      <c r="K2900" s="1" t="s">
        <v>22</v>
      </c>
      <c r="L2900" s="1" t="str">
        <f>HYPERLINK("https://files.afu.se/Downloads/Transcripts/0%20-%20Government/USA%20-%20NASA%20Johnson/2012 04 25 - NASA Johnson - ISS Update - April 25, 2012_R157tS9t52Q - transcript (automated).pdf","Transcript Link")</f>
        <v>Transcript Link</v>
      </c>
      <c r="M2900" s="2" t="str">
        <f>HYPERLINK("https://files.afu.se/Downloads/Transcripts/0%20-%20Government/USA%20-%20NASA%20Johnson/2012 04 25 - NASA Johnson - ISS Update - April 25, 2012_R157tS9t52Q - transcript (automated).pdf","Transcript Link")</f>
        <v>Transcript Link</v>
      </c>
    </row>
    <row r="2901" ht="180" spans="1:13">
      <c r="A2901" s="1" t="s">
        <v>12723</v>
      </c>
      <c r="B2901" s="1" t="s">
        <v>13</v>
      </c>
      <c r="C2901" s="4" t="s">
        <v>12724</v>
      </c>
      <c r="D2901" s="1" t="s">
        <v>12725</v>
      </c>
      <c r="E2901" s="1" t="s">
        <v>12726</v>
      </c>
      <c r="F2901" s="4" t="s">
        <v>17</v>
      </c>
      <c r="G2901" s="1" t="s">
        <v>18</v>
      </c>
      <c r="H2901" s="1" t="s">
        <v>19</v>
      </c>
      <c r="I2901" s="1" t="s">
        <v>20</v>
      </c>
      <c r="J2901" s="1" t="s">
        <v>12727</v>
      </c>
      <c r="K2901" s="1" t="s">
        <v>22</v>
      </c>
      <c r="L2901" s="1" t="str">
        <f>HYPERLINK("https://files.afu.se/Downloads/Transcripts/0%20-%20Government/USA%20-%20NASA%20Johnson/2012 04 24 - NASA Johnson - ISS Update - April 24, 2012_R9rqNX-U39g - transcript (automated).pdf","Transcript Link")</f>
        <v>Transcript Link</v>
      </c>
      <c r="M2901" s="2" t="str">
        <f>HYPERLINK("https://files.afu.se/Downloads/Transcripts/0%20-%20Government/USA%20-%20NASA%20Johnson/2012 04 24 - NASA Johnson - ISS Update - April 24, 2012_R9rqNX-U39g - transcript (automated).pdf","Transcript Link")</f>
        <v>Transcript Link</v>
      </c>
    </row>
    <row r="2902" ht="180" spans="1:13">
      <c r="A2902" s="1" t="s">
        <v>12723</v>
      </c>
      <c r="B2902" s="1" t="s">
        <v>13</v>
      </c>
      <c r="C2902" s="4" t="s">
        <v>12728</v>
      </c>
      <c r="D2902" s="1" t="s">
        <v>12729</v>
      </c>
      <c r="E2902" s="1" t="s">
        <v>12730</v>
      </c>
      <c r="F2902" s="4" t="s">
        <v>17</v>
      </c>
      <c r="G2902" s="1" t="s">
        <v>18</v>
      </c>
      <c r="H2902" s="1" t="s">
        <v>19</v>
      </c>
      <c r="I2902" s="1" t="s">
        <v>20</v>
      </c>
      <c r="J2902" s="1" t="s">
        <v>12731</v>
      </c>
      <c r="K2902" s="1" t="s">
        <v>22</v>
      </c>
      <c r="L2902" s="1" t="str">
        <f>HYPERLINK("https://files.afu.se/Downloads/Transcripts/0%20-%20Government/USA%20-%20NASA%20Johnson/2012 04 24 - NASA Johnson - Expedition 31 Crew Trains for Launch_qbDSusHrvZ0 - transcript (automated).pdf","Transcript Link")</f>
        <v>Transcript Link</v>
      </c>
      <c r="M2902" s="2" t="str">
        <f>HYPERLINK("https://files.afu.se/Downloads/Transcripts/0%20-%20Government/USA%20-%20NASA%20Johnson/2012 04 24 - NASA Johnson - Expedition 31 Crew Trains for Launch_qbDSusHrvZ0 - transcript (automated).pdf","Transcript Link")</f>
        <v>Transcript Link</v>
      </c>
    </row>
    <row r="2903" ht="180" spans="1:13">
      <c r="A2903" s="1" t="s">
        <v>12732</v>
      </c>
      <c r="B2903" s="1" t="s">
        <v>13</v>
      </c>
      <c r="C2903" s="4" t="s">
        <v>12733</v>
      </c>
      <c r="D2903" s="1" t="s">
        <v>12734</v>
      </c>
      <c r="E2903" s="1" t="s">
        <v>12735</v>
      </c>
      <c r="F2903" s="4" t="s">
        <v>17</v>
      </c>
      <c r="G2903" s="1" t="s">
        <v>18</v>
      </c>
      <c r="H2903" s="1" t="s">
        <v>19</v>
      </c>
      <c r="I2903" s="1" t="s">
        <v>20</v>
      </c>
      <c r="J2903" s="1" t="s">
        <v>12736</v>
      </c>
      <c r="K2903" s="1" t="s">
        <v>22</v>
      </c>
      <c r="L2903" s="1" t="str">
        <f>HYPERLINK("https://files.afu.se/Downloads/Transcripts/0%20-%20Government/USA%20-%20NASA%20Johnson/2012 04 23 - NASA Johnson - ISS Update - April 23, 2012_ySEWSCoCvdg - transcript (automated).pdf","Transcript Link")</f>
        <v>Transcript Link</v>
      </c>
      <c r="M2903" s="2" t="str">
        <f>HYPERLINK("https://files.afu.se/Downloads/Transcripts/0%20-%20Government/USA%20-%20NASA%20Johnson/2012 04 23 - NASA Johnson - ISS Update - April 23, 2012_ySEWSCoCvdg - transcript (automated).pdf","Transcript Link")</f>
        <v>Transcript Link</v>
      </c>
    </row>
    <row r="2904" ht="180" spans="1:13">
      <c r="A2904" s="1" t="s">
        <v>12737</v>
      </c>
      <c r="B2904" s="1" t="s">
        <v>13</v>
      </c>
      <c r="C2904" s="4" t="s">
        <v>12738</v>
      </c>
      <c r="D2904" s="1" t="s">
        <v>12739</v>
      </c>
      <c r="E2904" s="1" t="s">
        <v>12740</v>
      </c>
      <c r="F2904" s="4" t="s">
        <v>17</v>
      </c>
      <c r="G2904" s="1" t="s">
        <v>18</v>
      </c>
      <c r="H2904" s="1" t="s">
        <v>19</v>
      </c>
      <c r="I2904" s="1" t="s">
        <v>20</v>
      </c>
      <c r="J2904" s="1" t="s">
        <v>12741</v>
      </c>
      <c r="K2904" s="1" t="s">
        <v>22</v>
      </c>
      <c r="L2904" s="1" t="str">
        <f>HYPERLINK("https://files.afu.se/Downloads/Transcripts/0%20-%20Government/USA%20-%20NASA%20Johnson/2012 04 20 - NASA Johnson - ISS Update  Weekly Recap for April 20, 2012_7pjboLP3IGw - transcript (automated).pdf","Transcript Link")</f>
        <v>Transcript Link</v>
      </c>
      <c r="M2904" s="2" t="str">
        <f>HYPERLINK("https://files.afu.se/Downloads/Transcripts/0%20-%20Government/USA%20-%20NASA%20Johnson/2012 04 20 - NASA Johnson - ISS Update  Weekly Recap for April 20, 2012_7pjboLP3IGw - transcript (automated).pdf","Transcript Link")</f>
        <v>Transcript Link</v>
      </c>
    </row>
    <row r="2905" ht="180" spans="1:13">
      <c r="A2905" s="1" t="s">
        <v>12737</v>
      </c>
      <c r="B2905" s="1" t="s">
        <v>13</v>
      </c>
      <c r="C2905" s="4" t="s">
        <v>12742</v>
      </c>
      <c r="D2905" s="1" t="s">
        <v>12743</v>
      </c>
      <c r="E2905" s="1" t="s">
        <v>12744</v>
      </c>
      <c r="F2905" s="4" t="s">
        <v>17</v>
      </c>
      <c r="G2905" s="1" t="s">
        <v>18</v>
      </c>
      <c r="H2905" s="1" t="s">
        <v>19</v>
      </c>
      <c r="I2905" s="1" t="s">
        <v>20</v>
      </c>
      <c r="J2905" s="1" t="s">
        <v>12745</v>
      </c>
      <c r="K2905" s="1" t="s">
        <v>22</v>
      </c>
      <c r="L2905" s="1" t="str">
        <f>HYPERLINK("https://files.afu.se/Downloads/Transcripts/0%20-%20Government/USA%20-%20NASA%20Johnson/2012 04 20 - NASA Johnson - ISS Update  Earth Observations From Space Station_3pz-Xm5r-X8 - transcript (automated).pdf","Transcript Link")</f>
        <v>Transcript Link</v>
      </c>
      <c r="M2905" s="2" t="str">
        <f>HYPERLINK("https://files.afu.se/Downloads/Transcripts/0%20-%20Government/USA%20-%20NASA%20Johnson/2012 04 20 - NASA Johnson - ISS Update  Earth Observations From Space Station_3pz-Xm5r-X8 - transcript (automated).pdf","Transcript Link")</f>
        <v>Transcript Link</v>
      </c>
    </row>
    <row r="2906" ht="409.5" spans="1:13">
      <c r="A2906" s="1" t="s">
        <v>12737</v>
      </c>
      <c r="B2906" s="1" t="s">
        <v>13</v>
      </c>
      <c r="C2906" s="4" t="s">
        <v>12746</v>
      </c>
      <c r="D2906" s="1" t="s">
        <v>12747</v>
      </c>
      <c r="E2906" s="1" t="s">
        <v>12748</v>
      </c>
      <c r="F2906" s="4" t="s">
        <v>17</v>
      </c>
      <c r="G2906" s="1" t="s">
        <v>18</v>
      </c>
      <c r="H2906" s="1" t="s">
        <v>19</v>
      </c>
      <c r="I2906" s="1" t="s">
        <v>20</v>
      </c>
      <c r="J2906" s="1" t="s">
        <v>12749</v>
      </c>
      <c r="K2906" s="1" t="s">
        <v>22</v>
      </c>
      <c r="L2906" s="1" t="str">
        <f>HYPERLINK("https://files.afu.se/Downloads/Transcripts/0%20-%20Government/USA%20-%20NASA%20Johnson/2012 04 20 - NASA Johnson - Walking On Air_hWz5ltE_I4c - transcript (automated).pdf","Transcript Link")</f>
        <v>Transcript Link</v>
      </c>
      <c r="M2906" s="2" t="str">
        <f>HYPERLINK("https://files.afu.se/Downloads/Transcripts/0%20-%20Government/USA%20-%20NASA%20Johnson/2012 04 20 - NASA Johnson - Walking On Air_hWz5ltE_I4c - transcript (automated).pdf","Transcript Link")</f>
        <v>Transcript Link</v>
      </c>
    </row>
    <row r="2907" ht="180" spans="1:13">
      <c r="A2907" s="1" t="s">
        <v>12750</v>
      </c>
      <c r="B2907" s="1" t="s">
        <v>13</v>
      </c>
      <c r="C2907" s="4" t="s">
        <v>12751</v>
      </c>
      <c r="D2907" s="1" t="s">
        <v>12752</v>
      </c>
      <c r="E2907" s="1" t="s">
        <v>12753</v>
      </c>
      <c r="F2907" s="4" t="s">
        <v>17</v>
      </c>
      <c r="G2907" s="1" t="s">
        <v>18</v>
      </c>
      <c r="H2907" s="1" t="s">
        <v>19</v>
      </c>
      <c r="I2907" s="1" t="s">
        <v>20</v>
      </c>
      <c r="J2907" s="1" t="s">
        <v>12754</v>
      </c>
      <c r="K2907" s="1" t="s">
        <v>22</v>
      </c>
      <c r="L2907" s="1" t="str">
        <f>HYPERLINK("https://files.afu.se/Downloads/Transcripts/0%20-%20Government/USA%20-%20NASA%20Johnson/2012 04 19 - NASA Johnson - ISS Update  From Orbiting Earth to Living Underwater_YasuPf09rrs - transcript (automated).pdf","Transcript Link")</f>
        <v>Transcript Link</v>
      </c>
      <c r="M2907" s="2" t="str">
        <f>HYPERLINK("https://files.afu.se/Downloads/Transcripts/0%20-%20Government/USA%20-%20NASA%20Johnson/2012 04 19 - NASA Johnson - ISS Update  From Orbiting Earth to Living Underwater_YasuPf09rrs - transcript (automated).pdf","Transcript Link")</f>
        <v>Transcript Link</v>
      </c>
    </row>
    <row r="2908" ht="180" spans="1:13">
      <c r="A2908" s="1" t="s">
        <v>12750</v>
      </c>
      <c r="B2908" s="1" t="s">
        <v>13</v>
      </c>
      <c r="C2908" s="4" t="s">
        <v>12755</v>
      </c>
      <c r="D2908" s="1" t="s">
        <v>12756</v>
      </c>
      <c r="E2908" s="1" t="s">
        <v>12757</v>
      </c>
      <c r="F2908" s="4" t="s">
        <v>17</v>
      </c>
      <c r="G2908" s="1" t="s">
        <v>18</v>
      </c>
      <c r="H2908" s="1" t="s">
        <v>19</v>
      </c>
      <c r="I2908" s="1" t="s">
        <v>20</v>
      </c>
      <c r="J2908" s="1" t="s">
        <v>12758</v>
      </c>
      <c r="K2908" s="1" t="s">
        <v>22</v>
      </c>
      <c r="L2908" s="1" t="str">
        <f>HYPERLINK("https://files.afu.se/Downloads/Transcripts/0%20-%20Government/USA%20-%20NASA%20Johnson/2012 04 19 - NASA Johnson - ISS Update  NEEMO Training Simulates Working on an Asteroid_CQ2lFUJUMIk - transcript (automated).pdf","Transcript Link")</f>
        <v>Transcript Link</v>
      </c>
      <c r="M2908" s="2" t="str">
        <f>HYPERLINK("https://files.afu.se/Downloads/Transcripts/0%20-%20Government/USA%20-%20NASA%20Johnson/2012 04 19 - NASA Johnson - ISS Update  NEEMO Training Simulates Working on an Asteroid_CQ2lFUJUMIk - transcript (automated).pdf","Transcript Link")</f>
        <v>Transcript Link</v>
      </c>
    </row>
    <row r="2909" ht="180" spans="1:13">
      <c r="A2909" s="1" t="s">
        <v>12750</v>
      </c>
      <c r="B2909" s="1" t="s">
        <v>13</v>
      </c>
      <c r="C2909" s="4" t="s">
        <v>12759</v>
      </c>
      <c r="D2909" s="1" t="s">
        <v>12760</v>
      </c>
      <c r="E2909" s="1" t="s">
        <v>12761</v>
      </c>
      <c r="F2909" s="4" t="s">
        <v>17</v>
      </c>
      <c r="G2909" s="1" t="s">
        <v>18</v>
      </c>
      <c r="H2909" s="1" t="s">
        <v>19</v>
      </c>
      <c r="I2909" s="1" t="s">
        <v>20</v>
      </c>
      <c r="J2909" s="1" t="s">
        <v>12762</v>
      </c>
      <c r="K2909" s="1" t="s">
        <v>22</v>
      </c>
      <c r="L2909" s="1" t="str">
        <f>HYPERLINK("https://files.afu.se/Downloads/Transcripts/0%20-%20Government/USA%20-%20NASA%20Johnson/2012 04 19 - NASA Johnson - ISS Update - April 19, 2012_HuXbXSJfCEs - transcript (automated).pdf","Transcript Link")</f>
        <v>Transcript Link</v>
      </c>
      <c r="M2909" s="2" t="str">
        <f>HYPERLINK("https://files.afu.se/Downloads/Transcripts/0%20-%20Government/USA%20-%20NASA%20Johnson/2012 04 19 - NASA Johnson - ISS Update - April 19, 2012_HuXbXSJfCEs - transcript (automated).pdf","Transcript Link")</f>
        <v>Transcript Link</v>
      </c>
    </row>
    <row r="2910" ht="180" spans="1:13">
      <c r="A2910" s="1" t="s">
        <v>12763</v>
      </c>
      <c r="B2910" s="1" t="s">
        <v>13</v>
      </c>
      <c r="C2910" s="4" t="s">
        <v>12764</v>
      </c>
      <c r="D2910" s="1" t="s">
        <v>12765</v>
      </c>
      <c r="E2910" s="1" t="s">
        <v>12766</v>
      </c>
      <c r="F2910" s="4" t="s">
        <v>17</v>
      </c>
      <c r="G2910" s="1" t="s">
        <v>18</v>
      </c>
      <c r="H2910" s="1" t="s">
        <v>19</v>
      </c>
      <c r="I2910" s="1" t="s">
        <v>20</v>
      </c>
      <c r="J2910" s="1" t="s">
        <v>12767</v>
      </c>
      <c r="K2910" s="1" t="s">
        <v>22</v>
      </c>
      <c r="L2910" s="1" t="str">
        <f>HYPERLINK("https://files.afu.se/Downloads/Transcripts/0%20-%20Government/USA%20-%20NASA%20Johnson/2012 04 18 - NASA Johnson - SpaceX Dragon Briefing  April 16, 2012 - Part 2 With Q&amp;A_t4I3ZRTefEo - transcript (automated).pdf","Transcript Link")</f>
        <v>Transcript Link</v>
      </c>
      <c r="M2910" s="2" t="str">
        <f>HYPERLINK("https://files.afu.se/Downloads/Transcripts/0%20-%20Government/USA%20-%20NASA%20Johnson/2012 04 18 - NASA Johnson - SpaceX Dragon Briefing  April 16, 2012 - Part 2 With Q&amp;A_t4I3ZRTefEo - transcript (automated).pdf","Transcript Link")</f>
        <v>Transcript Link</v>
      </c>
    </row>
    <row r="2911" ht="180" spans="1:13">
      <c r="A2911" s="1" t="s">
        <v>12763</v>
      </c>
      <c r="B2911" s="1" t="s">
        <v>13</v>
      </c>
      <c r="C2911" s="4" t="s">
        <v>12768</v>
      </c>
      <c r="D2911" s="1" t="s">
        <v>12769</v>
      </c>
      <c r="E2911" s="1" t="s">
        <v>12770</v>
      </c>
      <c r="F2911" s="4" t="s">
        <v>17</v>
      </c>
      <c r="G2911" s="1" t="s">
        <v>18</v>
      </c>
      <c r="H2911" s="1" t="s">
        <v>19</v>
      </c>
      <c r="I2911" s="1" t="s">
        <v>20</v>
      </c>
      <c r="J2911" s="1" t="s">
        <v>12771</v>
      </c>
      <c r="K2911" s="1" t="s">
        <v>22</v>
      </c>
      <c r="L2911" s="1" t="str">
        <f>HYPERLINK("https://files.afu.se/Downloads/Transcripts/0%20-%20Government/USA%20-%20NASA%20Johnson/2012 04 18 - NASA Johnson - SpaceX Dragon Briefing  April 16, 2012 - Part 1_S7eMODqLBrQ - transcript (automated).pdf","Transcript Link")</f>
        <v>Transcript Link</v>
      </c>
      <c r="M2911" s="2" t="str">
        <f>HYPERLINK("https://files.afu.se/Downloads/Transcripts/0%20-%20Government/USA%20-%20NASA%20Johnson/2012 04 18 - NASA Johnson - SpaceX Dragon Briefing  April 16, 2012 - Part 1_S7eMODqLBrQ - transcript (automated).pdf","Transcript Link")</f>
        <v>Transcript Link</v>
      </c>
    </row>
    <row r="2912" ht="180" spans="1:13">
      <c r="A2912" s="1" t="s">
        <v>12763</v>
      </c>
      <c r="B2912" s="1" t="s">
        <v>13</v>
      </c>
      <c r="C2912" s="4" t="s">
        <v>12772</v>
      </c>
      <c r="D2912" s="1" t="s">
        <v>12773</v>
      </c>
      <c r="E2912" s="1" t="s">
        <v>12774</v>
      </c>
      <c r="F2912" s="4" t="s">
        <v>17</v>
      </c>
      <c r="G2912" s="1" t="s">
        <v>18</v>
      </c>
      <c r="H2912" s="1" t="s">
        <v>19</v>
      </c>
      <c r="I2912" s="1" t="s">
        <v>20</v>
      </c>
      <c r="J2912" s="1" t="s">
        <v>12775</v>
      </c>
      <c r="K2912" s="1" t="s">
        <v>22</v>
      </c>
      <c r="L2912" s="1" t="str">
        <f>HYPERLINK("https://files.afu.se/Downloads/Transcripts/0%20-%20Government/USA%20-%20NASA%20Johnson/2012 04 18 - NASA Johnson - ISS Update - April 18, 2012_9EnQ3KOJ8iM - transcript (automated).pdf","Transcript Link")</f>
        <v>Transcript Link</v>
      </c>
      <c r="M2912" s="2" t="str">
        <f>HYPERLINK("https://files.afu.se/Downloads/Transcripts/0%20-%20Government/USA%20-%20NASA%20Johnson/2012 04 18 - NASA Johnson - ISS Update - April 18, 2012_9EnQ3KOJ8iM - transcript (automated).pdf","Transcript Link")</f>
        <v>Transcript Link</v>
      </c>
    </row>
    <row r="2913" ht="180" spans="1:13">
      <c r="A2913" s="1" t="s">
        <v>12763</v>
      </c>
      <c r="B2913" s="1" t="s">
        <v>13</v>
      </c>
      <c r="C2913" s="4" t="s">
        <v>12776</v>
      </c>
      <c r="D2913" s="1" t="s">
        <v>12777</v>
      </c>
      <c r="E2913" s="1" t="s">
        <v>12778</v>
      </c>
      <c r="F2913" s="4" t="s">
        <v>17</v>
      </c>
      <c r="G2913" s="1" t="s">
        <v>18</v>
      </c>
      <c r="H2913" s="1" t="s">
        <v>19</v>
      </c>
      <c r="I2913" s="1" t="s">
        <v>20</v>
      </c>
      <c r="J2913" s="1" t="s">
        <v>12779</v>
      </c>
      <c r="K2913" s="1" t="s">
        <v>22</v>
      </c>
      <c r="L2913" s="1" t="str">
        <f>HYPERLINK("https://files.afu.se/Downloads/Transcripts/0%20-%20Government/USA%20-%20NASA%20Johnson/2012 04 18 - NASA Johnson - ISS Update  Preparing to Leave the Station_zP8wRbWAzYY - transcript (automated).pdf","Transcript Link")</f>
        <v>Transcript Link</v>
      </c>
      <c r="M2913" s="2" t="str">
        <f>HYPERLINK("https://files.afu.se/Downloads/Transcripts/0%20-%20Government/USA%20-%20NASA%20Johnson/2012 04 18 - NASA Johnson - ISS Update  Preparing to Leave the Station_zP8wRbWAzYY - transcript (automated).pdf","Transcript Link")</f>
        <v>Transcript Link</v>
      </c>
    </row>
    <row r="2914" ht="180" spans="1:13">
      <c r="A2914" s="1" t="s">
        <v>12763</v>
      </c>
      <c r="B2914" s="1" t="s">
        <v>13</v>
      </c>
      <c r="C2914" s="4" t="s">
        <v>12780</v>
      </c>
      <c r="D2914" s="1" t="s">
        <v>12781</v>
      </c>
      <c r="E2914" s="1" t="s">
        <v>12782</v>
      </c>
      <c r="F2914" s="4" t="s">
        <v>17</v>
      </c>
      <c r="G2914" s="1" t="s">
        <v>18</v>
      </c>
      <c r="H2914" s="1" t="s">
        <v>19</v>
      </c>
      <c r="I2914" s="1" t="s">
        <v>20</v>
      </c>
      <c r="J2914" s="1" t="s">
        <v>12783</v>
      </c>
      <c r="K2914" s="1" t="s">
        <v>22</v>
      </c>
      <c r="L2914" s="1" t="str">
        <f>HYPERLINK("https://files.afu.se/Downloads/Transcripts/0%20-%20Government/USA%20-%20NASA%20Johnson/2012 04 18 - NASA Johnson - Expedition 30 Flight Engineer Don Pettit on SpaceX Dragon_9mxHskEK_Os - transcript (automated).pdf","Transcript Link")</f>
        <v>Transcript Link</v>
      </c>
      <c r="M2914" s="2" t="str">
        <f>HYPERLINK("https://files.afu.se/Downloads/Transcripts/0%20-%20Government/USA%20-%20NASA%20Johnson/2012 04 18 - NASA Johnson - Expedition 30 Flight Engineer Don Pettit on SpaceX Dragon_9mxHskEK_Os - transcript (automated).pdf","Transcript Link")</f>
        <v>Transcript Link</v>
      </c>
    </row>
    <row r="2915" ht="180" spans="1:13">
      <c r="A2915" s="1" t="s">
        <v>12763</v>
      </c>
      <c r="B2915" s="1" t="s">
        <v>13</v>
      </c>
      <c r="C2915" s="4" t="s">
        <v>12784</v>
      </c>
      <c r="D2915" s="1" t="s">
        <v>12785</v>
      </c>
      <c r="E2915" s="1" t="s">
        <v>12786</v>
      </c>
      <c r="F2915" s="4" t="s">
        <v>17</v>
      </c>
      <c r="G2915" s="1" t="s">
        <v>18</v>
      </c>
      <c r="H2915" s="1" t="s">
        <v>19</v>
      </c>
      <c r="I2915" s="1" t="s">
        <v>20</v>
      </c>
      <c r="J2915" s="1" t="s">
        <v>12787</v>
      </c>
      <c r="K2915" s="1" t="s">
        <v>22</v>
      </c>
      <c r="L2915" s="1" t="str">
        <f>HYPERLINK("https://files.afu.se/Downloads/Transcripts/0%20-%20Government/USA%20-%20NASA%20Johnson/2012 04 18 - NASA Johnson - Expedition 30 Commander Dan Burbank on Returning to Earth_hmJU--0tckc - transcript (automated).pdf","Transcript Link")</f>
        <v>Transcript Link</v>
      </c>
      <c r="M2915" s="2" t="str">
        <f>HYPERLINK("https://files.afu.se/Downloads/Transcripts/0%20-%20Government/USA%20-%20NASA%20Johnson/2012 04 18 - NASA Johnson - Expedition 30 Commander Dan Burbank on Returning to Earth_hmJU--0tckc - transcript (automated).pdf","Transcript Link")</f>
        <v>Transcript Link</v>
      </c>
    </row>
    <row r="2916" ht="180" spans="1:13">
      <c r="A2916" s="1" t="s">
        <v>12788</v>
      </c>
      <c r="B2916" s="1" t="s">
        <v>13</v>
      </c>
      <c r="C2916" s="4" t="s">
        <v>12789</v>
      </c>
      <c r="D2916" s="1" t="s">
        <v>12790</v>
      </c>
      <c r="E2916" s="1" t="s">
        <v>12791</v>
      </c>
      <c r="F2916" s="4" t="s">
        <v>17</v>
      </c>
      <c r="G2916" s="1" t="s">
        <v>18</v>
      </c>
      <c r="H2916" s="1" t="s">
        <v>19</v>
      </c>
      <c r="I2916" s="1" t="s">
        <v>20</v>
      </c>
      <c r="J2916" s="1" t="s">
        <v>12792</v>
      </c>
      <c r="K2916" s="1" t="s">
        <v>22</v>
      </c>
      <c r="L2916" s="1" t="str">
        <f>HYPERLINK("https://files.afu.se/Downloads/Transcripts/0%20-%20Government/USA%20-%20NASA%20Johnson/2012 04 16 - NASA Johnson - ISS Update  Solar Powered Refrigerator_WdzKlmMFGA8 - transcript (automated).pdf","Transcript Link")</f>
        <v>Transcript Link</v>
      </c>
      <c r="M2916" s="2" t="str">
        <f>HYPERLINK("https://files.afu.se/Downloads/Transcripts/0%20-%20Government/USA%20-%20NASA%20Johnson/2012 04 16 - NASA Johnson - ISS Update  Solar Powered Refrigerator_WdzKlmMFGA8 - transcript (automated).pdf","Transcript Link")</f>
        <v>Transcript Link</v>
      </c>
    </row>
    <row r="2917" ht="180" spans="1:13">
      <c r="A2917" s="1" t="s">
        <v>12788</v>
      </c>
      <c r="B2917" s="1" t="s">
        <v>13</v>
      </c>
      <c r="C2917" s="4" t="s">
        <v>12793</v>
      </c>
      <c r="D2917" s="1" t="s">
        <v>12794</v>
      </c>
      <c r="E2917" s="1" t="s">
        <v>12795</v>
      </c>
      <c r="F2917" s="4" t="s">
        <v>17</v>
      </c>
      <c r="G2917" s="1" t="s">
        <v>18</v>
      </c>
      <c r="H2917" s="1" t="s">
        <v>19</v>
      </c>
      <c r="I2917" s="1" t="s">
        <v>20</v>
      </c>
      <c r="J2917" s="1" t="s">
        <v>12796</v>
      </c>
      <c r="K2917" s="1" t="s">
        <v>22</v>
      </c>
      <c r="L2917" s="1" t="str">
        <f>HYPERLINK("https://files.afu.se/Downloads/Transcripts/0%20-%20Government/USA%20-%20NASA%20Johnson/2012 04 16 - NASA Johnson - ISS Update - April 16, 2012_SnPQb10rFw4 - transcript (automated).pdf","Transcript Link")</f>
        <v>Transcript Link</v>
      </c>
      <c r="M2917" s="2" t="str">
        <f>HYPERLINK("https://files.afu.se/Downloads/Transcripts/0%20-%20Government/USA%20-%20NASA%20Johnson/2012 04 16 - NASA Johnson - ISS Update - April 16, 2012_SnPQb10rFw4 - transcript (automated).pdf","Transcript Link")</f>
        <v>Transcript Link</v>
      </c>
    </row>
    <row r="2918" ht="180" spans="1:13">
      <c r="A2918" s="1" t="s">
        <v>12797</v>
      </c>
      <c r="B2918" s="1" t="s">
        <v>13</v>
      </c>
      <c r="C2918" s="4" t="s">
        <v>12798</v>
      </c>
      <c r="D2918" s="1" t="s">
        <v>12799</v>
      </c>
      <c r="E2918" s="1" t="s">
        <v>12800</v>
      </c>
      <c r="F2918" s="4" t="s">
        <v>17</v>
      </c>
      <c r="G2918" s="1" t="s">
        <v>18</v>
      </c>
      <c r="H2918" s="1" t="s">
        <v>19</v>
      </c>
      <c r="I2918" s="1" t="s">
        <v>20</v>
      </c>
      <c r="J2918" s="1" t="s">
        <v>12801</v>
      </c>
      <c r="K2918" s="1" t="s">
        <v>22</v>
      </c>
      <c r="L2918" s="1" t="str">
        <f>HYPERLINK("https://files.afu.se/Downloads/Transcripts/0%20-%20Government/USA%20-%20NASA%20Johnson/2012 04 13 - NASA Johnson - ISS Update  Weekly Recap for April 13, 2012_PE5itvVLWsg - transcript (automated).pdf","Transcript Link")</f>
        <v>Transcript Link</v>
      </c>
      <c r="M2918" s="2" t="str">
        <f>HYPERLINK("https://files.afu.se/Downloads/Transcripts/0%20-%20Government/USA%20-%20NASA%20Johnson/2012 04 13 - NASA Johnson - ISS Update  Weekly Recap for April 13, 2012_PE5itvVLWsg - transcript (automated).pdf","Transcript Link")</f>
        <v>Transcript Link</v>
      </c>
    </row>
    <row r="2919" ht="180" spans="1:13">
      <c r="A2919" s="1" t="s">
        <v>12802</v>
      </c>
      <c r="B2919" s="1" t="s">
        <v>13</v>
      </c>
      <c r="C2919" s="4" t="s">
        <v>12803</v>
      </c>
      <c r="D2919" s="1" t="s">
        <v>12804</v>
      </c>
      <c r="E2919" s="1" t="s">
        <v>12805</v>
      </c>
      <c r="F2919" s="4" t="s">
        <v>17</v>
      </c>
      <c r="G2919" s="1" t="s">
        <v>18</v>
      </c>
      <c r="H2919" s="1" t="s">
        <v>19</v>
      </c>
      <c r="I2919" s="1" t="s">
        <v>20</v>
      </c>
      <c r="J2919" s="1" t="s">
        <v>12806</v>
      </c>
      <c r="K2919" s="1" t="s">
        <v>22</v>
      </c>
      <c r="L2919" s="1" t="str">
        <f>HYPERLINK("https://files.afu.se/Downloads/Transcripts/0%20-%20Government/USA%20-%20NASA%20Johnson/2012 04 12 - NASA Johnson - Morpheus Tether Test %2311_5WblS6Gn-sY - transcript (automated).pdf","Transcript Link")</f>
        <v>Transcript Link</v>
      </c>
      <c r="M2919" s="2" t="str">
        <f>HYPERLINK("https://files.afu.se/Downloads/Transcripts/0%20-%20Government/USA%20-%20NASA%20Johnson/2012 04 12 - NASA Johnson - Morpheus Tether Test %2311_5WblS6Gn-sY - transcript (automated).pdf","Transcript Link")</f>
        <v>Transcript Link</v>
      </c>
    </row>
    <row r="2920" ht="180" spans="1:13">
      <c r="A2920" s="1" t="s">
        <v>12802</v>
      </c>
      <c r="B2920" s="1" t="s">
        <v>13</v>
      </c>
      <c r="C2920" s="4" t="s">
        <v>12807</v>
      </c>
      <c r="D2920" s="1" t="s">
        <v>12808</v>
      </c>
      <c r="E2920" s="1" t="s">
        <v>12809</v>
      </c>
      <c r="F2920" s="4" t="s">
        <v>17</v>
      </c>
      <c r="G2920" s="1" t="s">
        <v>18</v>
      </c>
      <c r="H2920" s="1" t="s">
        <v>19</v>
      </c>
      <c r="I2920" s="1" t="s">
        <v>20</v>
      </c>
      <c r="J2920" s="1" t="s">
        <v>12810</v>
      </c>
      <c r="K2920" s="1" t="s">
        <v>22</v>
      </c>
      <c r="L2920" s="1" t="str">
        <f>HYPERLINK("https://files.afu.se/Downloads/Transcripts/0%20-%20Government/USA%20-%20NASA%20Johnson/2012 04 12 - NASA Johnson - Morpheus Tether Test %2310_a3nge7WcpzM - transcript (automated).pdf","Transcript Link")</f>
        <v>Transcript Link</v>
      </c>
      <c r="M2920" s="2" t="str">
        <f>HYPERLINK("https://files.afu.se/Downloads/Transcripts/0%20-%20Government/USA%20-%20NASA%20Johnson/2012 04 12 - NASA Johnson - Morpheus Tether Test %2310_a3nge7WcpzM - transcript (automated).pdf","Transcript Link")</f>
        <v>Transcript Link</v>
      </c>
    </row>
    <row r="2921" ht="180" spans="1:13">
      <c r="A2921" s="1" t="s">
        <v>12802</v>
      </c>
      <c r="B2921" s="1" t="s">
        <v>13</v>
      </c>
      <c r="C2921" s="4" t="s">
        <v>12811</v>
      </c>
      <c r="D2921" s="1" t="s">
        <v>12812</v>
      </c>
      <c r="E2921" s="1" t="s">
        <v>12813</v>
      </c>
      <c r="F2921" s="4" t="s">
        <v>17</v>
      </c>
      <c r="G2921" s="1" t="s">
        <v>18</v>
      </c>
      <c r="H2921" s="1" t="s">
        <v>19</v>
      </c>
      <c r="I2921" s="1" t="s">
        <v>20</v>
      </c>
      <c r="J2921" s="1" t="s">
        <v>12814</v>
      </c>
      <c r="K2921" s="1" t="s">
        <v>22</v>
      </c>
      <c r="L2921" s="1" t="str">
        <f>HYPERLINK("https://files.afu.se/Downloads/Transcripts/0%20-%20Government/USA%20-%20NASA%20Johnson/2012 04 12 - NASA Johnson - Students Speak With NASA Astronaut Dottie Metcalf-Lindenburger_lKaRRVt7a48 - transcript (automated).pdf","Transcript Link")</f>
        <v>Transcript Link</v>
      </c>
      <c r="M2921" s="2" t="str">
        <f>HYPERLINK("https://files.afu.se/Downloads/Transcripts/0%20-%20Government/USA%20-%20NASA%20Johnson/2012 04 12 - NASA Johnson - Students Speak With NASA Astronaut Dottie Metcalf-Lindenburger_lKaRRVt7a48 - transcript (automated).pdf","Transcript Link")</f>
        <v>Transcript Link</v>
      </c>
    </row>
    <row r="2922" ht="180" spans="1:13">
      <c r="A2922" s="1" t="s">
        <v>12802</v>
      </c>
      <c r="B2922" s="1" t="s">
        <v>13</v>
      </c>
      <c r="C2922" s="4" t="s">
        <v>12815</v>
      </c>
      <c r="D2922" s="1" t="s">
        <v>12816</v>
      </c>
      <c r="E2922" s="1" t="s">
        <v>12817</v>
      </c>
      <c r="F2922" s="4" t="s">
        <v>17</v>
      </c>
      <c r="G2922" s="1" t="s">
        <v>18</v>
      </c>
      <c r="H2922" s="1" t="s">
        <v>19</v>
      </c>
      <c r="I2922" s="1" t="s">
        <v>20</v>
      </c>
      <c r="J2922" s="1" t="s">
        <v>12818</v>
      </c>
      <c r="K2922" s="1" t="s">
        <v>22</v>
      </c>
      <c r="L2922" s="1" t="str">
        <f>HYPERLINK("https://files.afu.se/Downloads/Transcripts/0%20-%20Government/USA%20-%20NASA%20Johnson/2012 04 12 - NASA Johnson - ISS Update - April 12, 2012_0E0Du7aSTss - transcript (automated).pdf","Transcript Link")</f>
        <v>Transcript Link</v>
      </c>
      <c r="M2922" s="2" t="str">
        <f>HYPERLINK("https://files.afu.se/Downloads/Transcripts/0%20-%20Government/USA%20-%20NASA%20Johnson/2012 04 12 - NASA Johnson - ISS Update - April 12, 2012_0E0Du7aSTss - transcript (automated).pdf","Transcript Link")</f>
        <v>Transcript Link</v>
      </c>
    </row>
    <row r="2923" ht="180" spans="1:13">
      <c r="A2923" s="1" t="s">
        <v>12819</v>
      </c>
      <c r="B2923" s="1" t="s">
        <v>13</v>
      </c>
      <c r="C2923" s="4" t="s">
        <v>12820</v>
      </c>
      <c r="D2923" s="1" t="s">
        <v>12821</v>
      </c>
      <c r="E2923" s="1" t="s">
        <v>12822</v>
      </c>
      <c r="F2923" s="4" t="s">
        <v>17</v>
      </c>
      <c r="G2923" s="1" t="s">
        <v>18</v>
      </c>
      <c r="H2923" s="1" t="s">
        <v>19</v>
      </c>
      <c r="I2923" s="1" t="s">
        <v>20</v>
      </c>
      <c r="J2923" s="1" t="s">
        <v>12823</v>
      </c>
      <c r="K2923" s="1" t="s">
        <v>22</v>
      </c>
      <c r="L2923" s="1" t="str">
        <f>HYPERLINK("https://files.afu.se/Downloads/Transcripts/0%20-%20Government/USA%20-%20NASA%20Johnson/2012 04 11 - NASA Johnson - ISS Update  Carrying Discovery to its Final Destination_4qM7O5fctK4 - transcript (automated).pdf","Transcript Link")</f>
        <v>Transcript Link</v>
      </c>
      <c r="M2923" s="2" t="str">
        <f>HYPERLINK("https://files.afu.se/Downloads/Transcripts/0%20-%20Government/USA%20-%20NASA%20Johnson/2012 04 11 - NASA Johnson - ISS Update  Carrying Discovery to its Final Destination_4qM7O5fctK4 - transcript (automated).pdf","Transcript Link")</f>
        <v>Transcript Link</v>
      </c>
    </row>
    <row r="2924" ht="180" spans="1:13">
      <c r="A2924" s="1" t="s">
        <v>12819</v>
      </c>
      <c r="B2924" s="1" t="s">
        <v>13</v>
      </c>
      <c r="C2924" s="4" t="s">
        <v>12824</v>
      </c>
      <c r="D2924" s="1" t="s">
        <v>12825</v>
      </c>
      <c r="E2924" s="1" t="s">
        <v>12826</v>
      </c>
      <c r="F2924" s="4" t="s">
        <v>17</v>
      </c>
      <c r="G2924" s="1" t="s">
        <v>18</v>
      </c>
      <c r="H2924" s="1" t="s">
        <v>19</v>
      </c>
      <c r="I2924" s="1" t="s">
        <v>20</v>
      </c>
      <c r="J2924" s="1" t="s">
        <v>12827</v>
      </c>
      <c r="K2924" s="1" t="s">
        <v>22</v>
      </c>
      <c r="L2924" s="1" t="str">
        <f>HYPERLINK("https://files.afu.se/Downloads/Transcripts/0%20-%20Government/USA%20-%20NASA%20Johnson/2012 04 11 - NASA Johnson - ISS Update  Diagnosing Astronauts in Space From Here on Earth_qd7meVJ7_fQ - transcript (automated).pdf","Transcript Link")</f>
        <v>Transcript Link</v>
      </c>
      <c r="M2924" s="2" t="str">
        <f>HYPERLINK("https://files.afu.se/Downloads/Transcripts/0%20-%20Government/USA%20-%20NASA%20Johnson/2012 04 11 - NASA Johnson - ISS Update  Diagnosing Astronauts in Space From Here on Earth_qd7meVJ7_fQ - transcript (automated).pdf","Transcript Link")</f>
        <v>Transcript Link</v>
      </c>
    </row>
    <row r="2925" ht="180" spans="1:13">
      <c r="A2925" s="1" t="s">
        <v>12819</v>
      </c>
      <c r="B2925" s="1" t="s">
        <v>13</v>
      </c>
      <c r="C2925" s="4" t="s">
        <v>12828</v>
      </c>
      <c r="D2925" s="1" t="s">
        <v>12829</v>
      </c>
      <c r="E2925" s="1" t="s">
        <v>12830</v>
      </c>
      <c r="F2925" s="4" t="s">
        <v>17</v>
      </c>
      <c r="G2925" s="1" t="s">
        <v>18</v>
      </c>
      <c r="H2925" s="1" t="s">
        <v>19</v>
      </c>
      <c r="I2925" s="1" t="s">
        <v>20</v>
      </c>
      <c r="J2925" s="1" t="s">
        <v>12831</v>
      </c>
      <c r="K2925" s="1" t="s">
        <v>22</v>
      </c>
      <c r="L2925" s="1" t="str">
        <f>HYPERLINK("https://files.afu.se/Downloads/Transcripts/0%20-%20Government/USA%20-%20NASA%20Johnson/2012 04 11 - NASA Johnson - ISS Update - April 11, 2012_vsUbTXSJWWM - transcript (automated).pdf","Transcript Link")</f>
        <v>Transcript Link</v>
      </c>
      <c r="M2925" s="2" t="str">
        <f>HYPERLINK("https://files.afu.se/Downloads/Transcripts/0%20-%20Government/USA%20-%20NASA%20Johnson/2012 04 11 - NASA Johnson - ISS Update - April 11, 2012_vsUbTXSJWWM - transcript (automated).pdf","Transcript Link")</f>
        <v>Transcript Link</v>
      </c>
    </row>
    <row r="2926" ht="180" spans="1:13">
      <c r="A2926" s="1" t="s">
        <v>12832</v>
      </c>
      <c r="B2926" s="1" t="s">
        <v>13</v>
      </c>
      <c r="C2926" s="4" t="s">
        <v>12833</v>
      </c>
      <c r="D2926" s="1" t="s">
        <v>12834</v>
      </c>
      <c r="E2926" s="1" t="s">
        <v>12835</v>
      </c>
      <c r="F2926" s="4" t="s">
        <v>17</v>
      </c>
      <c r="G2926" s="1" t="s">
        <v>18</v>
      </c>
      <c r="H2926" s="1" t="s">
        <v>19</v>
      </c>
      <c r="I2926" s="1" t="s">
        <v>20</v>
      </c>
      <c r="J2926" s="1" t="s">
        <v>12836</v>
      </c>
      <c r="K2926" s="1" t="s">
        <v>22</v>
      </c>
      <c r="L2926" s="1" t="str">
        <f>HYPERLINK("https://files.afu.se/Downloads/Transcripts/0%20-%20Government/USA%20-%20NASA%20Johnson/2012 04 10 - NASA Johnson - ISS Update - April 10, 2012_Ddll2RB00Eg - transcript (automated).pdf","Transcript Link")</f>
        <v>Transcript Link</v>
      </c>
      <c r="M2926" s="2" t="str">
        <f>HYPERLINK("https://files.afu.se/Downloads/Transcripts/0%20-%20Government/USA%20-%20NASA%20Johnson/2012 04 10 - NASA Johnson - ISS Update - April 10, 2012_Ddll2RB00Eg - transcript (automated).pdf","Transcript Link")</f>
        <v>Transcript Link</v>
      </c>
    </row>
    <row r="2927" ht="180" spans="1:13">
      <c r="A2927" s="1" t="s">
        <v>12837</v>
      </c>
      <c r="B2927" s="1" t="s">
        <v>13</v>
      </c>
      <c r="C2927" s="4" t="s">
        <v>12838</v>
      </c>
      <c r="D2927" s="1" t="s">
        <v>12839</v>
      </c>
      <c r="E2927" s="1" t="s">
        <v>12840</v>
      </c>
      <c r="F2927" s="4" t="s">
        <v>17</v>
      </c>
      <c r="G2927" s="1" t="s">
        <v>18</v>
      </c>
      <c r="H2927" s="1" t="s">
        <v>19</v>
      </c>
      <c r="I2927" s="1" t="s">
        <v>20</v>
      </c>
      <c r="J2927" s="1" t="s">
        <v>12841</v>
      </c>
      <c r="K2927" s="1" t="s">
        <v>22</v>
      </c>
      <c r="L2927" s="1" t="str">
        <f>HYPERLINK("https://files.afu.se/Downloads/Transcripts/0%20-%20Government/USA%20-%20NASA%20Johnson/2012 04 09 - NASA Johnson - Orion Parachute Testing  Fed. 29, 2012_lvBa5Oiej_U - transcript (automated).pdf","Transcript Link")</f>
        <v>Transcript Link</v>
      </c>
      <c r="M2927" s="2" t="str">
        <f>HYPERLINK("https://files.afu.se/Downloads/Transcripts/0%20-%20Government/USA%20-%20NASA%20Johnson/2012 04 09 - NASA Johnson - Orion Parachute Testing  Fed. 29, 2012_lvBa5Oiej_U - transcript (automated).pdf","Transcript Link")</f>
        <v>Transcript Link</v>
      </c>
    </row>
    <row r="2928" ht="180" spans="1:13">
      <c r="A2928" s="1" t="s">
        <v>12837</v>
      </c>
      <c r="B2928" s="1" t="s">
        <v>13</v>
      </c>
      <c r="C2928" s="4" t="s">
        <v>12842</v>
      </c>
      <c r="D2928" s="1" t="s">
        <v>12843</v>
      </c>
      <c r="E2928" s="1" t="s">
        <v>12844</v>
      </c>
      <c r="F2928" s="4" t="s">
        <v>17</v>
      </c>
      <c r="G2928" s="1" t="s">
        <v>18</v>
      </c>
      <c r="H2928" s="1" t="s">
        <v>19</v>
      </c>
      <c r="I2928" s="1" t="s">
        <v>20</v>
      </c>
      <c r="J2928" s="1" t="s">
        <v>12845</v>
      </c>
      <c r="K2928" s="1" t="s">
        <v>22</v>
      </c>
      <c r="L2928" s="1" t="str">
        <f>HYPERLINK("https://files.afu.se/Downloads/Transcripts/0%20-%20Government/USA%20-%20NASA%20Johnson/2012 04 09 - NASA Johnson - Orion Parachute Testing  Fed. 29, 2012 (No Narration)_2iq_zWQemmQ - transcript (automated).pdf","Transcript Link")</f>
        <v>Transcript Link</v>
      </c>
      <c r="M2928" s="2" t="str">
        <f>HYPERLINK("https://files.afu.se/Downloads/Transcripts/0%20-%20Government/USA%20-%20NASA%20Johnson/2012 04 09 - NASA Johnson - Orion Parachute Testing  Fed. 29, 2012 (No Narration)_2iq_zWQemmQ - transcript (automated).pdf","Transcript Link")</f>
        <v>Transcript Link</v>
      </c>
    </row>
    <row r="2929" ht="180" spans="1:13">
      <c r="A2929" s="1" t="s">
        <v>12837</v>
      </c>
      <c r="B2929" s="1" t="s">
        <v>13</v>
      </c>
      <c r="C2929" s="4" t="s">
        <v>12846</v>
      </c>
      <c r="D2929" s="1" t="s">
        <v>12847</v>
      </c>
      <c r="E2929" s="1" t="s">
        <v>12848</v>
      </c>
      <c r="F2929" s="4" t="s">
        <v>17</v>
      </c>
      <c r="G2929" s="1" t="s">
        <v>18</v>
      </c>
      <c r="H2929" s="1" t="s">
        <v>19</v>
      </c>
      <c r="I2929" s="1" t="s">
        <v>20</v>
      </c>
      <c r="J2929" s="1" t="s">
        <v>12849</v>
      </c>
      <c r="K2929" s="1" t="s">
        <v>22</v>
      </c>
      <c r="L2929" s="1" t="str">
        <f>HYPERLINK("https://files.afu.se/Downloads/Transcripts/0%20-%20Government/USA%20-%20NASA%20Johnson/2012 04 09 - NASA Johnson - ISS Update - April 9, 2012_yy2H5QbYnQQ - transcript (automated).pdf","Transcript Link")</f>
        <v>Transcript Link</v>
      </c>
      <c r="M2929" s="2" t="str">
        <f>HYPERLINK("https://files.afu.se/Downloads/Transcripts/0%20-%20Government/USA%20-%20NASA%20Johnson/2012 04 09 - NASA Johnson - ISS Update - April 9, 2012_yy2H5QbYnQQ - transcript (automated).pdf","Transcript Link")</f>
        <v>Transcript Link</v>
      </c>
    </row>
    <row r="2930" ht="180" spans="1:13">
      <c r="A2930" s="1" t="s">
        <v>12850</v>
      </c>
      <c r="B2930" s="1" t="s">
        <v>13</v>
      </c>
      <c r="C2930" s="4" t="s">
        <v>12851</v>
      </c>
      <c r="D2930" s="1" t="s">
        <v>12852</v>
      </c>
      <c r="E2930" s="1" t="s">
        <v>12853</v>
      </c>
      <c r="F2930" s="4" t="s">
        <v>17</v>
      </c>
      <c r="G2930" s="1" t="s">
        <v>18</v>
      </c>
      <c r="H2930" s="1" t="s">
        <v>19</v>
      </c>
      <c r="I2930" s="1" t="s">
        <v>20</v>
      </c>
      <c r="J2930" s="1" t="s">
        <v>12854</v>
      </c>
      <c r="K2930" s="1" t="s">
        <v>22</v>
      </c>
      <c r="L2930" s="1" t="str">
        <f>HYPERLINK("https://files.afu.se/Downloads/Transcripts/0%20-%20Government/USA%20-%20NASA%20Johnson/2012 04 06 - NASA Johnson - ISS Update  Space Flight and the Immune System_OJeubyDL2dI - transcript (automated).pdf","Transcript Link")</f>
        <v>Transcript Link</v>
      </c>
      <c r="M2930" s="2" t="str">
        <f>HYPERLINK("https://files.afu.se/Downloads/Transcripts/0%20-%20Government/USA%20-%20NASA%20Johnson/2012 04 06 - NASA Johnson - ISS Update  Space Flight and the Immune System_OJeubyDL2dI - transcript (automated).pdf","Transcript Link")</f>
        <v>Transcript Link</v>
      </c>
    </row>
    <row r="2931" ht="180" spans="1:13">
      <c r="A2931" s="1" t="s">
        <v>12850</v>
      </c>
      <c r="B2931" s="1" t="s">
        <v>13</v>
      </c>
      <c r="C2931" s="4" t="s">
        <v>12855</v>
      </c>
      <c r="D2931" s="1" t="s">
        <v>12856</v>
      </c>
      <c r="E2931" s="1" t="s">
        <v>12857</v>
      </c>
      <c r="F2931" s="4" t="s">
        <v>17</v>
      </c>
      <c r="G2931" s="1" t="s">
        <v>18</v>
      </c>
      <c r="H2931" s="1" t="s">
        <v>19</v>
      </c>
      <c r="I2931" s="1" t="s">
        <v>20</v>
      </c>
      <c r="J2931" s="1" t="s">
        <v>12858</v>
      </c>
      <c r="K2931" s="1" t="s">
        <v>22</v>
      </c>
      <c r="L2931" s="1" t="str">
        <f>HYPERLINK("https://files.afu.se/Downloads/Transcripts/0%20-%20Government/USA%20-%20NASA%20Johnson/2012 04 06 - NASA Johnson - ISS Update  Weekly Recap for April 6, 2012_CyG0IzEzvBE - transcript (automated).pdf","Transcript Link")</f>
        <v>Transcript Link</v>
      </c>
      <c r="M2931" s="2" t="str">
        <f>HYPERLINK("https://files.afu.se/Downloads/Transcripts/0%20-%20Government/USA%20-%20NASA%20Johnson/2012 04 06 - NASA Johnson - ISS Update  Weekly Recap for April 6, 2012_CyG0IzEzvBE - transcript (automated).pdf","Transcript Link")</f>
        <v>Transcript Link</v>
      </c>
    </row>
    <row r="2932" ht="180" spans="1:13">
      <c r="A2932" s="1" t="s">
        <v>12850</v>
      </c>
      <c r="B2932" s="1" t="s">
        <v>13</v>
      </c>
      <c r="C2932" s="4" t="s">
        <v>12859</v>
      </c>
      <c r="D2932" s="1" t="s">
        <v>12860</v>
      </c>
      <c r="E2932" s="1" t="s">
        <v>12861</v>
      </c>
      <c r="F2932" s="4" t="s">
        <v>17</v>
      </c>
      <c r="G2932" s="1" t="s">
        <v>18</v>
      </c>
      <c r="H2932" s="1" t="s">
        <v>19</v>
      </c>
      <c r="I2932" s="1" t="s">
        <v>20</v>
      </c>
      <c r="J2932" s="1" t="s">
        <v>12862</v>
      </c>
      <c r="K2932" s="1" t="s">
        <v>22</v>
      </c>
      <c r="L2932" s="1" t="str">
        <f>HYPERLINK("https://files.afu.se/Downloads/Transcripts/0%20-%20Government/USA%20-%20NASA%20Johnson/2012 04 06 - NASA Johnson - Dan Burbank Gives a Station Tour_3PWPTqvPc6s - transcript (automated).pdf","Transcript Link")</f>
        <v>Transcript Link</v>
      </c>
      <c r="M2932" s="2" t="str">
        <f>HYPERLINK("https://files.afu.se/Downloads/Transcripts/0%20-%20Government/USA%20-%20NASA%20Johnson/2012 04 06 - NASA Johnson - Dan Burbank Gives a Station Tour_3PWPTqvPc6s - transcript (automated).pdf","Transcript Link")</f>
        <v>Transcript Link</v>
      </c>
    </row>
    <row r="2933" ht="180" spans="1:13">
      <c r="A2933" s="1" t="s">
        <v>12863</v>
      </c>
      <c r="B2933" s="1" t="s">
        <v>13</v>
      </c>
      <c r="C2933" s="4" t="s">
        <v>12864</v>
      </c>
      <c r="D2933" s="1" t="s">
        <v>12865</v>
      </c>
      <c r="E2933" s="1" t="s">
        <v>12866</v>
      </c>
      <c r="F2933" s="4" t="s">
        <v>17</v>
      </c>
      <c r="G2933" s="1" t="s">
        <v>18</v>
      </c>
      <c r="H2933" s="1" t="s">
        <v>19</v>
      </c>
      <c r="I2933" s="1" t="s">
        <v>20</v>
      </c>
      <c r="J2933" s="1" t="s">
        <v>12867</v>
      </c>
      <c r="K2933" s="1" t="s">
        <v>22</v>
      </c>
      <c r="L2933" s="1" t="str">
        <f>HYPERLINK("https://files.afu.se/Downloads/Transcripts/0%20-%20Government/USA%20-%20NASA%20Johnson/2012 04 05 - NASA Johnson - Students Speak With Todd Quasny, ODIN Flight Controller_czyjjarl31Q - transcript (automated).pdf","Transcript Link")</f>
        <v>Transcript Link</v>
      </c>
      <c r="M2933" s="2" t="str">
        <f>HYPERLINK("https://files.afu.se/Downloads/Transcripts/0%20-%20Government/USA%20-%20NASA%20Johnson/2012 04 05 - NASA Johnson - Students Speak With Todd Quasny, ODIN Flight Controller_czyjjarl31Q - transcript (automated).pdf","Transcript Link")</f>
        <v>Transcript Link</v>
      </c>
    </row>
    <row r="2934" ht="180" spans="1:13">
      <c r="A2934" s="1" t="s">
        <v>12863</v>
      </c>
      <c r="B2934" s="1" t="s">
        <v>13</v>
      </c>
      <c r="C2934" s="4" t="s">
        <v>12868</v>
      </c>
      <c r="D2934" s="1" t="s">
        <v>12869</v>
      </c>
      <c r="E2934" s="1" t="s">
        <v>12870</v>
      </c>
      <c r="F2934" s="4" t="s">
        <v>17</v>
      </c>
      <c r="G2934" s="1" t="s">
        <v>18</v>
      </c>
      <c r="H2934" s="1" t="s">
        <v>19</v>
      </c>
      <c r="I2934" s="1" t="s">
        <v>20</v>
      </c>
      <c r="J2934" s="1" t="s">
        <v>12871</v>
      </c>
      <c r="K2934" s="1" t="s">
        <v>22</v>
      </c>
      <c r="L2934" s="1" t="str">
        <f>HYPERLINK("https://files.afu.se/Downloads/Transcripts/0%20-%20Government/USA%20-%20NASA%20Johnson/2012 04 05 - NASA Johnson - ISS Update - April 5, 2012_kDf4QJb0WCU - transcript (automated).pdf","Transcript Link")</f>
        <v>Transcript Link</v>
      </c>
      <c r="M2934" s="2" t="str">
        <f>HYPERLINK("https://files.afu.se/Downloads/Transcripts/0%20-%20Government/USA%20-%20NASA%20Johnson/2012 04 05 - NASA Johnson - ISS Update - April 5, 2012_kDf4QJb0WCU - transcript (automated).pdf","Transcript Link")</f>
        <v>Transcript Link</v>
      </c>
    </row>
    <row r="2935" ht="180" spans="1:13">
      <c r="A2935" s="1" t="s">
        <v>12872</v>
      </c>
      <c r="B2935" s="1" t="s">
        <v>13</v>
      </c>
      <c r="C2935" s="4" t="s">
        <v>12873</v>
      </c>
      <c r="D2935" s="1" t="s">
        <v>12874</v>
      </c>
      <c r="E2935" s="1" t="s">
        <v>12875</v>
      </c>
      <c r="F2935" s="4" t="s">
        <v>17</v>
      </c>
      <c r="G2935" s="1" t="s">
        <v>18</v>
      </c>
      <c r="H2935" s="1" t="s">
        <v>19</v>
      </c>
      <c r="I2935" s="1" t="s">
        <v>20</v>
      </c>
      <c r="J2935" s="1" t="s">
        <v>12876</v>
      </c>
      <c r="K2935" s="1" t="s">
        <v>22</v>
      </c>
      <c r="L2935" s="1" t="str">
        <f>HYPERLINK("https://files.afu.se/Downloads/Transcripts/0%20-%20Government/USA%20-%20NASA%20Johnson/2012 04 04 - NASA Johnson - ISS Update  Ground Control in Mission Control Center_-snynzc0hAs - transcript (automated).pdf","Transcript Link")</f>
        <v>Transcript Link</v>
      </c>
      <c r="M2935" s="2" t="str">
        <f>HYPERLINK("https://files.afu.se/Downloads/Transcripts/0%20-%20Government/USA%20-%20NASA%20Johnson/2012 04 04 - NASA Johnson - ISS Update  Ground Control in Mission Control Center_-snynzc0hAs - transcript (automated).pdf","Transcript Link")</f>
        <v>Transcript Link</v>
      </c>
    </row>
    <row r="2936" ht="180" spans="1:13">
      <c r="A2936" s="1" t="s">
        <v>12872</v>
      </c>
      <c r="B2936" s="1" t="s">
        <v>13</v>
      </c>
      <c r="C2936" s="4" t="s">
        <v>12877</v>
      </c>
      <c r="D2936" s="1" t="s">
        <v>12878</v>
      </c>
      <c r="E2936" s="1" t="s">
        <v>12879</v>
      </c>
      <c r="F2936" s="4" t="s">
        <v>17</v>
      </c>
      <c r="G2936" s="1" t="s">
        <v>18</v>
      </c>
      <c r="H2936" s="1" t="s">
        <v>19</v>
      </c>
      <c r="I2936" s="1" t="s">
        <v>20</v>
      </c>
      <c r="J2936" s="1" t="s">
        <v>12880</v>
      </c>
      <c r="K2936" s="1" t="s">
        <v>22</v>
      </c>
      <c r="L2936" s="1" t="str">
        <f>HYPERLINK("https://files.afu.se/Downloads/Transcripts/0%20-%20Government/USA%20-%20NASA%20Johnson/2012 04 04 - NASA Johnson - ISS Update - April 4, 2012_rf9zgz834kQ - transcript (automated).pdf","Transcript Link")</f>
        <v>Transcript Link</v>
      </c>
      <c r="M2936" s="2" t="str">
        <f>HYPERLINK("https://files.afu.se/Downloads/Transcripts/0%20-%20Government/USA%20-%20NASA%20Johnson/2012 04 04 - NASA Johnson - ISS Update - April 4, 2012_rf9zgz834kQ - transcript (automated).pdf","Transcript Link")</f>
        <v>Transcript Link</v>
      </c>
    </row>
    <row r="2937" ht="180" spans="1:13">
      <c r="A2937" s="1" t="s">
        <v>12881</v>
      </c>
      <c r="B2937" s="1" t="s">
        <v>13</v>
      </c>
      <c r="C2937" s="4" t="s">
        <v>12882</v>
      </c>
      <c r="D2937" s="1" t="s">
        <v>12883</v>
      </c>
      <c r="E2937" s="1" t="s">
        <v>12884</v>
      </c>
      <c r="F2937" s="4" t="s">
        <v>17</v>
      </c>
      <c r="G2937" s="1" t="s">
        <v>18</v>
      </c>
      <c r="H2937" s="1" t="s">
        <v>19</v>
      </c>
      <c r="I2937" s="1" t="s">
        <v>20</v>
      </c>
      <c r="J2937" s="1" t="s">
        <v>12885</v>
      </c>
      <c r="K2937" s="1" t="s">
        <v>22</v>
      </c>
      <c r="L2937" s="1" t="str">
        <f>HYPERLINK("https://files.afu.se/Downloads/Transcripts/0%20-%20Government/USA%20-%20NASA%20Johnson/2012 04 03 - NASA Johnson - ISS Update  ATV-3 Cargo Transfer Activities_5vP8DS-yre0 - transcript (automated).pdf","Transcript Link")</f>
        <v>Transcript Link</v>
      </c>
      <c r="M2937" s="2" t="str">
        <f>HYPERLINK("https://files.afu.se/Downloads/Transcripts/0%20-%20Government/USA%20-%20NASA%20Johnson/2012 04 03 - NASA Johnson - ISS Update  ATV-3 Cargo Transfer Activities_5vP8DS-yre0 - transcript (automated).pdf","Transcript Link")</f>
        <v>Transcript Link</v>
      </c>
    </row>
    <row r="2938" ht="180" spans="1:13">
      <c r="A2938" s="1" t="s">
        <v>12881</v>
      </c>
      <c r="B2938" s="1" t="s">
        <v>13</v>
      </c>
      <c r="C2938" s="4" t="s">
        <v>12886</v>
      </c>
      <c r="D2938" s="1" t="s">
        <v>12887</v>
      </c>
      <c r="E2938" s="1" t="s">
        <v>12888</v>
      </c>
      <c r="F2938" s="4" t="s">
        <v>17</v>
      </c>
      <c r="G2938" s="1" t="s">
        <v>18</v>
      </c>
      <c r="H2938" s="1" t="s">
        <v>19</v>
      </c>
      <c r="I2938" s="1" t="s">
        <v>20</v>
      </c>
      <c r="J2938" s="1" t="s">
        <v>12889</v>
      </c>
      <c r="K2938" s="1" t="s">
        <v>22</v>
      </c>
      <c r="L2938" s="1" t="str">
        <f>HYPERLINK("https://files.afu.se/Downloads/Transcripts/0%20-%20Government/USA%20-%20NASA%20Johnson/2012 04 03 - NASA Johnson - Students Speak With Expedition 30 Crew_IrazH3I6KWg - transcript (automated).pdf","Transcript Link")</f>
        <v>Transcript Link</v>
      </c>
      <c r="M2938" s="2" t="str">
        <f>HYPERLINK("https://files.afu.se/Downloads/Transcripts/0%20-%20Government/USA%20-%20NASA%20Johnson/2012 04 03 - NASA Johnson - Students Speak With Expedition 30 Crew_IrazH3I6KWg - transcript (automated).pdf","Transcript Link")</f>
        <v>Transcript Link</v>
      </c>
    </row>
    <row r="2939" ht="180" spans="1:13">
      <c r="A2939" s="1" t="s">
        <v>12881</v>
      </c>
      <c r="B2939" s="1" t="s">
        <v>13</v>
      </c>
      <c r="C2939" s="4" t="s">
        <v>12890</v>
      </c>
      <c r="D2939" s="1" t="s">
        <v>12891</v>
      </c>
      <c r="E2939" s="1" t="s">
        <v>12892</v>
      </c>
      <c r="F2939" s="4" t="s">
        <v>17</v>
      </c>
      <c r="G2939" s="1" t="s">
        <v>18</v>
      </c>
      <c r="H2939" s="1" t="s">
        <v>19</v>
      </c>
      <c r="I2939" s="1" t="s">
        <v>20</v>
      </c>
      <c r="J2939" s="1" t="s">
        <v>12893</v>
      </c>
      <c r="K2939" s="1" t="s">
        <v>22</v>
      </c>
      <c r="L2939" s="1" t="str">
        <f>HYPERLINK("https://files.afu.se/Downloads/Transcripts/0%20-%20Government/USA%20-%20NASA%20Johnson/2012 04 03 - NASA Johnson - ISS Update - April 3, 2012_NdyjtXn3YdQ - transcript (automated).pdf","Transcript Link")</f>
        <v>Transcript Link</v>
      </c>
      <c r="M2939" s="2" t="str">
        <f>HYPERLINK("https://files.afu.se/Downloads/Transcripts/0%20-%20Government/USA%20-%20NASA%20Johnson/2012 04 03 - NASA Johnson - ISS Update - April 3, 2012_NdyjtXn3YdQ - transcript (automated).pdf","Transcript Link")</f>
        <v>Transcript Link</v>
      </c>
    </row>
    <row r="2940" ht="180" spans="1:13">
      <c r="A2940" s="1" t="s">
        <v>12894</v>
      </c>
      <c r="B2940" s="1" t="s">
        <v>13</v>
      </c>
      <c r="C2940" s="4" t="s">
        <v>12895</v>
      </c>
      <c r="D2940" s="1" t="s">
        <v>12896</v>
      </c>
      <c r="E2940" s="1" t="s">
        <v>12897</v>
      </c>
      <c r="F2940" s="4" t="s">
        <v>17</v>
      </c>
      <c r="G2940" s="1" t="s">
        <v>18</v>
      </c>
      <c r="H2940" s="1" t="s">
        <v>19</v>
      </c>
      <c r="I2940" s="1" t="s">
        <v>20</v>
      </c>
      <c r="J2940" s="1" t="s">
        <v>12898</v>
      </c>
      <c r="K2940" s="1" t="s">
        <v>22</v>
      </c>
      <c r="L2940" s="1" t="str">
        <f>HYPERLINK("https://files.afu.se/Downloads/Transcripts/0%20-%20Government/USA%20-%20NASA%20Johnson/2012 04 02 - NASA Johnson - Reduced Gravity Education Flight Program_nJdWUifhkbE - transcript (automated).pdf","Transcript Link")</f>
        <v>Transcript Link</v>
      </c>
      <c r="M2940" s="2" t="str">
        <f>HYPERLINK("https://files.afu.se/Downloads/Transcripts/0%20-%20Government/USA%20-%20NASA%20Johnson/2012 04 02 - NASA Johnson - Reduced Gravity Education Flight Program_nJdWUifhkbE - transcript (automated).pdf","Transcript Link")</f>
        <v>Transcript Link</v>
      </c>
    </row>
    <row r="2941" ht="180" spans="1:13">
      <c r="A2941" s="1" t="s">
        <v>12894</v>
      </c>
      <c r="B2941" s="1" t="s">
        <v>13</v>
      </c>
      <c r="C2941" s="4" t="s">
        <v>12899</v>
      </c>
      <c r="D2941" s="1" t="s">
        <v>12900</v>
      </c>
      <c r="E2941" s="1" t="s">
        <v>12901</v>
      </c>
      <c r="F2941" s="4" t="s">
        <v>17</v>
      </c>
      <c r="G2941" s="1" t="s">
        <v>18</v>
      </c>
      <c r="H2941" s="1" t="s">
        <v>19</v>
      </c>
      <c r="I2941" s="1" t="s">
        <v>20</v>
      </c>
      <c r="J2941" s="1" t="s">
        <v>12902</v>
      </c>
      <c r="K2941" s="1" t="s">
        <v>22</v>
      </c>
      <c r="L2941" s="1" t="str">
        <f>HYPERLINK("https://files.afu.se/Downloads/Transcripts/0%20-%20Government/USA%20-%20NASA%20Johnson/2012 04 02 - NASA Johnson - ISS Update  Reduced Gravity Education_rrU0jvZoAlk - transcript (automated).pdf","Transcript Link")</f>
        <v>Transcript Link</v>
      </c>
      <c r="M2941" s="2" t="str">
        <f>HYPERLINK("https://files.afu.se/Downloads/Transcripts/0%20-%20Government/USA%20-%20NASA%20Johnson/2012 04 02 - NASA Johnson - ISS Update  Reduced Gravity Education_rrU0jvZoAlk - transcript (automated).pdf","Transcript Link")</f>
        <v>Transcript Link</v>
      </c>
    </row>
    <row r="2942" ht="180" spans="1:13">
      <c r="A2942" s="1" t="s">
        <v>12894</v>
      </c>
      <c r="B2942" s="1" t="s">
        <v>13</v>
      </c>
      <c r="C2942" s="4" t="s">
        <v>12903</v>
      </c>
      <c r="D2942" s="1" t="s">
        <v>12904</v>
      </c>
      <c r="E2942" s="1" t="s">
        <v>12905</v>
      </c>
      <c r="F2942" s="4" t="s">
        <v>17</v>
      </c>
      <c r="G2942" s="1" t="s">
        <v>18</v>
      </c>
      <c r="H2942" s="1" t="s">
        <v>19</v>
      </c>
      <c r="I2942" s="1" t="s">
        <v>20</v>
      </c>
      <c r="J2942" s="1" t="s">
        <v>12906</v>
      </c>
      <c r="K2942" s="1" t="s">
        <v>22</v>
      </c>
      <c r="L2942" s="1" t="str">
        <f>HYPERLINK("https://files.afu.se/Downloads/Transcripts/0%20-%20Government/USA%20-%20NASA%20Johnson/2012 04 02 - NASA Johnson - ISS Update - April 2, 2012_7e4cmU5fbxA - transcript (automated).pdf","Transcript Link")</f>
        <v>Transcript Link</v>
      </c>
      <c r="M2942" s="2" t="str">
        <f>HYPERLINK("https://files.afu.se/Downloads/Transcripts/0%20-%20Government/USA%20-%20NASA%20Johnson/2012 04 02 - NASA Johnson - ISS Update - April 2, 2012_7e4cmU5fbxA - transcript (automated).pdf","Transcript Link")</f>
        <v>Transcript Link</v>
      </c>
    </row>
    <row r="2943" ht="180" spans="1:13">
      <c r="A2943" s="1" t="s">
        <v>12907</v>
      </c>
      <c r="B2943" s="1" t="s">
        <v>13</v>
      </c>
      <c r="C2943" s="4" t="s">
        <v>12908</v>
      </c>
      <c r="D2943" s="1" t="s">
        <v>12909</v>
      </c>
      <c r="E2943" s="1" t="s">
        <v>12910</v>
      </c>
      <c r="F2943" s="4" t="s">
        <v>17</v>
      </c>
      <c r="G2943" s="1" t="s">
        <v>18</v>
      </c>
      <c r="H2943" s="1" t="s">
        <v>19</v>
      </c>
      <c r="I2943" s="1" t="s">
        <v>20</v>
      </c>
      <c r="J2943" s="1" t="s">
        <v>12911</v>
      </c>
      <c r="K2943" s="1" t="s">
        <v>22</v>
      </c>
      <c r="L2943" s="1" t="str">
        <f>HYPERLINK("https://files.afu.se/Downloads/Transcripts/0%20-%20Government/USA%20-%20NASA%20Johnson/2012 03 30 - NASA Johnson - ISS Update  Weekly Recap for March 30, 2012_Iz2w0QOz7UE - transcript (automated).pdf","Transcript Link")</f>
        <v>Transcript Link</v>
      </c>
      <c r="M2943" s="2" t="str">
        <f>HYPERLINK("https://files.afu.se/Downloads/Transcripts/0%20-%20Government/USA%20-%20NASA%20Johnson/2012 03 30 - NASA Johnson - ISS Update  Weekly Recap for March 30, 2012_Iz2w0QOz7UE - transcript (automated).pdf","Transcript Link")</f>
        <v>Transcript Link</v>
      </c>
    </row>
    <row r="2944" ht="180" spans="1:13">
      <c r="A2944" s="1" t="s">
        <v>12907</v>
      </c>
      <c r="B2944" s="1" t="s">
        <v>13</v>
      </c>
      <c r="C2944" s="4" t="s">
        <v>12912</v>
      </c>
      <c r="D2944" s="1" t="s">
        <v>12913</v>
      </c>
      <c r="E2944" s="1" t="s">
        <v>12914</v>
      </c>
      <c r="F2944" s="4" t="s">
        <v>17</v>
      </c>
      <c r="G2944" s="1" t="s">
        <v>18</v>
      </c>
      <c r="H2944" s="1" t="s">
        <v>19</v>
      </c>
      <c r="I2944" s="1" t="s">
        <v>20</v>
      </c>
      <c r="J2944" s="1" t="s">
        <v>12915</v>
      </c>
      <c r="K2944" s="1" t="s">
        <v>22</v>
      </c>
      <c r="L2944" s="1" t="str">
        <f>HYPERLINK("https://files.afu.se/Downloads/Transcripts/0%20-%20Government/USA%20-%20NASA%20Johnson/2012 03 30 - NASA Johnson - ISS Update  ATV-3's Science Payload_iPekDRPIt_U - transcript (automated).pdf","Transcript Link")</f>
        <v>Transcript Link</v>
      </c>
      <c r="M2944" s="2" t="str">
        <f>HYPERLINK("https://files.afu.se/Downloads/Transcripts/0%20-%20Government/USA%20-%20NASA%20Johnson/2012 03 30 - NASA Johnson - ISS Update  ATV-3's Science Payload_iPekDRPIt_U - transcript (automated).pdf","Transcript Link")</f>
        <v>Transcript Link</v>
      </c>
    </row>
    <row r="2945" ht="180" spans="1:13">
      <c r="A2945" s="1" t="s">
        <v>12916</v>
      </c>
      <c r="B2945" s="1" t="s">
        <v>13</v>
      </c>
      <c r="C2945" s="4" t="s">
        <v>12917</v>
      </c>
      <c r="D2945" s="1" t="s">
        <v>12918</v>
      </c>
      <c r="E2945" s="1" t="s">
        <v>12919</v>
      </c>
      <c r="F2945" s="4" t="s">
        <v>17</v>
      </c>
      <c r="G2945" s="1" t="s">
        <v>18</v>
      </c>
      <c r="H2945" s="1" t="s">
        <v>19</v>
      </c>
      <c r="I2945" s="1" t="s">
        <v>20</v>
      </c>
      <c r="J2945" s="1" t="s">
        <v>12920</v>
      </c>
      <c r="K2945" s="1" t="s">
        <v>22</v>
      </c>
      <c r="L2945" s="1" t="str">
        <f>HYPERLINK("https://files.afu.se/Downloads/Transcripts/0%20-%20Government/USA%20-%20NASA%20Johnson/2012 03 29 - NASA Johnson - Students Speak With Angela Bauer, Facilities Operations and Maintenance Group Lead__qn9IcQKAwQ - transcript (automated).pdf","Transcript Link")</f>
        <v>Transcript Link</v>
      </c>
      <c r="M2945" s="2" t="str">
        <f>HYPERLINK("https://files.afu.se/Downloads/Transcripts/0%20-%20Government/USA%20-%20NASA%20Johnson/2012 03 29 - NASA Johnson - Students Speak With Angela Bauer, Facilities Operations and Maintenance Group Lead__qn9IcQKAwQ - transcript (automated).pdf","Transcript Link")</f>
        <v>Transcript Link</v>
      </c>
    </row>
    <row r="2946" ht="180" spans="1:13">
      <c r="A2946" s="1" t="s">
        <v>12916</v>
      </c>
      <c r="B2946" s="1" t="s">
        <v>13</v>
      </c>
      <c r="C2946" s="4" t="s">
        <v>12921</v>
      </c>
      <c r="D2946" s="1" t="s">
        <v>12922</v>
      </c>
      <c r="E2946" s="1" t="s">
        <v>12923</v>
      </c>
      <c r="F2946" s="4" t="s">
        <v>17</v>
      </c>
      <c r="G2946" s="1" t="s">
        <v>18</v>
      </c>
      <c r="H2946" s="1" t="s">
        <v>19</v>
      </c>
      <c r="I2946" s="1" t="s">
        <v>20</v>
      </c>
      <c r="J2946" s="1" t="s">
        <v>12924</v>
      </c>
      <c r="K2946" s="1" t="s">
        <v>22</v>
      </c>
      <c r="L2946" s="1" t="str">
        <f>HYPERLINK("https://files.afu.se/Downloads/Transcripts/0%20-%20Government/USA%20-%20NASA%20Johnson/2012 03 29 - NASA Johnson - ISS Update  Keeping the Flight Control Rooms Running_3UUMQ_uzv3Q - transcript (automated).pdf","Transcript Link")</f>
        <v>Transcript Link</v>
      </c>
      <c r="M2946" s="2" t="str">
        <f>HYPERLINK("https://files.afu.se/Downloads/Transcripts/0%20-%20Government/USA%20-%20NASA%20Johnson/2012 03 29 - NASA Johnson - ISS Update  Keeping the Flight Control Rooms Running_3UUMQ_uzv3Q - transcript (automated).pdf","Transcript Link")</f>
        <v>Transcript Link</v>
      </c>
    </row>
    <row r="2947" ht="180" spans="1:13">
      <c r="A2947" s="1" t="s">
        <v>12916</v>
      </c>
      <c r="B2947" s="1" t="s">
        <v>13</v>
      </c>
      <c r="C2947" s="4" t="s">
        <v>12925</v>
      </c>
      <c r="D2947" s="1" t="s">
        <v>12926</v>
      </c>
      <c r="E2947" s="1" t="s">
        <v>12927</v>
      </c>
      <c r="F2947" s="4" t="s">
        <v>17</v>
      </c>
      <c r="G2947" s="1" t="s">
        <v>18</v>
      </c>
      <c r="H2947" s="1" t="s">
        <v>19</v>
      </c>
      <c r="I2947" s="1" t="s">
        <v>20</v>
      </c>
      <c r="J2947" s="1" t="s">
        <v>12928</v>
      </c>
      <c r="K2947" s="1" t="s">
        <v>22</v>
      </c>
      <c r="L2947" s="1" t="str">
        <f>HYPERLINK("https://files.afu.se/Downloads/Transcripts/0%20-%20Government/USA%20-%20NASA%20Johnson/2012 03 29 - NASA Johnson - ISS Update - March 29, 2012_sTm-uBIKHEs - transcript (automated).pdf","Transcript Link")</f>
        <v>Transcript Link</v>
      </c>
      <c r="M2947" s="2" t="str">
        <f>HYPERLINK("https://files.afu.se/Downloads/Transcripts/0%20-%20Government/USA%20-%20NASA%20Johnson/2012 03 29 - NASA Johnson - ISS Update - March 29, 2012_sTm-uBIKHEs - transcript (automated).pdf","Transcript Link")</f>
        <v>Transcript Link</v>
      </c>
    </row>
    <row r="2948" ht="180" spans="1:13">
      <c r="A2948" s="1" t="s">
        <v>12916</v>
      </c>
      <c r="B2948" s="1" t="s">
        <v>13</v>
      </c>
      <c r="C2948" s="4" t="s">
        <v>12929</v>
      </c>
      <c r="D2948" s="1" t="s">
        <v>12930</v>
      </c>
      <c r="E2948" s="1" t="s">
        <v>12931</v>
      </c>
      <c r="F2948" s="4" t="s">
        <v>17</v>
      </c>
      <c r="G2948" s="1" t="s">
        <v>18</v>
      </c>
      <c r="H2948" s="1" t="s">
        <v>19</v>
      </c>
      <c r="I2948" s="1" t="s">
        <v>20</v>
      </c>
      <c r="J2948" s="1" t="s">
        <v>12932</v>
      </c>
      <c r="K2948" s="1" t="s">
        <v>22</v>
      </c>
      <c r="L2948" s="1" t="str">
        <f>HYPERLINK("https://files.afu.se/Downloads/Transcripts/0%20-%20Government/USA%20-%20NASA%20Johnson/2012 03 29 - NASA Johnson - ISS Update  Role of Women in Space Program_QBvfEm2Ab5g - transcript (automated).pdf","Transcript Link")</f>
        <v>Transcript Link</v>
      </c>
      <c r="M2948" s="2" t="str">
        <f>HYPERLINK("https://files.afu.se/Downloads/Transcripts/0%20-%20Government/USA%20-%20NASA%20Johnson/2012 03 29 - NASA Johnson - ISS Update  Role of Women in Space Program_QBvfEm2Ab5g - transcript (automated).pdf","Transcript Link")</f>
        <v>Transcript Link</v>
      </c>
    </row>
    <row r="2949" ht="180" spans="1:13">
      <c r="A2949" s="1" t="s">
        <v>12916</v>
      </c>
      <c r="B2949" s="1" t="s">
        <v>13</v>
      </c>
      <c r="C2949" s="4" t="s">
        <v>12933</v>
      </c>
      <c r="D2949" s="1" t="s">
        <v>12930</v>
      </c>
      <c r="E2949" s="1" t="s">
        <v>12934</v>
      </c>
      <c r="F2949" s="4" t="s">
        <v>17</v>
      </c>
      <c r="G2949" s="1" t="s">
        <v>18</v>
      </c>
      <c r="H2949" s="1" t="s">
        <v>19</v>
      </c>
      <c r="I2949" s="1" t="s">
        <v>20</v>
      </c>
      <c r="J2949" s="1" t="s">
        <v>12935</v>
      </c>
      <c r="K2949" s="1" t="s">
        <v>22</v>
      </c>
      <c r="L2949" s="1" t="str">
        <f>HYPERLINK("https://files.afu.se/Downloads/Transcripts/0%20-%20Government/USA%20-%20NASA%20Johnson/2012 03 29 - NASA Johnson - ISS Update  Role of Women in Space Program_oFI3Gla2eig - transcript (automated).pdf","Transcript Link")</f>
        <v>Transcript Link</v>
      </c>
      <c r="M2949" s="2" t="str">
        <f>HYPERLINK("https://files.afu.se/Downloads/Transcripts/0%20-%20Government/USA%20-%20NASA%20Johnson/2012 03 29 - NASA Johnson - ISS Update  Role of Women in Space Program_oFI3Gla2eig - transcript (automated).pdf","Transcript Link")</f>
        <v>Transcript Link</v>
      </c>
    </row>
    <row r="2950" ht="180" spans="1:13">
      <c r="A2950" s="1" t="s">
        <v>12936</v>
      </c>
      <c r="B2950" s="1" t="s">
        <v>13</v>
      </c>
      <c r="C2950" s="4" t="s">
        <v>12937</v>
      </c>
      <c r="D2950" s="1" t="s">
        <v>12938</v>
      </c>
      <c r="E2950" s="1" t="s">
        <v>12939</v>
      </c>
      <c r="F2950" s="4" t="s">
        <v>17</v>
      </c>
      <c r="G2950" s="1" t="s">
        <v>18</v>
      </c>
      <c r="H2950" s="1" t="s">
        <v>19</v>
      </c>
      <c r="I2950" s="1" t="s">
        <v>20</v>
      </c>
      <c r="J2950" s="1" t="s">
        <v>12940</v>
      </c>
      <c r="K2950" s="1" t="s">
        <v>22</v>
      </c>
      <c r="L2950" s="1" t="str">
        <f>HYPERLINK("https://files.afu.se/Downloads/Transcripts/0%20-%20Government/USA%20-%20NASA%20Johnson/2012 03 28 - NASA Johnson - ATV-3 Arrives at Station_8UWJ_vjqP9s - transcript (automated).pdf","Transcript Link")</f>
        <v>Transcript Link</v>
      </c>
      <c r="M2950" s="2" t="str">
        <f>HYPERLINK("https://files.afu.se/Downloads/Transcripts/0%20-%20Government/USA%20-%20NASA%20Johnson/2012 03 28 - NASA Johnson - ATV-3 Arrives at Station_8UWJ_vjqP9s - transcript (automated).pdf","Transcript Link")</f>
        <v>Transcript Link</v>
      </c>
    </row>
    <row r="2951" ht="180" spans="1:13">
      <c r="A2951" s="1" t="s">
        <v>12936</v>
      </c>
      <c r="B2951" s="1" t="s">
        <v>13</v>
      </c>
      <c r="C2951" s="4" t="s">
        <v>12941</v>
      </c>
      <c r="D2951" s="1" t="s">
        <v>12942</v>
      </c>
      <c r="E2951" s="1" t="s">
        <v>12943</v>
      </c>
      <c r="F2951" s="4" t="s">
        <v>17</v>
      </c>
      <c r="G2951" s="1" t="s">
        <v>18</v>
      </c>
      <c r="H2951" s="1" t="s">
        <v>19</v>
      </c>
      <c r="I2951" s="1" t="s">
        <v>20</v>
      </c>
      <c r="J2951" s="1" t="s">
        <v>12944</v>
      </c>
      <c r="K2951" s="1" t="s">
        <v>22</v>
      </c>
      <c r="L2951" s="1" t="str">
        <f>HYPERLINK("https://files.afu.se/Downloads/Transcripts/0%20-%20Government/USA%20-%20NASA%20Johnson/2012 03 28 - NASA Johnson - ISS Update  Astronaut T.J. Creamer Continues Station Support at Marshall_AdT1f8fvlf4 - transcript (automated).pdf","Transcript Link")</f>
        <v>Transcript Link</v>
      </c>
      <c r="M2951" s="2" t="str">
        <f>HYPERLINK("https://files.afu.se/Downloads/Transcripts/0%20-%20Government/USA%20-%20NASA%20Johnson/2012 03 28 - NASA Johnson - ISS Update  Astronaut T.J. Creamer Continues Station Support at Marshall_AdT1f8fvlf4 - transcript (automated).pdf","Transcript Link")</f>
        <v>Transcript Link</v>
      </c>
    </row>
    <row r="2952" ht="180" spans="1:13">
      <c r="A2952" s="1" t="s">
        <v>12936</v>
      </c>
      <c r="B2952" s="1" t="s">
        <v>13</v>
      </c>
      <c r="C2952" s="4" t="s">
        <v>12945</v>
      </c>
      <c r="D2952" s="1" t="s">
        <v>12946</v>
      </c>
      <c r="E2952" s="1" t="s">
        <v>12947</v>
      </c>
      <c r="F2952" s="4" t="s">
        <v>17</v>
      </c>
      <c r="G2952" s="1" t="s">
        <v>18</v>
      </c>
      <c r="H2952" s="1" t="s">
        <v>19</v>
      </c>
      <c r="I2952" s="1" t="s">
        <v>20</v>
      </c>
      <c r="J2952" s="1" t="s">
        <v>12948</v>
      </c>
      <c r="K2952" s="1" t="s">
        <v>22</v>
      </c>
      <c r="L2952" s="1" t="str">
        <f>HYPERLINK("https://files.afu.se/Downloads/Transcripts/0%20-%20Government/USA%20-%20NASA%20Johnson/2012 03 28 - NASA Johnson - ISS Update - March 28, 2012_barTCHH0IFs - transcript (automated).pdf","Transcript Link")</f>
        <v>Transcript Link</v>
      </c>
      <c r="M2952" s="2" t="str">
        <f>HYPERLINK("https://files.afu.se/Downloads/Transcripts/0%20-%20Government/USA%20-%20NASA%20Johnson/2012 03 28 - NASA Johnson - ISS Update - March 28, 2012_barTCHH0IFs - transcript (automated).pdf","Transcript Link")</f>
        <v>Transcript Link</v>
      </c>
    </row>
    <row r="2953" ht="180" spans="1:13">
      <c r="A2953" s="1" t="s">
        <v>12936</v>
      </c>
      <c r="B2953" s="1" t="s">
        <v>13</v>
      </c>
      <c r="C2953" s="4" t="s">
        <v>12949</v>
      </c>
      <c r="D2953" s="1" t="s">
        <v>12950</v>
      </c>
      <c r="E2953" s="1" t="s">
        <v>12951</v>
      </c>
      <c r="F2953" s="4" t="s">
        <v>17</v>
      </c>
      <c r="G2953" s="1" t="s">
        <v>18</v>
      </c>
      <c r="H2953" s="1" t="s">
        <v>19</v>
      </c>
      <c r="I2953" s="1" t="s">
        <v>20</v>
      </c>
      <c r="J2953" s="1" t="s">
        <v>12952</v>
      </c>
      <c r="K2953" s="1" t="s">
        <v>22</v>
      </c>
      <c r="L2953" s="1" t="str">
        <f>HYPERLINK("https://files.afu.se/Downloads/Transcripts/0%20-%20Government/USA%20-%20NASA%20Johnson/2012 03 28 - NASA Johnson - Science off the Sphere  Lenses and Vortices_CrTUpTDyGpI - transcript (automated).pdf","Transcript Link")</f>
        <v>Transcript Link</v>
      </c>
      <c r="M2953" s="2" t="str">
        <f>HYPERLINK("https://files.afu.se/Downloads/Transcripts/0%20-%20Government/USA%20-%20NASA%20Johnson/2012 03 28 - NASA Johnson - Science off the Sphere  Lenses and Vortices_CrTUpTDyGpI - transcript (automated).pdf","Transcript Link")</f>
        <v>Transcript Link</v>
      </c>
    </row>
    <row r="2954" ht="180" spans="1:13">
      <c r="A2954" s="1" t="s">
        <v>12953</v>
      </c>
      <c r="B2954" s="1" t="s">
        <v>13</v>
      </c>
      <c r="C2954" s="4" t="s">
        <v>12954</v>
      </c>
      <c r="D2954" s="1" t="s">
        <v>12955</v>
      </c>
      <c r="E2954" s="1" t="s">
        <v>12956</v>
      </c>
      <c r="F2954" s="4" t="s">
        <v>17</v>
      </c>
      <c r="G2954" s="1" t="s">
        <v>18</v>
      </c>
      <c r="H2954" s="1" t="s">
        <v>19</v>
      </c>
      <c r="I2954" s="1" t="s">
        <v>20</v>
      </c>
      <c r="J2954" s="1" t="s">
        <v>12957</v>
      </c>
      <c r="K2954" s="1" t="s">
        <v>22</v>
      </c>
      <c r="L2954" s="1" t="str">
        <f>HYPERLINK("https://files.afu.se/Downloads/Transcripts/0%20-%20Government/USA%20-%20NASA%20Johnson/2012 03 27 - NASA Johnson - ISS Update  High Rate Communications System_1aTiyV5rEVQ - transcript (automated).pdf","Transcript Link")</f>
        <v>Transcript Link</v>
      </c>
      <c r="M2954" s="2" t="str">
        <f>HYPERLINK("https://files.afu.se/Downloads/Transcripts/0%20-%20Government/USA%20-%20NASA%20Johnson/2012 03 27 - NASA Johnson - ISS Update  High Rate Communications System_1aTiyV5rEVQ - transcript (automated).pdf","Transcript Link")</f>
        <v>Transcript Link</v>
      </c>
    </row>
    <row r="2955" ht="180" spans="1:13">
      <c r="A2955" s="1" t="s">
        <v>12953</v>
      </c>
      <c r="B2955" s="1" t="s">
        <v>13</v>
      </c>
      <c r="C2955" s="4" t="s">
        <v>12958</v>
      </c>
      <c r="D2955" s="1" t="s">
        <v>12959</v>
      </c>
      <c r="E2955" s="1" t="s">
        <v>12960</v>
      </c>
      <c r="F2955" s="4" t="s">
        <v>17</v>
      </c>
      <c r="G2955" s="1" t="s">
        <v>18</v>
      </c>
      <c r="H2955" s="1" t="s">
        <v>19</v>
      </c>
      <c r="I2955" s="1" t="s">
        <v>20</v>
      </c>
      <c r="J2955" s="1" t="s">
        <v>12961</v>
      </c>
      <c r="K2955" s="1" t="s">
        <v>22</v>
      </c>
      <c r="L2955" s="1" t="str">
        <f>HYPERLINK("https://files.afu.se/Downloads/Transcripts/0%20-%20Government/USA%20-%20NASA%20Johnson/2012 03 27 - NASA Johnson - ISS Update - March 27, 2012_R5gdAlRPBCU - transcript (automated).pdf","Transcript Link")</f>
        <v>Transcript Link</v>
      </c>
      <c r="M2955" s="2" t="str">
        <f>HYPERLINK("https://files.afu.se/Downloads/Transcripts/0%20-%20Government/USA%20-%20NASA%20Johnson/2012 03 27 - NASA Johnson - ISS Update - March 27, 2012_R5gdAlRPBCU - transcript (automated).pdf","Transcript Link")</f>
        <v>Transcript Link</v>
      </c>
    </row>
    <row r="2956" ht="180" spans="1:13">
      <c r="A2956" s="1" t="s">
        <v>12953</v>
      </c>
      <c r="B2956" s="1" t="s">
        <v>13</v>
      </c>
      <c r="C2956" s="4" t="s">
        <v>12962</v>
      </c>
      <c r="D2956" s="1" t="s">
        <v>12963</v>
      </c>
      <c r="E2956" s="1" t="s">
        <v>12964</v>
      </c>
      <c r="F2956" s="4" t="s">
        <v>17</v>
      </c>
      <c r="G2956" s="1" t="s">
        <v>18</v>
      </c>
      <c r="H2956" s="1" t="s">
        <v>19</v>
      </c>
      <c r="I2956" s="1" t="s">
        <v>20</v>
      </c>
      <c r="J2956" s="1" t="s">
        <v>12965</v>
      </c>
      <c r="K2956" s="1" t="s">
        <v>22</v>
      </c>
      <c r="L2956" s="1" t="str">
        <f>HYPERLINK("https://files.afu.se/Downloads/Transcripts/0%20-%20Government/USA%20-%20NASA%20Johnson/2012 03 27 - NASA Johnson - Back at the ISS_qWa380jfeY0 - transcript (automated).pdf","Transcript Link")</f>
        <v>Transcript Link</v>
      </c>
      <c r="M2956" s="2" t="str">
        <f>HYPERLINK("https://files.afu.se/Downloads/Transcripts/0%20-%20Government/USA%20-%20NASA%20Johnson/2012 03 27 - NASA Johnson - Back at the ISS_qWa380jfeY0 - transcript (automated).pdf","Transcript Link")</f>
        <v>Transcript Link</v>
      </c>
    </row>
    <row r="2957" ht="180" spans="1:13">
      <c r="A2957" s="1" t="s">
        <v>12966</v>
      </c>
      <c r="B2957" s="1" t="s">
        <v>13</v>
      </c>
      <c r="C2957" s="4" t="s">
        <v>12967</v>
      </c>
      <c r="D2957" s="1" t="s">
        <v>12968</v>
      </c>
      <c r="E2957" s="1" t="s">
        <v>12969</v>
      </c>
      <c r="F2957" s="4" t="s">
        <v>17</v>
      </c>
      <c r="G2957" s="1" t="s">
        <v>18</v>
      </c>
      <c r="H2957" s="1" t="s">
        <v>19</v>
      </c>
      <c r="I2957" s="1" t="s">
        <v>20</v>
      </c>
      <c r="J2957" s="1" t="s">
        <v>12970</v>
      </c>
      <c r="K2957" s="1" t="s">
        <v>22</v>
      </c>
      <c r="L2957" s="1" t="str">
        <f>HYPERLINK("https://files.afu.se/Downloads/Transcripts/0%20-%20Government/USA%20-%20NASA%20Johnson/2012 03 26 - NASA Johnson - ISS Update  Burning and Suppression of Solids_6c2qNgXQkWE - transcript (automated).pdf","Transcript Link")</f>
        <v>Transcript Link</v>
      </c>
      <c r="M2957" s="2" t="str">
        <f>HYPERLINK("https://files.afu.se/Downloads/Transcripts/0%20-%20Government/USA%20-%20NASA%20Johnson/2012 03 26 - NASA Johnson - ISS Update  Burning and Suppression of Solids_6c2qNgXQkWE - transcript (automated).pdf","Transcript Link")</f>
        <v>Transcript Link</v>
      </c>
    </row>
    <row r="2958" ht="180" spans="1:13">
      <c r="A2958" s="1" t="s">
        <v>12966</v>
      </c>
      <c r="B2958" s="1" t="s">
        <v>13</v>
      </c>
      <c r="C2958" s="4" t="s">
        <v>12971</v>
      </c>
      <c r="D2958" s="1" t="s">
        <v>12972</v>
      </c>
      <c r="E2958" s="1" t="s">
        <v>12973</v>
      </c>
      <c r="F2958" s="4" t="s">
        <v>17</v>
      </c>
      <c r="G2958" s="1" t="s">
        <v>18</v>
      </c>
      <c r="H2958" s="1" t="s">
        <v>19</v>
      </c>
      <c r="I2958" s="1" t="s">
        <v>20</v>
      </c>
      <c r="J2958" s="1" t="s">
        <v>12974</v>
      </c>
      <c r="K2958" s="1" t="s">
        <v>22</v>
      </c>
      <c r="L2958" s="1" t="str">
        <f>HYPERLINK("https://files.afu.se/Downloads/Transcripts/0%20-%20Government/USA%20-%20NASA%20Johnson/2012 03 26 - NASA Johnson - ISS Update - March 26, 2012_n0c3ejjii9U - transcript (automated).pdf","Transcript Link")</f>
        <v>Transcript Link</v>
      </c>
      <c r="M2958" s="2" t="str">
        <f>HYPERLINK("https://files.afu.se/Downloads/Transcripts/0%20-%20Government/USA%20-%20NASA%20Johnson/2012 03 26 - NASA Johnson - ISS Update - March 26, 2012_n0c3ejjii9U - transcript (automated).pdf","Transcript Link")</f>
        <v>Transcript Link</v>
      </c>
    </row>
    <row r="2959" ht="180" spans="1:13">
      <c r="A2959" s="1" t="s">
        <v>12975</v>
      </c>
      <c r="B2959" s="1" t="s">
        <v>13</v>
      </c>
      <c r="C2959" s="4" t="s">
        <v>12976</v>
      </c>
      <c r="D2959" s="1" t="s">
        <v>9959</v>
      </c>
      <c r="E2959" s="1" t="s">
        <v>12977</v>
      </c>
      <c r="F2959" s="4" t="s">
        <v>17</v>
      </c>
      <c r="G2959" s="1" t="s">
        <v>18</v>
      </c>
      <c r="H2959" s="1" t="s">
        <v>19</v>
      </c>
      <c r="I2959" s="1" t="s">
        <v>20</v>
      </c>
      <c r="J2959" s="1" t="s">
        <v>12978</v>
      </c>
      <c r="K2959" s="1" t="s">
        <v>22</v>
      </c>
      <c r="L2959" s="1" t="str">
        <f>HYPERLINK("https://files.afu.se/Downloads/Transcripts/0%20-%20Government/USA%20-%20NASA%20Johnson/2012 03 23 - NASA Johnson - European Cargo Ship Launches to Station_8aN6Jo6-24c - transcript (automated).pdf","Transcript Link")</f>
        <v>Transcript Link</v>
      </c>
      <c r="M2959" s="2" t="str">
        <f>HYPERLINK("https://files.afu.se/Downloads/Transcripts/0%20-%20Government/USA%20-%20NASA%20Johnson/2012 03 23 - NASA Johnson - European Cargo Ship Launches to Station_8aN6Jo6-24c - transcript (automated).pdf","Transcript Link")</f>
        <v>Transcript Link</v>
      </c>
    </row>
    <row r="2960" ht="180" spans="1:13">
      <c r="A2960" s="1" t="s">
        <v>12975</v>
      </c>
      <c r="B2960" s="1" t="s">
        <v>13</v>
      </c>
      <c r="C2960" s="4" t="s">
        <v>12979</v>
      </c>
      <c r="D2960" s="1" t="s">
        <v>12980</v>
      </c>
      <c r="E2960" s="1" t="s">
        <v>12981</v>
      </c>
      <c r="F2960" s="4" t="s">
        <v>17</v>
      </c>
      <c r="G2960" s="1" t="s">
        <v>18</v>
      </c>
      <c r="H2960" s="1" t="s">
        <v>19</v>
      </c>
      <c r="I2960" s="1" t="s">
        <v>20</v>
      </c>
      <c r="J2960" s="1" t="s">
        <v>12982</v>
      </c>
      <c r="K2960" s="1" t="s">
        <v>22</v>
      </c>
      <c r="L2960" s="1" t="str">
        <f>HYPERLINK("https://files.afu.se/Downloads/Transcripts/0%20-%20Government/USA%20-%20NASA%20Johnson/2012 03 23 - NASA Johnson - Station Crew Talks With Bloomberg News_hvRtXld-9cY - transcript (automated).pdf","Transcript Link")</f>
        <v>Transcript Link</v>
      </c>
      <c r="M2960" s="2" t="str">
        <f>HYPERLINK("https://files.afu.se/Downloads/Transcripts/0%20-%20Government/USA%20-%20NASA%20Johnson/2012 03 23 - NASA Johnson - Station Crew Talks With Bloomberg News_hvRtXld-9cY - transcript (automated).pdf","Transcript Link")</f>
        <v>Transcript Link</v>
      </c>
    </row>
    <row r="2961" ht="180" spans="1:13">
      <c r="A2961" s="1" t="s">
        <v>12975</v>
      </c>
      <c r="B2961" s="1" t="s">
        <v>13</v>
      </c>
      <c r="C2961" s="4" t="s">
        <v>12983</v>
      </c>
      <c r="D2961" s="1" t="s">
        <v>12090</v>
      </c>
      <c r="E2961" s="1" t="s">
        <v>12984</v>
      </c>
      <c r="F2961" s="4" t="s">
        <v>17</v>
      </c>
      <c r="G2961" s="1" t="s">
        <v>18</v>
      </c>
      <c r="H2961" s="1" t="s">
        <v>19</v>
      </c>
      <c r="I2961" s="1" t="s">
        <v>20</v>
      </c>
      <c r="J2961" s="1" t="s">
        <v>12985</v>
      </c>
      <c r="K2961" s="1" t="s">
        <v>22</v>
      </c>
      <c r="L2961" s="1" t="str">
        <f>HYPERLINK("https://files.afu.se/Downloads/Transcripts/0%20-%20Government/USA%20-%20NASA%20Johnson/2012 03 23 - NASA Johnson - ISS Update  Astronaut Mike Fossum_DbB1xCF0YOw - transcript (automated).pdf","Transcript Link")</f>
        <v>Transcript Link</v>
      </c>
      <c r="M2961" s="2" t="str">
        <f>HYPERLINK("https://files.afu.se/Downloads/Transcripts/0%20-%20Government/USA%20-%20NASA%20Johnson/2012 03 23 - NASA Johnson - ISS Update  Astronaut Mike Fossum_DbB1xCF0YOw - transcript (automated).pdf","Transcript Link")</f>
        <v>Transcript Link</v>
      </c>
    </row>
    <row r="2962" ht="180" spans="1:13">
      <c r="A2962" s="1" t="s">
        <v>12975</v>
      </c>
      <c r="B2962" s="1" t="s">
        <v>13</v>
      </c>
      <c r="C2962" s="4" t="s">
        <v>12986</v>
      </c>
      <c r="D2962" s="1" t="s">
        <v>12987</v>
      </c>
      <c r="E2962" s="1" t="s">
        <v>12988</v>
      </c>
      <c r="F2962" s="4" t="s">
        <v>17</v>
      </c>
      <c r="G2962" s="1" t="s">
        <v>18</v>
      </c>
      <c r="H2962" s="1" t="s">
        <v>19</v>
      </c>
      <c r="I2962" s="1" t="s">
        <v>20</v>
      </c>
      <c r="J2962" s="1" t="s">
        <v>12989</v>
      </c>
      <c r="K2962" s="1" t="s">
        <v>22</v>
      </c>
      <c r="L2962" s="1" t="str">
        <f>HYPERLINK("https://files.afu.se/Downloads/Transcripts/0%20-%20Government/USA%20-%20NASA%20Johnson/2012 03 23 - NASA Johnson - ISS Update  Weekly Recap for March 23, 2012_8BaCKePchoY - transcript (automated).pdf","Transcript Link")</f>
        <v>Transcript Link</v>
      </c>
      <c r="M2962" s="2" t="str">
        <f>HYPERLINK("https://files.afu.se/Downloads/Transcripts/0%20-%20Government/USA%20-%20NASA%20Johnson/2012 03 23 - NASA Johnson - ISS Update  Weekly Recap for March 23, 2012_8BaCKePchoY - transcript (automated).pdf","Transcript Link")</f>
        <v>Transcript Link</v>
      </c>
    </row>
    <row r="2963" ht="180" spans="1:13">
      <c r="A2963" s="1" t="s">
        <v>12975</v>
      </c>
      <c r="B2963" s="1" t="s">
        <v>13</v>
      </c>
      <c r="C2963" s="4" t="s">
        <v>12990</v>
      </c>
      <c r="D2963" s="1" t="s">
        <v>12991</v>
      </c>
      <c r="E2963" s="1" t="s">
        <v>12992</v>
      </c>
      <c r="F2963" s="4" t="s">
        <v>17</v>
      </c>
      <c r="G2963" s="1" t="s">
        <v>18</v>
      </c>
      <c r="H2963" s="1" t="s">
        <v>19</v>
      </c>
      <c r="I2963" s="1" t="s">
        <v>20</v>
      </c>
      <c r="J2963" s="1" t="s">
        <v>12993</v>
      </c>
      <c r="K2963" s="1" t="s">
        <v>22</v>
      </c>
      <c r="L2963" s="1" t="str">
        <f>HYPERLINK("https://files.afu.se/Downloads/Transcripts/0%20-%20Government/USA%20-%20NASA%20Johnson/2012 03 23 - NASA Johnson - ISS Update  Robonaut Glove Test (Part 2)_RPV0aqdRcBc - transcript (automated).pdf","Transcript Link")</f>
        <v>Transcript Link</v>
      </c>
      <c r="M2963" s="2" t="str">
        <f>HYPERLINK("https://files.afu.se/Downloads/Transcripts/0%20-%20Government/USA%20-%20NASA%20Johnson/2012 03 23 - NASA Johnson - ISS Update  Robonaut Glove Test (Part 2)_RPV0aqdRcBc - transcript (automated).pdf","Transcript Link")</f>
        <v>Transcript Link</v>
      </c>
    </row>
    <row r="2964" ht="180" spans="1:13">
      <c r="A2964" s="1" t="s">
        <v>12975</v>
      </c>
      <c r="B2964" s="1" t="s">
        <v>13</v>
      </c>
      <c r="C2964" s="4" t="s">
        <v>12994</v>
      </c>
      <c r="D2964" s="1" t="s">
        <v>12995</v>
      </c>
      <c r="E2964" s="1" t="s">
        <v>12996</v>
      </c>
      <c r="F2964" s="4" t="s">
        <v>17</v>
      </c>
      <c r="G2964" s="1" t="s">
        <v>18</v>
      </c>
      <c r="H2964" s="1" t="s">
        <v>19</v>
      </c>
      <c r="I2964" s="1" t="s">
        <v>20</v>
      </c>
      <c r="J2964" s="1" t="s">
        <v>12997</v>
      </c>
      <c r="K2964" s="1" t="s">
        <v>22</v>
      </c>
      <c r="L2964" s="1" t="str">
        <f>HYPERLINK("https://files.afu.se/Downloads/Transcripts/0%20-%20Government/USA%20-%20NASA%20Johnson/2012 03 23 - NASA Johnson - ISS Update  SpaceX Space Act Agreement Status_H2Sa5vB_qBE - transcript (automated).pdf","Transcript Link")</f>
        <v>Transcript Link</v>
      </c>
      <c r="M2964" s="2" t="str">
        <f>HYPERLINK("https://files.afu.se/Downloads/Transcripts/0%20-%20Government/USA%20-%20NASA%20Johnson/2012 03 23 - NASA Johnson - ISS Update  SpaceX Space Act Agreement Status_H2Sa5vB_qBE - transcript (automated).pdf","Transcript Link")</f>
        <v>Transcript Link</v>
      </c>
    </row>
    <row r="2965" ht="180" spans="1:13">
      <c r="A2965" s="1" t="s">
        <v>12998</v>
      </c>
      <c r="B2965" s="1" t="s">
        <v>13</v>
      </c>
      <c r="C2965" s="4" t="s">
        <v>12999</v>
      </c>
      <c r="D2965" s="1" t="s">
        <v>13000</v>
      </c>
      <c r="E2965" s="1" t="s">
        <v>13001</v>
      </c>
      <c r="F2965" s="4" t="s">
        <v>17</v>
      </c>
      <c r="G2965" s="1" t="s">
        <v>18</v>
      </c>
      <c r="H2965" s="1" t="s">
        <v>19</v>
      </c>
      <c r="I2965" s="1" t="s">
        <v>20</v>
      </c>
      <c r="J2965" s="1" t="s">
        <v>13002</v>
      </c>
      <c r="K2965" s="1" t="s">
        <v>22</v>
      </c>
      <c r="L2965" s="1">
        <v>0</v>
      </c>
      <c r="M2965" s="2">
        <v>0</v>
      </c>
    </row>
    <row r="2966" ht="180" spans="1:13">
      <c r="A2966" s="1" t="s">
        <v>12998</v>
      </c>
      <c r="B2966" s="1" t="s">
        <v>13</v>
      </c>
      <c r="C2966" s="4" t="s">
        <v>13003</v>
      </c>
      <c r="D2966" s="1" t="s">
        <v>13004</v>
      </c>
      <c r="E2966" s="1" t="s">
        <v>13005</v>
      </c>
      <c r="F2966" s="4" t="s">
        <v>17</v>
      </c>
      <c r="G2966" s="1" t="s">
        <v>18</v>
      </c>
      <c r="H2966" s="1" t="s">
        <v>19</v>
      </c>
      <c r="I2966" s="1" t="s">
        <v>20</v>
      </c>
      <c r="J2966" s="1" t="s">
        <v>13006</v>
      </c>
      <c r="K2966" s="1" t="s">
        <v>22</v>
      </c>
      <c r="L2966" s="1" t="str">
        <f>HYPERLINK("https://files.afu.se/Downloads/Transcripts/0%20-%20Government/USA%20-%20NASA%20Johnson/2012 03 22 - NASA Johnson - ISS Update - March 22, 2012_u31iDZ9GUn4 - transcript (automated).pdf","Transcript Link")</f>
        <v>Transcript Link</v>
      </c>
      <c r="M2966" s="2" t="str">
        <f>HYPERLINK("https://files.afu.se/Downloads/Transcripts/0%20-%20Government/USA%20-%20NASA%20Johnson/2012 03 22 - NASA Johnson - ISS Update - March 22, 2012_u31iDZ9GUn4 - transcript (automated).pdf","Transcript Link")</f>
        <v>Transcript Link</v>
      </c>
    </row>
    <row r="2967" ht="180" spans="1:13">
      <c r="A2967" s="1" t="s">
        <v>13007</v>
      </c>
      <c r="B2967" s="1" t="s">
        <v>13</v>
      </c>
      <c r="C2967" s="4" t="s">
        <v>13008</v>
      </c>
      <c r="D2967" s="1" t="s">
        <v>13009</v>
      </c>
      <c r="E2967" s="1" t="s">
        <v>13010</v>
      </c>
      <c r="F2967" s="4" t="s">
        <v>17</v>
      </c>
      <c r="G2967" s="1" t="s">
        <v>18</v>
      </c>
      <c r="H2967" s="1" t="s">
        <v>19</v>
      </c>
      <c r="I2967" s="1" t="s">
        <v>20</v>
      </c>
      <c r="J2967" s="1" t="s">
        <v>13011</v>
      </c>
      <c r="K2967" s="1" t="s">
        <v>22</v>
      </c>
      <c r="L2967" s="1" t="str">
        <f>HYPERLINK("https://files.afu.se/Downloads/Transcripts/0%20-%20Government/USA%20-%20NASA%20Johnson/2012 03 21 - NASA Johnson - ISS Update  ISS Flight Director Royce Renfrew Talks Station  Stuff _axKe--vxJUc - transcript (automated).pdf","Transcript Link")</f>
        <v>Transcript Link</v>
      </c>
      <c r="M2967" s="2" t="str">
        <f>HYPERLINK("https://files.afu.se/Downloads/Transcripts/0%20-%20Government/USA%20-%20NASA%20Johnson/2012 03 21 - NASA Johnson - ISS Update  ISS Flight Director Royce Renfrew Talks Station  Stuff _axKe--vxJUc - transcript (automated).pdf","Transcript Link")</f>
        <v>Transcript Link</v>
      </c>
    </row>
    <row r="2968" ht="180" spans="1:13">
      <c r="A2968" s="1" t="s">
        <v>13007</v>
      </c>
      <c r="B2968" s="1" t="s">
        <v>13</v>
      </c>
      <c r="C2968" s="4" t="s">
        <v>13012</v>
      </c>
      <c r="D2968" s="1" t="s">
        <v>13013</v>
      </c>
      <c r="E2968" s="1" t="s">
        <v>13014</v>
      </c>
      <c r="F2968" s="4" t="s">
        <v>17</v>
      </c>
      <c r="G2968" s="1" t="s">
        <v>18</v>
      </c>
      <c r="H2968" s="1" t="s">
        <v>19</v>
      </c>
      <c r="I2968" s="1" t="s">
        <v>20</v>
      </c>
      <c r="J2968" s="1" t="s">
        <v>13015</v>
      </c>
      <c r="K2968" s="1" t="s">
        <v>22</v>
      </c>
      <c r="L2968" s="1" t="str">
        <f>HYPERLINK("https://files.afu.se/Downloads/Transcripts/0%20-%20Government/USA%20-%20NASA%20Johnson/2012 03 21 - NASA Johnson - ISS Update  ATV-3 Overview From Eric Van der Wal_L_q9p0GfFdo - transcript (automated).pdf","Transcript Link")</f>
        <v>Transcript Link</v>
      </c>
      <c r="M2968" s="2" t="str">
        <f>HYPERLINK("https://files.afu.se/Downloads/Transcripts/0%20-%20Government/USA%20-%20NASA%20Johnson/2012 03 21 - NASA Johnson - ISS Update  ATV-3 Overview From Eric Van der Wal_L_q9p0GfFdo - transcript (automated).pdf","Transcript Link")</f>
        <v>Transcript Link</v>
      </c>
    </row>
    <row r="2969" ht="180" spans="1:13">
      <c r="A2969" s="1" t="s">
        <v>13007</v>
      </c>
      <c r="B2969" s="1" t="s">
        <v>13</v>
      </c>
      <c r="C2969" s="4" t="s">
        <v>13016</v>
      </c>
      <c r="D2969" s="1" t="s">
        <v>13017</v>
      </c>
      <c r="E2969" s="1" t="s">
        <v>13018</v>
      </c>
      <c r="F2969" s="4" t="s">
        <v>17</v>
      </c>
      <c r="G2969" s="1" t="s">
        <v>18</v>
      </c>
      <c r="H2969" s="1" t="s">
        <v>19</v>
      </c>
      <c r="I2969" s="1" t="s">
        <v>20</v>
      </c>
      <c r="J2969" s="1" t="s">
        <v>13019</v>
      </c>
      <c r="K2969" s="1" t="s">
        <v>22</v>
      </c>
      <c r="L2969" s="1" t="str">
        <f>HYPERLINK("https://files.afu.se/Downloads/Transcripts/0%20-%20Government/USA%20-%20NASA%20Johnson/2012 03 21 - NASA Johnson - ISS Update - March 21, 2012_u_tGYxoWuYY - transcript (automated).pdf","Transcript Link")</f>
        <v>Transcript Link</v>
      </c>
      <c r="M2969" s="2" t="str">
        <f>HYPERLINK("https://files.afu.se/Downloads/Transcripts/0%20-%20Government/USA%20-%20NASA%20Johnson/2012 03 21 - NASA Johnson - ISS Update - March 21, 2012_u_tGYxoWuYY - transcript (automated).pdf","Transcript Link")</f>
        <v>Transcript Link</v>
      </c>
    </row>
    <row r="2970" ht="180" spans="1:13">
      <c r="A2970" s="1" t="s">
        <v>13020</v>
      </c>
      <c r="B2970" s="1" t="s">
        <v>13</v>
      </c>
      <c r="C2970" s="4" t="s">
        <v>13021</v>
      </c>
      <c r="D2970" s="1" t="s">
        <v>13022</v>
      </c>
      <c r="E2970" s="1" t="s">
        <v>13023</v>
      </c>
      <c r="F2970" s="4" t="s">
        <v>17</v>
      </c>
      <c r="G2970" s="1" t="s">
        <v>18</v>
      </c>
      <c r="H2970" s="1" t="s">
        <v>19</v>
      </c>
      <c r="I2970" s="1" t="s">
        <v>20</v>
      </c>
      <c r="J2970" s="1" t="s">
        <v>13024</v>
      </c>
      <c r="K2970" s="1" t="s">
        <v>22</v>
      </c>
      <c r="L2970" s="1" t="str">
        <f>HYPERLINK("https://files.afu.se/Downloads/Transcripts/0%20-%20Government/USA%20-%20NASA%20Johnson/2012 03 20 - NASA Johnson - ISS Update  ATV-3 Launch and Operations_MmuiPBFPsfg - transcript (automated).pdf","Transcript Link")</f>
        <v>Transcript Link</v>
      </c>
      <c r="M2970" s="2" t="str">
        <f>HYPERLINK("https://files.afu.se/Downloads/Transcripts/0%20-%20Government/USA%20-%20NASA%20Johnson/2012 03 20 - NASA Johnson - ISS Update  ATV-3 Launch and Operations_MmuiPBFPsfg - transcript (automated).pdf","Transcript Link")</f>
        <v>Transcript Link</v>
      </c>
    </row>
    <row r="2971" ht="180" spans="1:13">
      <c r="A2971" s="1" t="s">
        <v>13020</v>
      </c>
      <c r="B2971" s="1" t="s">
        <v>13</v>
      </c>
      <c r="C2971" s="4" t="s">
        <v>13025</v>
      </c>
      <c r="D2971" s="1" t="s">
        <v>13026</v>
      </c>
      <c r="E2971" s="1" t="s">
        <v>13027</v>
      </c>
      <c r="F2971" s="4" t="s">
        <v>17</v>
      </c>
      <c r="G2971" s="1" t="s">
        <v>18</v>
      </c>
      <c r="H2971" s="1" t="s">
        <v>19</v>
      </c>
      <c r="I2971" s="1" t="s">
        <v>20</v>
      </c>
      <c r="J2971" s="1" t="s">
        <v>13028</v>
      </c>
      <c r="K2971" s="1" t="s">
        <v>22</v>
      </c>
      <c r="L2971" s="1" t="str">
        <f>HYPERLINK("https://files.afu.se/Downloads/Transcripts/0%20-%20Government/USA%20-%20NASA%20Johnson/2012 03 20 - NASA Johnson - ISS Update  Robonaut Glove Test (Part 1)_ZpuBY0NR3Lw - transcript (automated).pdf","Transcript Link")</f>
        <v>Transcript Link</v>
      </c>
      <c r="M2971" s="2" t="str">
        <f>HYPERLINK("https://files.afu.se/Downloads/Transcripts/0%20-%20Government/USA%20-%20NASA%20Johnson/2012 03 20 - NASA Johnson - ISS Update  Robonaut Glove Test (Part 1)_ZpuBY0NR3Lw - transcript (automated).pdf","Transcript Link")</f>
        <v>Transcript Link</v>
      </c>
    </row>
    <row r="2972" ht="180" spans="1:13">
      <c r="A2972" s="1" t="s">
        <v>13020</v>
      </c>
      <c r="B2972" s="1" t="s">
        <v>13</v>
      </c>
      <c r="C2972" s="4" t="s">
        <v>13029</v>
      </c>
      <c r="D2972" s="1" t="s">
        <v>13030</v>
      </c>
      <c r="E2972" s="1" t="s">
        <v>13031</v>
      </c>
      <c r="F2972" s="4" t="s">
        <v>17</v>
      </c>
      <c r="G2972" s="1" t="s">
        <v>18</v>
      </c>
      <c r="H2972" s="1" t="s">
        <v>19</v>
      </c>
      <c r="I2972" s="1" t="s">
        <v>20</v>
      </c>
      <c r="J2972" s="1" t="s">
        <v>13032</v>
      </c>
      <c r="K2972" s="1" t="s">
        <v>22</v>
      </c>
      <c r="L2972" s="1" t="str">
        <f>HYPERLINK("https://files.afu.se/Downloads/Transcripts/0%20-%20Government/USA%20-%20NASA%20Johnson/2012 03 20 - NASA Johnson - ISS Update  Boeing Commercial Crew Space Act Agreement Status_uYaOcxgCRW8 - transcript (automated).pdf","Transcript Link")</f>
        <v>Transcript Link</v>
      </c>
      <c r="M2972" s="2" t="str">
        <f>HYPERLINK("https://files.afu.se/Downloads/Transcripts/0%20-%20Government/USA%20-%20NASA%20Johnson/2012 03 20 - NASA Johnson - ISS Update  Boeing Commercial Crew Space Act Agreement Status_uYaOcxgCRW8 - transcript (automated).pdf","Transcript Link")</f>
        <v>Transcript Link</v>
      </c>
    </row>
    <row r="2973" ht="180" spans="1:13">
      <c r="A2973" s="1" t="s">
        <v>13020</v>
      </c>
      <c r="B2973" s="1" t="s">
        <v>13</v>
      </c>
      <c r="C2973" s="4" t="s">
        <v>13033</v>
      </c>
      <c r="D2973" s="1" t="s">
        <v>13034</v>
      </c>
      <c r="E2973" s="1" t="s">
        <v>13035</v>
      </c>
      <c r="F2973" s="4" t="s">
        <v>17</v>
      </c>
      <c r="G2973" s="1" t="s">
        <v>18</v>
      </c>
      <c r="H2973" s="1" t="s">
        <v>19</v>
      </c>
      <c r="I2973" s="1" t="s">
        <v>20</v>
      </c>
      <c r="J2973" s="1" t="s">
        <v>13036</v>
      </c>
      <c r="K2973" s="1" t="s">
        <v>22</v>
      </c>
      <c r="L2973" s="1" t="str">
        <f>HYPERLINK("https://files.afu.se/Downloads/Transcripts/0%20-%20Government/USA%20-%20NASA%20Johnson/2012 03 20 - NASA Johnson - ISS Update  ATK Space Act Agreement Status_ObHj0QcJZFo - transcript (automated).pdf","Transcript Link")</f>
        <v>Transcript Link</v>
      </c>
      <c r="M2973" s="2" t="str">
        <f>HYPERLINK("https://files.afu.se/Downloads/Transcripts/0%20-%20Government/USA%20-%20NASA%20Johnson/2012 03 20 - NASA Johnson - ISS Update  ATK Space Act Agreement Status_ObHj0QcJZFo - transcript (automated).pdf","Transcript Link")</f>
        <v>Transcript Link</v>
      </c>
    </row>
    <row r="2974" ht="180" spans="1:13">
      <c r="A2974" s="1" t="s">
        <v>13020</v>
      </c>
      <c r="B2974" s="1" t="s">
        <v>13</v>
      </c>
      <c r="C2974" s="4" t="s">
        <v>13037</v>
      </c>
      <c r="D2974" s="1" t="s">
        <v>13038</v>
      </c>
      <c r="E2974" s="1" t="s">
        <v>13039</v>
      </c>
      <c r="F2974" s="4" t="s">
        <v>17</v>
      </c>
      <c r="G2974" s="1" t="s">
        <v>18</v>
      </c>
      <c r="H2974" s="1" t="s">
        <v>19</v>
      </c>
      <c r="I2974" s="1" t="s">
        <v>20</v>
      </c>
      <c r="J2974" s="1" t="s">
        <v>13040</v>
      </c>
      <c r="K2974" s="1" t="s">
        <v>22</v>
      </c>
      <c r="L2974" s="1" t="str">
        <f>HYPERLINK("https://files.afu.se/Downloads/Transcripts/0%20-%20Government/USA%20-%20NASA%20Johnson/2012 03 20 - NASA Johnson - ISS Update  Sierra Nevada Corp. Space Act Agreement Status_ObXf1aMwZGQ - transcript (automated).pdf","Transcript Link")</f>
        <v>Transcript Link</v>
      </c>
      <c r="M2974" s="2" t="str">
        <f>HYPERLINK("https://files.afu.se/Downloads/Transcripts/0%20-%20Government/USA%20-%20NASA%20Johnson/2012 03 20 - NASA Johnson - ISS Update  Sierra Nevada Corp. Space Act Agreement Status_ObXf1aMwZGQ - transcript (automated).pdf","Transcript Link")</f>
        <v>Transcript Link</v>
      </c>
    </row>
    <row r="2975" ht="180" spans="1:13">
      <c r="A2975" s="1" t="s">
        <v>13020</v>
      </c>
      <c r="B2975" s="1" t="s">
        <v>13</v>
      </c>
      <c r="C2975" s="4" t="s">
        <v>13041</v>
      </c>
      <c r="D2975" s="1" t="s">
        <v>13042</v>
      </c>
      <c r="E2975" s="1" t="s">
        <v>13043</v>
      </c>
      <c r="F2975" s="4" t="s">
        <v>17</v>
      </c>
      <c r="G2975" s="1" t="s">
        <v>18</v>
      </c>
      <c r="H2975" s="1" t="s">
        <v>19</v>
      </c>
      <c r="I2975" s="1" t="s">
        <v>20</v>
      </c>
      <c r="J2975" s="1" t="s">
        <v>13044</v>
      </c>
      <c r="K2975" s="1" t="s">
        <v>22</v>
      </c>
      <c r="L2975" s="1" t="str">
        <f>HYPERLINK("https://files.afu.se/Downloads/Transcripts/0%20-%20Government/USA%20-%20NASA%20Johnson/2012 03 20 - NASA Johnson - ISS Update  United Launch Alliance Space Act Agreement Status_66YcK7vjD0E - transcript (automated).pdf","Transcript Link")</f>
        <v>Transcript Link</v>
      </c>
      <c r="M2975" s="2" t="str">
        <f>HYPERLINK("https://files.afu.se/Downloads/Transcripts/0%20-%20Government/USA%20-%20NASA%20Johnson/2012 03 20 - NASA Johnson - ISS Update  United Launch Alliance Space Act Agreement Status_66YcK7vjD0E - transcript (automated).pdf","Transcript Link")</f>
        <v>Transcript Link</v>
      </c>
    </row>
    <row r="2976" ht="180" spans="1:13">
      <c r="A2976" s="1" t="s">
        <v>13020</v>
      </c>
      <c r="B2976" s="1" t="s">
        <v>13</v>
      </c>
      <c r="C2976" s="4" t="s">
        <v>13045</v>
      </c>
      <c r="D2976" s="1" t="s">
        <v>13046</v>
      </c>
      <c r="E2976" s="1" t="s">
        <v>13047</v>
      </c>
      <c r="F2976" s="4" t="s">
        <v>17</v>
      </c>
      <c r="G2976" s="1" t="s">
        <v>18</v>
      </c>
      <c r="H2976" s="1" t="s">
        <v>19</v>
      </c>
      <c r="I2976" s="1" t="s">
        <v>20</v>
      </c>
      <c r="J2976" s="1" t="s">
        <v>13048</v>
      </c>
      <c r="K2976" s="1" t="s">
        <v>22</v>
      </c>
      <c r="L2976" s="1" t="str">
        <f>HYPERLINK("https://files.afu.se/Downloads/Transcripts/0%20-%20Government/USA%20-%20NASA%20Johnson/2012 03 20 - NASA Johnson - ISS Update - March 20, 2012_zezha14MNWg - transcript (automated).pdf","Transcript Link")</f>
        <v>Transcript Link</v>
      </c>
      <c r="M2976" s="2" t="str">
        <f>HYPERLINK("https://files.afu.se/Downloads/Transcripts/0%20-%20Government/USA%20-%20NASA%20Johnson/2012 03 20 - NASA Johnson - ISS Update - March 20, 2012_zezha14MNWg - transcript (automated).pdf","Transcript Link")</f>
        <v>Transcript Link</v>
      </c>
    </row>
    <row r="2977" ht="180" spans="1:13">
      <c r="A2977" s="1" t="s">
        <v>13049</v>
      </c>
      <c r="B2977" s="1" t="s">
        <v>13</v>
      </c>
      <c r="C2977" s="4" t="s">
        <v>13050</v>
      </c>
      <c r="D2977" s="1" t="s">
        <v>13051</v>
      </c>
      <c r="E2977" s="1" t="s">
        <v>13052</v>
      </c>
      <c r="F2977" s="4" t="s">
        <v>17</v>
      </c>
      <c r="G2977" s="1" t="s">
        <v>18</v>
      </c>
      <c r="H2977" s="1" t="s">
        <v>19</v>
      </c>
      <c r="I2977" s="1" t="s">
        <v>20</v>
      </c>
      <c r="J2977" s="1" t="s">
        <v>13053</v>
      </c>
      <c r="K2977" s="1" t="s">
        <v>22</v>
      </c>
      <c r="L2977" s="1" t="str">
        <f>HYPERLINK("https://files.afu.se/Downloads/Transcripts/0%20-%20Government/USA%20-%20NASA%20Johnson/2012 03 19 - NASA Johnson - ISS Update - March 19, 2012_uDjjUaeqZtw - transcript (automated).pdf","Transcript Link")</f>
        <v>Transcript Link</v>
      </c>
      <c r="M2977" s="2" t="str">
        <f>HYPERLINK("https://files.afu.se/Downloads/Transcripts/0%20-%20Government/USA%20-%20NASA%20Johnson/2012 03 19 - NASA Johnson - ISS Update - March 19, 2012_uDjjUaeqZtw - transcript (automated).pdf","Transcript Link")</f>
        <v>Transcript Link</v>
      </c>
    </row>
    <row r="2978" ht="180" spans="1:13">
      <c r="A2978" s="1" t="s">
        <v>13054</v>
      </c>
      <c r="B2978" s="1" t="s">
        <v>13</v>
      </c>
      <c r="C2978" s="4" t="s">
        <v>13055</v>
      </c>
      <c r="D2978" s="1" t="s">
        <v>13056</v>
      </c>
      <c r="E2978" s="1" t="s">
        <v>13057</v>
      </c>
      <c r="F2978" s="4" t="s">
        <v>17</v>
      </c>
      <c r="G2978" s="1" t="s">
        <v>18</v>
      </c>
      <c r="H2978" s="1" t="s">
        <v>19</v>
      </c>
      <c r="I2978" s="1" t="s">
        <v>20</v>
      </c>
      <c r="J2978" s="1" t="s">
        <v>13058</v>
      </c>
      <c r="K2978" s="1" t="s">
        <v>22</v>
      </c>
      <c r="L2978" s="1" t="str">
        <f>HYPERLINK("https://files.afu.se/Downloads/Transcripts/0%20-%20Government/USA%20-%20NASA%20Johnson/2012 03 16 - NASA Johnson - Morpheus Tether Test %239_l6x3JlSQViE - transcript (automated).pdf","Transcript Link")</f>
        <v>Transcript Link</v>
      </c>
      <c r="M2978" s="2" t="str">
        <f>HYPERLINK("https://files.afu.se/Downloads/Transcripts/0%20-%20Government/USA%20-%20NASA%20Johnson/2012 03 16 - NASA Johnson - Morpheus Tether Test %239_l6x3JlSQViE - transcript (automated).pdf","Transcript Link")</f>
        <v>Transcript Link</v>
      </c>
    </row>
    <row r="2979" ht="180" spans="1:13">
      <c r="A2979" s="1" t="s">
        <v>13054</v>
      </c>
      <c r="B2979" s="1" t="s">
        <v>13</v>
      </c>
      <c r="C2979" s="4" t="s">
        <v>13059</v>
      </c>
      <c r="D2979" s="1" t="s">
        <v>13060</v>
      </c>
      <c r="E2979" s="1" t="s">
        <v>13061</v>
      </c>
      <c r="F2979" s="4" t="s">
        <v>17</v>
      </c>
      <c r="G2979" s="1" t="s">
        <v>18</v>
      </c>
      <c r="H2979" s="1" t="s">
        <v>19</v>
      </c>
      <c r="I2979" s="1" t="s">
        <v>20</v>
      </c>
      <c r="J2979" s="1" t="s">
        <v>13062</v>
      </c>
      <c r="K2979" s="1" t="s">
        <v>22</v>
      </c>
      <c r="L2979" s="1" t="str">
        <f>HYPERLINK("https://files.afu.se/Downloads/Transcripts/0%20-%20Government/USA%20-%20NASA%20Johnson/2012 03 16 - NASA Johnson - Weekly ISS Recap - March 12-March 16, 2012_arNkaEhEuWk - transcript (automated).pdf","Transcript Link")</f>
        <v>Transcript Link</v>
      </c>
      <c r="M2979" s="2" t="str">
        <f>HYPERLINK("https://files.afu.se/Downloads/Transcripts/0%20-%20Government/USA%20-%20NASA%20Johnson/2012 03 16 - NASA Johnson - Weekly ISS Recap - March 12-March 16, 2012_arNkaEhEuWk - transcript (automated).pdf","Transcript Link")</f>
        <v>Transcript Link</v>
      </c>
    </row>
    <row r="2980" ht="180" spans="1:13">
      <c r="A2980" s="1" t="s">
        <v>13054</v>
      </c>
      <c r="B2980" s="1" t="s">
        <v>13</v>
      </c>
      <c r="C2980" s="4" t="s">
        <v>13063</v>
      </c>
      <c r="D2980" s="1" t="s">
        <v>13064</v>
      </c>
      <c r="E2980" s="1" t="s">
        <v>13065</v>
      </c>
      <c r="F2980" s="4" t="s">
        <v>17</v>
      </c>
      <c r="G2980" s="1" t="s">
        <v>18</v>
      </c>
      <c r="H2980" s="1" t="s">
        <v>19</v>
      </c>
      <c r="I2980" s="1" t="s">
        <v>20</v>
      </c>
      <c r="J2980" s="1" t="s">
        <v>13066</v>
      </c>
      <c r="K2980" s="1" t="s">
        <v>22</v>
      </c>
      <c r="L2980" s="1" t="str">
        <f>HYPERLINK("https://files.afu.se/Downloads/Transcripts/0%20-%20Government/USA%20-%20NASA%20Johnson/2012 03 16 - NASA Johnson - ISS Update  Blue Origin Space Act Agreement Status_5GjiDj5nffA - transcript (automated).pdf","Transcript Link")</f>
        <v>Transcript Link</v>
      </c>
      <c r="M2980" s="2" t="str">
        <f>HYPERLINK("https://files.afu.se/Downloads/Transcripts/0%20-%20Government/USA%20-%20NASA%20Johnson/2012 03 16 - NASA Johnson - ISS Update  Blue Origin Space Act Agreement Status_5GjiDj5nffA - transcript (automated).pdf","Transcript Link")</f>
        <v>Transcript Link</v>
      </c>
    </row>
    <row r="2981" ht="180" spans="1:13">
      <c r="A2981" s="1" t="s">
        <v>13067</v>
      </c>
      <c r="B2981" s="1" t="s">
        <v>13</v>
      </c>
      <c r="C2981" s="4" t="s">
        <v>13068</v>
      </c>
      <c r="D2981" s="1" t="s">
        <v>13069</v>
      </c>
      <c r="E2981" s="1" t="s">
        <v>13070</v>
      </c>
      <c r="F2981" s="4" t="s">
        <v>17</v>
      </c>
      <c r="G2981" s="1" t="s">
        <v>18</v>
      </c>
      <c r="H2981" s="1" t="s">
        <v>19</v>
      </c>
      <c r="I2981" s="1" t="s">
        <v>20</v>
      </c>
      <c r="J2981" s="1" t="s">
        <v>13071</v>
      </c>
      <c r="K2981" s="1" t="s">
        <v>22</v>
      </c>
      <c r="L2981" s="1" t="str">
        <f>HYPERLINK("https://files.afu.se/Downloads/Transcripts/0%20-%20Government/USA%20-%20NASA%20Johnson/2012 03 15 - NASA Johnson - Robonaut 2 ISS Operations Overview_RpAUuOCmMO0 - transcript (automated).pdf","Transcript Link")</f>
        <v>Transcript Link</v>
      </c>
      <c r="M2981" s="2" t="str">
        <f>HYPERLINK("https://files.afu.se/Downloads/Transcripts/0%20-%20Government/USA%20-%20NASA%20Johnson/2012 03 15 - NASA Johnson - Robonaut 2 ISS Operations Overview_RpAUuOCmMO0 - transcript (automated).pdf","Transcript Link")</f>
        <v>Transcript Link</v>
      </c>
    </row>
    <row r="2982" ht="180" spans="1:13">
      <c r="A2982" s="1" t="s">
        <v>13067</v>
      </c>
      <c r="B2982" s="1" t="s">
        <v>13</v>
      </c>
      <c r="C2982" s="4" t="s">
        <v>13072</v>
      </c>
      <c r="D2982" s="1" t="s">
        <v>13073</v>
      </c>
      <c r="E2982" s="1" t="s">
        <v>13074</v>
      </c>
      <c r="F2982" s="4" t="s">
        <v>17</v>
      </c>
      <c r="G2982" s="1" t="s">
        <v>18</v>
      </c>
      <c r="H2982" s="1" t="s">
        <v>19</v>
      </c>
      <c r="I2982" s="1" t="s">
        <v>20</v>
      </c>
      <c r="J2982" s="1" t="s">
        <v>13075</v>
      </c>
      <c r="K2982" s="1" t="s">
        <v>22</v>
      </c>
      <c r="L2982" s="1" t="str">
        <f>HYPERLINK("https://files.afu.se/Downloads/Transcripts/0%20-%20Government/USA%20-%20NASA%20Johnson/2012 03 15 - NASA Johnson - Morpheus Tethered Test %238 -- March 13, 2012_C1HikbcO9aY - transcript (automated).pdf","Transcript Link")</f>
        <v>Transcript Link</v>
      </c>
      <c r="M2982" s="2" t="str">
        <f>HYPERLINK("https://files.afu.se/Downloads/Transcripts/0%20-%20Government/USA%20-%20NASA%20Johnson/2012 03 15 - NASA Johnson - Morpheus Tethered Test %238 -- March 13, 2012_C1HikbcO9aY - transcript (automated).pdf","Transcript Link")</f>
        <v>Transcript Link</v>
      </c>
    </row>
    <row r="2983" ht="180" spans="1:13">
      <c r="A2983" s="1" t="s">
        <v>13067</v>
      </c>
      <c r="B2983" s="1" t="s">
        <v>13</v>
      </c>
      <c r="C2983" s="4" t="s">
        <v>13076</v>
      </c>
      <c r="D2983" s="1" t="s">
        <v>13077</v>
      </c>
      <c r="E2983" s="1" t="s">
        <v>13078</v>
      </c>
      <c r="F2983" s="4" t="s">
        <v>17</v>
      </c>
      <c r="G2983" s="1" t="s">
        <v>18</v>
      </c>
      <c r="H2983" s="1" t="s">
        <v>19</v>
      </c>
      <c r="I2983" s="1" t="s">
        <v>20</v>
      </c>
      <c r="J2983" s="1" t="s">
        <v>13079</v>
      </c>
      <c r="K2983" s="1" t="s">
        <v>22</v>
      </c>
      <c r="L2983" s="1" t="str">
        <f>HYPERLINK("https://files.afu.se/Downloads/Transcripts/0%20-%20Government/USA%20-%20NASA%20Johnson/2012 03 15 - NASA Johnson - ISS Update - March 14, 2012_e2VRE_0nWo8 - transcript (automated).pdf","Transcript Link")</f>
        <v>Transcript Link</v>
      </c>
      <c r="M2983" s="2" t="str">
        <f>HYPERLINK("https://files.afu.se/Downloads/Transcripts/0%20-%20Government/USA%20-%20NASA%20Johnson/2012 03 15 - NASA Johnson - ISS Update - March 14, 2012_e2VRE_0nWo8 - transcript (automated).pdf","Transcript Link")</f>
        <v>Transcript Link</v>
      </c>
    </row>
    <row r="2984" ht="180" spans="1:13">
      <c r="A2984" s="1" t="s">
        <v>13067</v>
      </c>
      <c r="B2984" s="1" t="s">
        <v>13</v>
      </c>
      <c r="C2984" s="4" t="s">
        <v>13080</v>
      </c>
      <c r="D2984" s="1" t="s">
        <v>13081</v>
      </c>
      <c r="E2984" s="1" t="s">
        <v>13082</v>
      </c>
      <c r="F2984" s="4" t="s">
        <v>17</v>
      </c>
      <c r="G2984" s="1" t="s">
        <v>18</v>
      </c>
      <c r="H2984" s="1" t="s">
        <v>19</v>
      </c>
      <c r="I2984" s="1" t="s">
        <v>20</v>
      </c>
      <c r="J2984" s="1" t="s">
        <v>13083</v>
      </c>
      <c r="K2984" s="1" t="s">
        <v>22</v>
      </c>
      <c r="L2984" s="1" t="str">
        <f>HYPERLINK("https://files.afu.se/Downloads/Transcripts/0%20-%20Government/USA%20-%20NASA%20Johnson/2012 03 15 - NASA Johnson - Students Speak With Jeff Chancellor, Radiation Scientist, NSBRI_U00oAvnVp0M - transcript (automated).pdf","Transcript Link")</f>
        <v>Transcript Link</v>
      </c>
      <c r="M2984" s="2" t="str">
        <f>HYPERLINK("https://files.afu.se/Downloads/Transcripts/0%20-%20Government/USA%20-%20NASA%20Johnson/2012 03 15 - NASA Johnson - Students Speak With Jeff Chancellor, Radiation Scientist, NSBRI_U00oAvnVp0M - transcript (automated).pdf","Transcript Link")</f>
        <v>Transcript Link</v>
      </c>
    </row>
    <row r="2985" ht="180" spans="1:13">
      <c r="A2985" s="1" t="s">
        <v>13067</v>
      </c>
      <c r="B2985" s="1" t="s">
        <v>13</v>
      </c>
      <c r="C2985" s="4" t="s">
        <v>13084</v>
      </c>
      <c r="D2985" s="1" t="s">
        <v>13085</v>
      </c>
      <c r="E2985" s="1" t="s">
        <v>13086</v>
      </c>
      <c r="F2985" s="4" t="s">
        <v>17</v>
      </c>
      <c r="G2985" s="1" t="s">
        <v>18</v>
      </c>
      <c r="H2985" s="1" t="s">
        <v>19</v>
      </c>
      <c r="I2985" s="1" t="s">
        <v>20</v>
      </c>
      <c r="J2985" s="1" t="s">
        <v>13087</v>
      </c>
      <c r="K2985" s="1" t="s">
        <v>22</v>
      </c>
      <c r="L2985" s="1" t="str">
        <f>HYPERLINK("https://files.afu.se/Downloads/Transcripts/0%20-%20Government/USA%20-%20NASA%20Johnson/2012 03 15 - NASA Johnson - ISS Update - March 15, 2012_JRDEF7dE_K0 - transcript (automated).pdf","Transcript Link")</f>
        <v>Transcript Link</v>
      </c>
      <c r="M2985" s="2" t="str">
        <f>HYPERLINK("https://files.afu.se/Downloads/Transcripts/0%20-%20Government/USA%20-%20NASA%20Johnson/2012 03 15 - NASA Johnson - ISS Update - March 15, 2012_JRDEF7dE_K0 - transcript (automated).pdf","Transcript Link")</f>
        <v>Transcript Link</v>
      </c>
    </row>
    <row r="2986" ht="180" spans="1:13">
      <c r="A2986" s="1" t="s">
        <v>13088</v>
      </c>
      <c r="B2986" s="1" t="s">
        <v>13</v>
      </c>
      <c r="C2986" s="4" t="s">
        <v>13089</v>
      </c>
      <c r="D2986" s="1" t="s">
        <v>13090</v>
      </c>
      <c r="E2986" s="1" t="s">
        <v>13091</v>
      </c>
      <c r="F2986" s="4" t="s">
        <v>17</v>
      </c>
      <c r="G2986" s="1" t="s">
        <v>18</v>
      </c>
      <c r="H2986" s="1" t="s">
        <v>19</v>
      </c>
      <c r="I2986" s="1" t="s">
        <v>20</v>
      </c>
      <c r="J2986" s="1" t="s">
        <v>13092</v>
      </c>
      <c r="K2986" s="1" t="s">
        <v>22</v>
      </c>
      <c r="L2986" s="1" t="str">
        <f>HYPERLINK("https://files.afu.se/Downloads/Transcripts/0%20-%20Government/USA%20-%20NASA%20Johnson/2012 03 14 - NASA Johnson - Orion  Exploration Flight Test-1 Animation (with narration by Jay Estes)_rVuOlpImsSQ - transcript (automated).pdf","Transcript Link")</f>
        <v>Transcript Link</v>
      </c>
      <c r="M2986" s="2" t="str">
        <f>HYPERLINK("https://files.afu.se/Downloads/Transcripts/0%20-%20Government/USA%20-%20NASA%20Johnson/2012 03 14 - NASA Johnson - Orion  Exploration Flight Test-1 Animation (with narration by Jay Estes)_rVuOlpImsSQ - transcript (automated).pdf","Transcript Link")</f>
        <v>Transcript Link</v>
      </c>
    </row>
    <row r="2987" ht="180" spans="1:13">
      <c r="A2987" s="1" t="s">
        <v>13088</v>
      </c>
      <c r="B2987" s="1" t="s">
        <v>13</v>
      </c>
      <c r="C2987" s="4" t="s">
        <v>13093</v>
      </c>
      <c r="D2987" s="1" t="s">
        <v>13094</v>
      </c>
      <c r="E2987" s="1" t="s">
        <v>13095</v>
      </c>
      <c r="F2987" s="4" t="s">
        <v>17</v>
      </c>
      <c r="G2987" s="1" t="s">
        <v>18</v>
      </c>
      <c r="H2987" s="1" t="s">
        <v>19</v>
      </c>
      <c r="I2987" s="1" t="s">
        <v>20</v>
      </c>
      <c r="J2987" s="1" t="s">
        <v>13096</v>
      </c>
      <c r="K2987" s="1" t="s">
        <v>22</v>
      </c>
      <c r="L2987" s="1" t="str">
        <f>HYPERLINK("https://files.afu.se/Downloads/Transcripts/0%20-%20Government/USA%20-%20NASA%20Johnson/2012 03 14 - NASA Johnson - ISS Update  Excalibur Almaz Inc. Space Act Agreement Status_exm2YAP8r4g - transcript (automated).pdf","Transcript Link")</f>
        <v>Transcript Link</v>
      </c>
      <c r="M2987" s="2" t="str">
        <f>HYPERLINK("https://files.afu.se/Downloads/Transcripts/0%20-%20Government/USA%20-%20NASA%20Johnson/2012 03 14 - NASA Johnson - ISS Update  Excalibur Almaz Inc. Space Act Agreement Status_exm2YAP8r4g - transcript (automated).pdf","Transcript Link")</f>
        <v>Transcript Link</v>
      </c>
    </row>
    <row r="2988" ht="180" spans="1:13">
      <c r="A2988" s="1" t="s">
        <v>13088</v>
      </c>
      <c r="B2988" s="1" t="s">
        <v>13</v>
      </c>
      <c r="C2988" s="4" t="s">
        <v>13097</v>
      </c>
      <c r="D2988" s="1" t="s">
        <v>13098</v>
      </c>
      <c r="E2988" s="1" t="s">
        <v>13099</v>
      </c>
      <c r="F2988" s="4" t="s">
        <v>17</v>
      </c>
      <c r="G2988" s="1" t="s">
        <v>18</v>
      </c>
      <c r="H2988" s="1" t="s">
        <v>19</v>
      </c>
      <c r="I2988" s="1" t="s">
        <v>20</v>
      </c>
      <c r="J2988" s="1" t="s">
        <v>13100</v>
      </c>
      <c r="K2988" s="1" t="s">
        <v>22</v>
      </c>
      <c r="L2988" s="1" t="str">
        <f>HYPERLINK("https://files.afu.se/Downloads/Transcripts/0%20-%20Government/USA%20-%20NASA%20Johnson/2012 03 14 - NASA Johnson - Brad Jones on Commercial Crew Program Partner Integration_c1kxPclgMgo - transcript (automated).pdf","Transcript Link")</f>
        <v>Transcript Link</v>
      </c>
      <c r="M2988" s="2" t="str">
        <f>HYPERLINK("https://files.afu.se/Downloads/Transcripts/0%20-%20Government/USA%20-%20NASA%20Johnson/2012 03 14 - NASA Johnson - Brad Jones on Commercial Crew Program Partner Integration_c1kxPclgMgo - transcript (automated).pdf","Transcript Link")</f>
        <v>Transcript Link</v>
      </c>
    </row>
    <row r="2989" ht="180" spans="1:13">
      <c r="A2989" s="1" t="s">
        <v>13101</v>
      </c>
      <c r="B2989" s="1" t="s">
        <v>13</v>
      </c>
      <c r="C2989" s="4" t="s">
        <v>13102</v>
      </c>
      <c r="D2989" s="1" t="s">
        <v>13103</v>
      </c>
      <c r="E2989" s="1" t="s">
        <v>13104</v>
      </c>
      <c r="F2989" s="4" t="s">
        <v>17</v>
      </c>
      <c r="G2989" s="1" t="s">
        <v>18</v>
      </c>
      <c r="H2989" s="1" t="s">
        <v>19</v>
      </c>
      <c r="I2989" s="1" t="s">
        <v>20</v>
      </c>
      <c r="J2989" s="1" t="s">
        <v>13105</v>
      </c>
      <c r="K2989" s="1" t="s">
        <v>22</v>
      </c>
      <c r="L2989" s="1" t="str">
        <f>HYPERLINK("https://files.afu.se/Downloads/Transcripts/0%20-%20Government/USA%20-%20NASA%20Johnson/2012 03 13 - NASA Johnson - Robonaut 2 Speaks Sign Language_iDeMOJSt0xI - transcript (automated).pdf","Transcript Link")</f>
        <v>Transcript Link</v>
      </c>
      <c r="M2989" s="2" t="str">
        <f>HYPERLINK("https://files.afu.se/Downloads/Transcripts/0%20-%20Government/USA%20-%20NASA%20Johnson/2012 03 13 - NASA Johnson - Robonaut 2 Speaks Sign Language_iDeMOJSt0xI - transcript (automated).pdf","Transcript Link")</f>
        <v>Transcript Link</v>
      </c>
    </row>
    <row r="2990" ht="180" spans="1:13">
      <c r="A2990" s="1" t="s">
        <v>13101</v>
      </c>
      <c r="B2990" s="1" t="s">
        <v>13</v>
      </c>
      <c r="C2990" s="4" t="s">
        <v>13106</v>
      </c>
      <c r="D2990" s="1" t="s">
        <v>13107</v>
      </c>
      <c r="E2990" s="1" t="s">
        <v>13108</v>
      </c>
      <c r="F2990" s="4" t="s">
        <v>17</v>
      </c>
      <c r="G2990" s="1" t="s">
        <v>18</v>
      </c>
      <c r="H2990" s="1" t="s">
        <v>19</v>
      </c>
      <c r="I2990" s="1" t="s">
        <v>20</v>
      </c>
      <c r="J2990" s="1" t="s">
        <v>13109</v>
      </c>
      <c r="K2990" s="1" t="s">
        <v>22</v>
      </c>
      <c r="L2990" s="1" t="str">
        <f>HYPERLINK("https://files.afu.se/Downloads/Transcripts/0%20-%20Government/USA%20-%20NASA%20Johnson/2012 03 13 - NASA Johnson - Interview with Ed Mango, Commercial Crew Program Manager_730yoTrzFpc - transcript (automated).pdf","Transcript Link")</f>
        <v>Transcript Link</v>
      </c>
      <c r="M2990" s="2" t="str">
        <f>HYPERLINK("https://files.afu.se/Downloads/Transcripts/0%20-%20Government/USA%20-%20NASA%20Johnson/2012 03 13 - NASA Johnson - Interview with Ed Mango, Commercial Crew Program Manager_730yoTrzFpc - transcript (automated).pdf","Transcript Link")</f>
        <v>Transcript Link</v>
      </c>
    </row>
    <row r="2991" ht="180" spans="1:13">
      <c r="A2991" s="1" t="s">
        <v>13101</v>
      </c>
      <c r="B2991" s="1" t="s">
        <v>13</v>
      </c>
      <c r="C2991" s="4" t="s">
        <v>13110</v>
      </c>
      <c r="D2991" s="1" t="s">
        <v>13111</v>
      </c>
      <c r="E2991" s="1" t="s">
        <v>13112</v>
      </c>
      <c r="F2991" s="4" t="s">
        <v>17</v>
      </c>
      <c r="G2991" s="1" t="s">
        <v>18</v>
      </c>
      <c r="H2991" s="1" t="s">
        <v>19</v>
      </c>
      <c r="I2991" s="1" t="s">
        <v>20</v>
      </c>
      <c r="J2991" s="1" t="s">
        <v>13113</v>
      </c>
      <c r="K2991" s="1" t="s">
        <v>22</v>
      </c>
      <c r="L2991" s="1" t="str">
        <f>HYPERLINK("https://files.afu.se/Downloads/Transcripts/0%20-%20Government/USA%20-%20NASA%20Johnson/2012 03 13 - NASA Johnson - ISS Update - March 13, 2012_yx8Xv6sj1u8 - transcript (automated).pdf","Transcript Link")</f>
        <v>Transcript Link</v>
      </c>
      <c r="M2991" s="2" t="str">
        <f>HYPERLINK("https://files.afu.se/Downloads/Transcripts/0%20-%20Government/USA%20-%20NASA%20Johnson/2012 03 13 - NASA Johnson - ISS Update - March 13, 2012_yx8Xv6sj1u8 - transcript (automated).pdf","Transcript Link")</f>
        <v>Transcript Link</v>
      </c>
    </row>
    <row r="2992" ht="180" spans="1:13">
      <c r="A2992" s="1" t="s">
        <v>13101</v>
      </c>
      <c r="B2992" s="1" t="s">
        <v>13</v>
      </c>
      <c r="C2992" s="4" t="s">
        <v>13114</v>
      </c>
      <c r="D2992" s="1" t="s">
        <v>13115</v>
      </c>
      <c r="E2992" s="1" t="s">
        <v>13116</v>
      </c>
      <c r="F2992" s="4" t="s">
        <v>17</v>
      </c>
      <c r="G2992" s="1" t="s">
        <v>18</v>
      </c>
      <c r="H2992" s="1" t="s">
        <v>19</v>
      </c>
      <c r="I2992" s="1" t="s">
        <v>20</v>
      </c>
      <c r="J2992" s="1" t="s">
        <v>13117</v>
      </c>
      <c r="K2992" s="1" t="s">
        <v>22</v>
      </c>
      <c r="L2992" s="1" t="str">
        <f>HYPERLINK("https://files.afu.se/Downloads/Transcripts/0%20-%20Government/USA%20-%20NASA%20Johnson/2012 03 13 - NASA Johnson - ISS Update - March 12, 2012_smKA4K8iz80 - transcript (automated).pdf","Transcript Link")</f>
        <v>Transcript Link</v>
      </c>
      <c r="M2992" s="2" t="str">
        <f>HYPERLINK("https://files.afu.se/Downloads/Transcripts/0%20-%20Government/USA%20-%20NASA%20Johnson/2012 03 13 - NASA Johnson - ISS Update - March 12, 2012_smKA4K8iz80 - transcript (automated).pdf","Transcript Link")</f>
        <v>Transcript Link</v>
      </c>
    </row>
    <row r="2993" ht="180" spans="1:13">
      <c r="A2993" s="1" t="s">
        <v>13118</v>
      </c>
      <c r="B2993" s="1" t="s">
        <v>13</v>
      </c>
      <c r="C2993" s="4" t="s">
        <v>13119</v>
      </c>
      <c r="D2993" s="1" t="s">
        <v>13120</v>
      </c>
      <c r="E2993" s="1" t="s">
        <v>13121</v>
      </c>
      <c r="F2993" s="4" t="s">
        <v>17</v>
      </c>
      <c r="G2993" s="1" t="s">
        <v>18</v>
      </c>
      <c r="H2993" s="1" t="s">
        <v>19</v>
      </c>
      <c r="I2993" s="1" t="s">
        <v>20</v>
      </c>
      <c r="J2993" s="1" t="s">
        <v>13122</v>
      </c>
      <c r="K2993" s="1" t="s">
        <v>22</v>
      </c>
      <c r="L2993" s="1" t="str">
        <f>HYPERLINK("https://files.afu.se/Downloads/Transcripts/0%20-%20Government/USA%20-%20NASA%20Johnson/2012 03 12 - NASA Johnson - Update on Discovery Transition from Kevin Templin (2 2)_HLXz1h0Uukg - transcript (automated).pdf","Transcript Link")</f>
        <v>Transcript Link</v>
      </c>
      <c r="M2993" s="2" t="str">
        <f>HYPERLINK("https://files.afu.se/Downloads/Transcripts/0%20-%20Government/USA%20-%20NASA%20Johnson/2012 03 12 - NASA Johnson - Update on Discovery Transition from Kevin Templin (2 2)_HLXz1h0Uukg - transcript (automated).pdf","Transcript Link")</f>
        <v>Transcript Link</v>
      </c>
    </row>
    <row r="2994" ht="180" spans="1:13">
      <c r="A2994" s="1" t="s">
        <v>13118</v>
      </c>
      <c r="B2994" s="1" t="s">
        <v>13</v>
      </c>
      <c r="C2994" s="4" t="s">
        <v>13123</v>
      </c>
      <c r="D2994" s="1" t="s">
        <v>13124</v>
      </c>
      <c r="E2994" s="1" t="s">
        <v>13125</v>
      </c>
      <c r="F2994" s="4" t="s">
        <v>17</v>
      </c>
      <c r="G2994" s="1" t="s">
        <v>18</v>
      </c>
      <c r="H2994" s="1" t="s">
        <v>19</v>
      </c>
      <c r="I2994" s="1" t="s">
        <v>20</v>
      </c>
      <c r="J2994" s="1" t="s">
        <v>13126</v>
      </c>
      <c r="K2994" s="1" t="s">
        <v>22</v>
      </c>
      <c r="L2994" s="1" t="str">
        <f>HYPERLINK("https://files.afu.se/Downloads/Transcripts/0%20-%20Government/USA%20-%20NASA%20Johnson/2012 03 12 - NASA Johnson - Update on Discovery Transition from Kevin Templin (1 2)__tpZmPlAaOo - transcript (automated).pdf","Transcript Link")</f>
        <v>Transcript Link</v>
      </c>
      <c r="M2994" s="2" t="str">
        <f>HYPERLINK("https://files.afu.se/Downloads/Transcripts/0%20-%20Government/USA%20-%20NASA%20Johnson/2012 03 12 - NASA Johnson - Update on Discovery Transition from Kevin Templin (1 2)__tpZmPlAaOo - transcript (automated).pdf","Transcript Link")</f>
        <v>Transcript Link</v>
      </c>
    </row>
    <row r="2995" ht="180" spans="1:13">
      <c r="A2995" s="1" t="s">
        <v>13127</v>
      </c>
      <c r="B2995" s="1" t="s">
        <v>13</v>
      </c>
      <c r="C2995" s="4" t="s">
        <v>13128</v>
      </c>
      <c r="D2995" s="1" t="s">
        <v>13129</v>
      </c>
      <c r="E2995" s="1" t="s">
        <v>13130</v>
      </c>
      <c r="F2995" s="4" t="s">
        <v>17</v>
      </c>
      <c r="G2995" s="1" t="s">
        <v>18</v>
      </c>
      <c r="H2995" s="1" t="s">
        <v>19</v>
      </c>
      <c r="I2995" s="1" t="s">
        <v>20</v>
      </c>
      <c r="J2995" s="1" t="s">
        <v>13131</v>
      </c>
      <c r="K2995" s="1" t="s">
        <v>22</v>
      </c>
      <c r="L2995" s="1" t="str">
        <f>HYPERLINK("https://files.afu.se/Downloads/Transcripts/0%20-%20Government/USA%20-%20NASA%20Johnson/2012 03 09 - NASA Johnson - Weekly ISS Recap - March 5-March 9, 2012_8kfL-tyeFhA - transcript (automated).pdf","Transcript Link")</f>
        <v>Transcript Link</v>
      </c>
      <c r="M2995" s="2" t="str">
        <f>HYPERLINK("https://files.afu.se/Downloads/Transcripts/0%20-%20Government/USA%20-%20NASA%20Johnson/2012 03 09 - NASA Johnson - Weekly ISS Recap - March 5-March 9, 2012_8kfL-tyeFhA - transcript (automated).pdf","Transcript Link")</f>
        <v>Transcript Link</v>
      </c>
    </row>
    <row r="2996" ht="180" spans="1:13">
      <c r="A2996" s="1" t="s">
        <v>13127</v>
      </c>
      <c r="B2996" s="1" t="s">
        <v>13</v>
      </c>
      <c r="C2996" s="4" t="s">
        <v>13132</v>
      </c>
      <c r="D2996" s="1" t="s">
        <v>13133</v>
      </c>
      <c r="E2996" s="1" t="s">
        <v>13134</v>
      </c>
      <c r="F2996" s="4" t="s">
        <v>17</v>
      </c>
      <c r="G2996" s="1" t="s">
        <v>18</v>
      </c>
      <c r="H2996" s="1" t="s">
        <v>19</v>
      </c>
      <c r="I2996" s="1" t="s">
        <v>20</v>
      </c>
      <c r="J2996" s="1" t="s">
        <v>13135</v>
      </c>
      <c r="K2996" s="1" t="s">
        <v>22</v>
      </c>
      <c r="L2996" s="1" t="str">
        <f>HYPERLINK("https://files.afu.se/Downloads/Transcripts/0%20-%20Government/USA%20-%20NASA%20Johnson/2012 03 09 - NASA Johnson - Interview with Ken Bollweg, VASMIR Project Manager_fwxuO_Zpme8 - transcript (automated).pdf","Transcript Link")</f>
        <v>Transcript Link</v>
      </c>
      <c r="M2996" s="2" t="str">
        <f>HYPERLINK("https://files.afu.se/Downloads/Transcripts/0%20-%20Government/USA%20-%20NASA%20Johnson/2012 03 09 - NASA Johnson - Interview with Ken Bollweg, VASMIR Project Manager_fwxuO_Zpme8 - transcript (automated).pdf","Transcript Link")</f>
        <v>Transcript Link</v>
      </c>
    </row>
    <row r="2997" ht="180" spans="1:13">
      <c r="A2997" s="1" t="s">
        <v>13136</v>
      </c>
      <c r="B2997" s="1" t="s">
        <v>13</v>
      </c>
      <c r="C2997" s="4" t="s">
        <v>13137</v>
      </c>
      <c r="D2997" s="1" t="s">
        <v>13138</v>
      </c>
      <c r="E2997" s="1" t="s">
        <v>13139</v>
      </c>
      <c r="F2997" s="4" t="s">
        <v>17</v>
      </c>
      <c r="G2997" s="1" t="s">
        <v>18</v>
      </c>
      <c r="H2997" s="1" t="s">
        <v>19</v>
      </c>
      <c r="I2997" s="1" t="s">
        <v>20</v>
      </c>
      <c r="J2997" s="1" t="s">
        <v>13140</v>
      </c>
      <c r="K2997" s="1" t="s">
        <v>22</v>
      </c>
      <c r="L2997" s="1" t="str">
        <f>HYPERLINK("https://files.afu.se/Downloads/Transcripts/0%20-%20Government/USA%20-%20NASA%20Johnson/2012 03 08 - NASA Johnson - Interview With Steven Platts, Lead Scientist, Cardiovascular Research_jEl25QSruSs - transcript (automated).pdf","Transcript Link")</f>
        <v>Transcript Link</v>
      </c>
      <c r="M2997" s="2" t="str">
        <f>HYPERLINK("https://files.afu.se/Downloads/Transcripts/0%20-%20Government/USA%20-%20NASA%20Johnson/2012 03 08 - NASA Johnson - Interview With Steven Platts, Lead Scientist, Cardiovascular Research_jEl25QSruSs - transcript (automated).pdf","Transcript Link")</f>
        <v>Transcript Link</v>
      </c>
    </row>
    <row r="2998" ht="180" spans="1:13">
      <c r="A2998" s="1" t="s">
        <v>13136</v>
      </c>
      <c r="B2998" s="1" t="s">
        <v>13</v>
      </c>
      <c r="C2998" s="4" t="s">
        <v>13141</v>
      </c>
      <c r="D2998" s="1" t="s">
        <v>13142</v>
      </c>
      <c r="E2998" s="1" t="s">
        <v>13143</v>
      </c>
      <c r="F2998" s="4" t="s">
        <v>17</v>
      </c>
      <c r="G2998" s="1" t="s">
        <v>18</v>
      </c>
      <c r="H2998" s="1" t="s">
        <v>19</v>
      </c>
      <c r="I2998" s="1" t="s">
        <v>20</v>
      </c>
      <c r="J2998" s="1" t="s">
        <v>13144</v>
      </c>
      <c r="K2998" s="1" t="s">
        <v>22</v>
      </c>
      <c r="L2998" s="1" t="str">
        <f>HYPERLINK("https://files.afu.se/Downloads/Transcripts/0%20-%20Government/USA%20-%20NASA%20Johnson/2012 03 08 - NASA Johnson - Interview With Stuart Lee, Lead Scientist, Cardiovascular Lab_kDIDNHgfkNc - transcript (automated).pdf","Transcript Link")</f>
        <v>Transcript Link</v>
      </c>
      <c r="M2998" s="2" t="str">
        <f>HYPERLINK("https://files.afu.se/Downloads/Transcripts/0%20-%20Government/USA%20-%20NASA%20Johnson/2012 03 08 - NASA Johnson - Interview With Stuart Lee, Lead Scientist, Cardiovascular Lab_kDIDNHgfkNc - transcript (automated).pdf","Transcript Link")</f>
        <v>Transcript Link</v>
      </c>
    </row>
    <row r="2999" ht="180" spans="1:13">
      <c r="A2999" s="1" t="s">
        <v>13136</v>
      </c>
      <c r="B2999" s="1" t="s">
        <v>13</v>
      </c>
      <c r="C2999" s="4" t="s">
        <v>13145</v>
      </c>
      <c r="D2999" s="1" t="s">
        <v>13146</v>
      </c>
      <c r="E2999" s="1" t="s">
        <v>13147</v>
      </c>
      <c r="F2999" s="4" t="s">
        <v>17</v>
      </c>
      <c r="G2999" s="1" t="s">
        <v>18</v>
      </c>
      <c r="H2999" s="1" t="s">
        <v>19</v>
      </c>
      <c r="I2999" s="1" t="s">
        <v>20</v>
      </c>
      <c r="J2999" s="1" t="s">
        <v>13148</v>
      </c>
      <c r="K2999" s="1" t="s">
        <v>22</v>
      </c>
      <c r="L2999" s="1" t="str">
        <f>HYPERLINK("https://files.afu.se/Downloads/Transcripts/0%20-%20Government/USA%20-%20NASA%20Johnson/2012 03 08 - NASA Johnson - ISS Update - March 8, 2012_ZD0ODZnPivc - transcript (automated).pdf","Transcript Link")</f>
        <v>Transcript Link</v>
      </c>
      <c r="M2999" s="2" t="str">
        <f>HYPERLINK("https://files.afu.se/Downloads/Transcripts/0%20-%20Government/USA%20-%20NASA%20Johnson/2012 03 08 - NASA Johnson - ISS Update - March 8, 2012_ZD0ODZnPivc - transcript (automated).pdf","Transcript Link")</f>
        <v>Transcript Link</v>
      </c>
    </row>
    <row r="3000" ht="180" spans="1:13">
      <c r="A3000" s="1" t="s">
        <v>13136</v>
      </c>
      <c r="B3000" s="1" t="s">
        <v>13</v>
      </c>
      <c r="C3000" s="4" t="s">
        <v>13149</v>
      </c>
      <c r="D3000" s="1" t="s">
        <v>13150</v>
      </c>
      <c r="E3000" s="1" t="s">
        <v>12951</v>
      </c>
      <c r="F3000" s="4" t="s">
        <v>17</v>
      </c>
      <c r="G3000" s="1" t="s">
        <v>18</v>
      </c>
      <c r="H3000" s="1" t="s">
        <v>19</v>
      </c>
      <c r="I3000" s="1" t="s">
        <v>20</v>
      </c>
      <c r="J3000" s="1" t="s">
        <v>13151</v>
      </c>
      <c r="K3000" s="1" t="s">
        <v>22</v>
      </c>
      <c r="L3000" s="1" t="str">
        <f>HYPERLINK("https://files.afu.se/Downloads/Transcripts/0%20-%20Government/USA%20-%20NASA%20Johnson/2012 03 08 - NASA Johnson - Science off the Sphere  Thin Film Physics_Uddz-3RwA_Y - transcript (automated).pdf","Transcript Link")</f>
        <v>Transcript Link</v>
      </c>
      <c r="M3000" s="2" t="str">
        <f>HYPERLINK("https://files.afu.se/Downloads/Transcripts/0%20-%20Government/USA%20-%20NASA%20Johnson/2012 03 08 - NASA Johnson - Science off the Sphere  Thin Film Physics_Uddz-3RwA_Y - transcript (automated).pdf","Transcript Link")</f>
        <v>Transcript Link</v>
      </c>
    </row>
    <row r="3001" ht="180" spans="1:13">
      <c r="A3001" s="1" t="s">
        <v>13152</v>
      </c>
      <c r="B3001" s="1" t="s">
        <v>13</v>
      </c>
      <c r="C3001" s="4" t="s">
        <v>13153</v>
      </c>
      <c r="D3001" s="1" t="s">
        <v>13154</v>
      </c>
      <c r="E3001" s="1" t="s">
        <v>13155</v>
      </c>
      <c r="F3001" s="4" t="s">
        <v>17</v>
      </c>
      <c r="G3001" s="1" t="s">
        <v>18</v>
      </c>
      <c r="H3001" s="1" t="s">
        <v>19</v>
      </c>
      <c r="I3001" s="1" t="s">
        <v>20</v>
      </c>
      <c r="J3001" s="1" t="s">
        <v>13156</v>
      </c>
      <c r="K3001" s="1" t="s">
        <v>22</v>
      </c>
      <c r="L3001" s="1" t="str">
        <f>HYPERLINK("https://files.afu.se/Downloads/Transcripts/0%20-%20Government/USA%20-%20NASA%20Johnson/2012 03 07 - NASA Johnson - Station Residents Speak with San Jose Students_YvF6grBY3D4 - transcript (automated).pdf","Transcript Link")</f>
        <v>Transcript Link</v>
      </c>
      <c r="M3001" s="2" t="str">
        <f>HYPERLINK("https://files.afu.se/Downloads/Transcripts/0%20-%20Government/USA%20-%20NASA%20Johnson/2012 03 07 - NASA Johnson - Station Residents Speak with San Jose Students_YvF6grBY3D4 - transcript (automated).pdf","Transcript Link")</f>
        <v>Transcript Link</v>
      </c>
    </row>
    <row r="3002" ht="180" spans="1:13">
      <c r="A3002" s="1" t="s">
        <v>13152</v>
      </c>
      <c r="B3002" s="1" t="s">
        <v>13</v>
      </c>
      <c r="C3002" s="4" t="s">
        <v>13157</v>
      </c>
      <c r="D3002" s="1" t="s">
        <v>13158</v>
      </c>
      <c r="E3002" s="1" t="s">
        <v>13159</v>
      </c>
      <c r="F3002" s="4" t="s">
        <v>17</v>
      </c>
      <c r="G3002" s="1" t="s">
        <v>18</v>
      </c>
      <c r="H3002" s="1" t="s">
        <v>19</v>
      </c>
      <c r="I3002" s="1" t="s">
        <v>20</v>
      </c>
      <c r="J3002" s="1" t="s">
        <v>13160</v>
      </c>
      <c r="K3002" s="1" t="s">
        <v>22</v>
      </c>
      <c r="L3002" s="1" t="str">
        <f>HYPERLINK("https://files.afu.se/Downloads/Transcripts/0%20-%20Government/USA%20-%20NASA%20Johnson/2012 03 07 - NASA Johnson - Interview With Alex Janas, Goddard Robot Operator_uQA-K9MyQ3A - transcript (automated).pdf","Transcript Link")</f>
        <v>Transcript Link</v>
      </c>
      <c r="M3002" s="2" t="str">
        <f>HYPERLINK("https://files.afu.se/Downloads/Transcripts/0%20-%20Government/USA%20-%20NASA%20Johnson/2012 03 07 - NASA Johnson - Interview With Alex Janas, Goddard Robot Operator_uQA-K9MyQ3A - transcript (automated).pdf","Transcript Link")</f>
        <v>Transcript Link</v>
      </c>
    </row>
    <row r="3003" ht="180" spans="1:13">
      <c r="A3003" s="1" t="s">
        <v>13161</v>
      </c>
      <c r="B3003" s="1" t="s">
        <v>13</v>
      </c>
      <c r="C3003" s="4" t="s">
        <v>13162</v>
      </c>
      <c r="D3003" s="1" t="s">
        <v>13163</v>
      </c>
      <c r="E3003" s="1" t="s">
        <v>13164</v>
      </c>
      <c r="F3003" s="4" t="s">
        <v>17</v>
      </c>
      <c r="G3003" s="1" t="s">
        <v>18</v>
      </c>
      <c r="H3003" s="1" t="s">
        <v>19</v>
      </c>
      <c r="I3003" s="1" t="s">
        <v>20</v>
      </c>
      <c r="J3003" s="1" t="s">
        <v>13165</v>
      </c>
      <c r="K3003" s="1" t="s">
        <v>22</v>
      </c>
      <c r="L3003" s="1" t="str">
        <f>HYPERLINK("https://files.afu.se/Downloads/Transcripts/0%20-%20Government/USA%20-%20NASA%20Johnson/2012 03 06 - NASA Johnson - ISS Update - March 6, 2012_A70ci9rY9pc - transcript (automated).pdf","Transcript Link")</f>
        <v>Transcript Link</v>
      </c>
      <c r="M3003" s="2" t="str">
        <f>HYPERLINK("https://files.afu.se/Downloads/Transcripts/0%20-%20Government/USA%20-%20NASA%20Johnson/2012 03 06 - NASA Johnson - ISS Update - March 6, 2012_A70ci9rY9pc - transcript (automated).pdf","Transcript Link")</f>
        <v>Transcript Link</v>
      </c>
    </row>
    <row r="3004" ht="180" spans="1:13">
      <c r="A3004" s="1" t="s">
        <v>13161</v>
      </c>
      <c r="B3004" s="1" t="s">
        <v>13</v>
      </c>
      <c r="C3004" s="4" t="s">
        <v>13166</v>
      </c>
      <c r="D3004" s="1" t="s">
        <v>13167</v>
      </c>
      <c r="E3004" s="1" t="s">
        <v>13168</v>
      </c>
      <c r="F3004" s="4" t="s">
        <v>17</v>
      </c>
      <c r="G3004" s="1" t="s">
        <v>18</v>
      </c>
      <c r="H3004" s="1" t="s">
        <v>19</v>
      </c>
      <c r="I3004" s="1" t="s">
        <v>20</v>
      </c>
      <c r="J3004" s="1" t="s">
        <v>13169</v>
      </c>
      <c r="K3004" s="1" t="s">
        <v>22</v>
      </c>
      <c r="L3004" s="1" t="str">
        <f>HYPERLINK("https://files.afu.se/Downloads/Transcripts/0%20-%20Government/USA%20-%20NASA%20Johnson/2012 03 06 - NASA Johnson - Students Speak With Gary Cox, EPIC Project Manager_ByTWL5W6NLk - transcript (automated).pdf","Transcript Link")</f>
        <v>Transcript Link</v>
      </c>
      <c r="M3004" s="2" t="str">
        <f>HYPERLINK("https://files.afu.se/Downloads/Transcripts/0%20-%20Government/USA%20-%20NASA%20Johnson/2012 03 06 - NASA Johnson - Students Speak With Gary Cox, EPIC Project Manager_ByTWL5W6NLk - transcript (automated).pdf","Transcript Link")</f>
        <v>Transcript Link</v>
      </c>
    </row>
    <row r="3005" ht="180" spans="1:13">
      <c r="A3005" s="1" t="s">
        <v>13161</v>
      </c>
      <c r="B3005" s="1" t="s">
        <v>13</v>
      </c>
      <c r="C3005" s="4" t="s">
        <v>13170</v>
      </c>
      <c r="D3005" s="1" t="s">
        <v>13171</v>
      </c>
      <c r="E3005" s="1" t="s">
        <v>13172</v>
      </c>
      <c r="F3005" s="4" t="s">
        <v>17</v>
      </c>
      <c r="G3005" s="1" t="s">
        <v>18</v>
      </c>
      <c r="H3005" s="1" t="s">
        <v>19</v>
      </c>
      <c r="I3005" s="1" t="s">
        <v>20</v>
      </c>
      <c r="J3005" s="1" t="s">
        <v>13173</v>
      </c>
      <c r="K3005" s="1" t="s">
        <v>22</v>
      </c>
      <c r="L3005" s="1" t="str">
        <f>HYPERLINK("https://files.afu.se/Downloads/Transcripts/0%20-%20Government/USA%20-%20NASA%20Johnson/2012 03 06 - NASA Johnson - Students Speak With Tara Ruttley Assoc. ISS Program Scientist_dUyWHkE7qeU - transcript (automated).pdf","Transcript Link")</f>
        <v>Transcript Link</v>
      </c>
      <c r="M3005" s="2" t="str">
        <f>HYPERLINK("https://files.afu.se/Downloads/Transcripts/0%20-%20Government/USA%20-%20NASA%20Johnson/2012 03 06 - NASA Johnson - Students Speak With Tara Ruttley Assoc. ISS Program Scientist_dUyWHkE7qeU - transcript (automated).pdf","Transcript Link")</f>
        <v>Transcript Link</v>
      </c>
    </row>
    <row r="3006" ht="180" spans="1:13">
      <c r="A3006" s="1" t="s">
        <v>13174</v>
      </c>
      <c r="B3006" s="1" t="s">
        <v>13</v>
      </c>
      <c r="C3006" s="4" t="s">
        <v>13175</v>
      </c>
      <c r="D3006" s="1" t="s">
        <v>13176</v>
      </c>
      <c r="E3006" s="1" t="s">
        <v>13177</v>
      </c>
      <c r="F3006" s="4" t="s">
        <v>17</v>
      </c>
      <c r="G3006" s="1" t="s">
        <v>18</v>
      </c>
      <c r="H3006" s="1" t="s">
        <v>19</v>
      </c>
      <c r="I3006" s="1" t="s">
        <v>20</v>
      </c>
      <c r="J3006" s="1" t="s">
        <v>13178</v>
      </c>
      <c r="K3006" s="1" t="s">
        <v>22</v>
      </c>
      <c r="L3006" s="1" t="str">
        <f>HYPERLINK("https://files.afu.se/Downloads/Transcripts/0%20-%20Government/USA%20-%20NASA%20Johnson/2012 03 05 - NASA Johnson - ISS Update - March 5, 2012_tsCAsL5581Q - transcript (automated).pdf","Transcript Link")</f>
        <v>Transcript Link</v>
      </c>
      <c r="M3006" s="2" t="str">
        <f>HYPERLINK("https://files.afu.se/Downloads/Transcripts/0%20-%20Government/USA%20-%20NASA%20Johnson/2012 03 05 - NASA Johnson - ISS Update - March 5, 2012_tsCAsL5581Q - transcript (automated).pdf","Transcript Link")</f>
        <v>Transcript Link</v>
      </c>
    </row>
    <row r="3007" ht="180" spans="1:13">
      <c r="A3007" s="1" t="s">
        <v>13179</v>
      </c>
      <c r="B3007" s="1" t="s">
        <v>13</v>
      </c>
      <c r="C3007" s="4" t="s">
        <v>13180</v>
      </c>
      <c r="D3007" s="1" t="s">
        <v>13181</v>
      </c>
      <c r="E3007" s="1" t="s">
        <v>13182</v>
      </c>
      <c r="F3007" s="4" t="s">
        <v>17</v>
      </c>
      <c r="G3007" s="1" t="s">
        <v>18</v>
      </c>
      <c r="H3007" s="1" t="s">
        <v>19</v>
      </c>
      <c r="I3007" s="1" t="s">
        <v>20</v>
      </c>
      <c r="J3007" s="1" t="s">
        <v>13183</v>
      </c>
      <c r="K3007" s="1" t="s">
        <v>22</v>
      </c>
      <c r="L3007" s="1" t="str">
        <f>HYPERLINK("https://files.afu.se/Downloads/Transcripts/0%20-%20Government/USA%20-%20NASA%20Johnson/2012 03 02 - NASA Johnson - Weekly ISS Recap - Feb. 27 - March 2, 2012_MEH8GXXiZnE - transcript (automated).pdf","Transcript Link")</f>
        <v>Transcript Link</v>
      </c>
      <c r="M3007" s="2" t="str">
        <f>HYPERLINK("https://files.afu.se/Downloads/Transcripts/0%20-%20Government/USA%20-%20NASA%20Johnson/2012 03 02 - NASA Johnson - Weekly ISS Recap - Feb. 27 - March 2, 2012_MEH8GXXiZnE - transcript (automated).pdf","Transcript Link")</f>
        <v>Transcript Link</v>
      </c>
    </row>
    <row r="3008" ht="180" spans="1:13">
      <c r="A3008" s="1" t="s">
        <v>13179</v>
      </c>
      <c r="B3008" s="1" t="s">
        <v>13</v>
      </c>
      <c r="C3008" s="4" t="s">
        <v>13184</v>
      </c>
      <c r="D3008" s="1" t="s">
        <v>13185</v>
      </c>
      <c r="E3008" s="1" t="s">
        <v>13186</v>
      </c>
      <c r="F3008" s="4" t="s">
        <v>17</v>
      </c>
      <c r="G3008" s="1" t="s">
        <v>18</v>
      </c>
      <c r="H3008" s="1" t="s">
        <v>19</v>
      </c>
      <c r="I3008" s="1" t="s">
        <v>20</v>
      </c>
      <c r="J3008" s="1" t="s">
        <v>13187</v>
      </c>
      <c r="K3008" s="1" t="s">
        <v>22</v>
      </c>
      <c r="L3008" s="1" t="str">
        <f>HYPERLINK("https://files.afu.se/Downloads/Transcripts/0%20-%20Government/USA%20-%20NASA%20Johnson/2012 03 02 - NASA Johnson - Interview with Dr. Jean Sibonga, Bone Lead Human Research Program_bSyS73kwVEk - transcript (automated).pdf","Transcript Link")</f>
        <v>Transcript Link</v>
      </c>
      <c r="M3008" s="2" t="str">
        <f>HYPERLINK("https://files.afu.se/Downloads/Transcripts/0%20-%20Government/USA%20-%20NASA%20Johnson/2012 03 02 - NASA Johnson - Interview with Dr. Jean Sibonga, Bone Lead Human Research Program_bSyS73kwVEk - transcript (automated).pdf","Transcript Link")</f>
        <v>Transcript Link</v>
      </c>
    </row>
    <row r="3009" ht="180" spans="1:13">
      <c r="A3009" s="1" t="s">
        <v>13188</v>
      </c>
      <c r="B3009" s="1" t="s">
        <v>13</v>
      </c>
      <c r="C3009" s="4" t="s">
        <v>13189</v>
      </c>
      <c r="D3009" s="1" t="s">
        <v>13190</v>
      </c>
      <c r="E3009" s="1" t="s">
        <v>13191</v>
      </c>
      <c r="F3009" s="4" t="s">
        <v>17</v>
      </c>
      <c r="G3009" s="1" t="s">
        <v>18</v>
      </c>
      <c r="H3009" s="1" t="s">
        <v>19</v>
      </c>
      <c r="I3009" s="1" t="s">
        <v>20</v>
      </c>
      <c r="J3009" s="1" t="s">
        <v>13192</v>
      </c>
      <c r="K3009" s="1" t="s">
        <v>22</v>
      </c>
      <c r="L3009" s="1" t="str">
        <f>HYPERLINK("https://files.afu.se/Downloads/Transcripts/0%20-%20Government/USA%20-%20NASA%20Johnson/2012 03 01 - NASA Johnson - Interview with Gary Cox, EPIC Project Manager_gkEzvQEN70k - transcript (automated).pdf","Transcript Link")</f>
        <v>Transcript Link</v>
      </c>
      <c r="M3009" s="2" t="str">
        <f>HYPERLINK("https://files.afu.se/Downloads/Transcripts/0%20-%20Government/USA%20-%20NASA%20Johnson/2012 03 01 - NASA Johnson - Interview with Gary Cox, EPIC Project Manager_gkEzvQEN70k - transcript (automated).pdf","Transcript Link")</f>
        <v>Transcript Link</v>
      </c>
    </row>
    <row r="3010" ht="180" spans="1:13">
      <c r="A3010" s="1" t="s">
        <v>13188</v>
      </c>
      <c r="B3010" s="1" t="s">
        <v>13</v>
      </c>
      <c r="C3010" s="4" t="s">
        <v>13193</v>
      </c>
      <c r="D3010" s="1" t="s">
        <v>13194</v>
      </c>
      <c r="E3010" s="1" t="s">
        <v>13195</v>
      </c>
      <c r="F3010" s="4" t="s">
        <v>17</v>
      </c>
      <c r="G3010" s="1" t="s">
        <v>18</v>
      </c>
      <c r="H3010" s="1" t="s">
        <v>19</v>
      </c>
      <c r="I3010" s="1" t="s">
        <v>20</v>
      </c>
      <c r="J3010" s="1" t="s">
        <v>13196</v>
      </c>
      <c r="K3010" s="1" t="s">
        <v>22</v>
      </c>
      <c r="L3010" s="1" t="str">
        <f>HYPERLINK("https://files.afu.se/Downloads/Transcripts/0%20-%20Government/USA%20-%20NASA%20Johnson/2012 03 01 - NASA Johnson - ISS Update - March 1, 2012_lWE5BPy3NIQ - transcript (automated).pdf","Transcript Link")</f>
        <v>Transcript Link</v>
      </c>
      <c r="M3010" s="2" t="str">
        <f>HYPERLINK("https://files.afu.se/Downloads/Transcripts/0%20-%20Government/USA%20-%20NASA%20Johnson/2012 03 01 - NASA Johnson - ISS Update - March 1, 2012_lWE5BPy3NIQ - transcript (automated).pdf","Transcript Link")</f>
        <v>Transcript Link</v>
      </c>
    </row>
    <row r="3011" ht="180" spans="1:13">
      <c r="A3011" s="1" t="s">
        <v>13197</v>
      </c>
      <c r="B3011" s="1" t="s">
        <v>13</v>
      </c>
      <c r="C3011" s="4" t="s">
        <v>13198</v>
      </c>
      <c r="D3011" s="1" t="s">
        <v>13199</v>
      </c>
      <c r="E3011" s="1" t="s">
        <v>13200</v>
      </c>
      <c r="F3011" s="4" t="s">
        <v>17</v>
      </c>
      <c r="G3011" s="1" t="s">
        <v>18</v>
      </c>
      <c r="H3011" s="1" t="s">
        <v>19</v>
      </c>
      <c r="I3011" s="1" t="s">
        <v>20</v>
      </c>
      <c r="J3011" s="1" t="s">
        <v>13201</v>
      </c>
      <c r="K3011" s="1" t="s">
        <v>22</v>
      </c>
      <c r="L3011" s="1" t="str">
        <f>HYPERLINK("https://files.afu.se/Downloads/Transcripts/0%20-%20Government/USA%20-%20NASA%20Johnson/2012 02 29 - NASA Johnson - Interview with EarthKAM participants_za3999pxjI4 - transcript (automated).pdf","Transcript Link")</f>
        <v>Transcript Link</v>
      </c>
      <c r="M3011" s="2" t="str">
        <f>HYPERLINK("https://files.afu.se/Downloads/Transcripts/0%20-%20Government/USA%20-%20NASA%20Johnson/2012 02 29 - NASA Johnson - Interview with EarthKAM participants_za3999pxjI4 - transcript (automated).pdf","Transcript Link")</f>
        <v>Transcript Link</v>
      </c>
    </row>
    <row r="3012" ht="180" spans="1:13">
      <c r="A3012" s="1" t="s">
        <v>13197</v>
      </c>
      <c r="B3012" s="1" t="s">
        <v>13</v>
      </c>
      <c r="C3012" s="4" t="s">
        <v>13202</v>
      </c>
      <c r="D3012" s="1" t="s">
        <v>13203</v>
      </c>
      <c r="E3012" s="1" t="s">
        <v>13204</v>
      </c>
      <c r="F3012" s="4" t="s">
        <v>17</v>
      </c>
      <c r="G3012" s="1" t="s">
        <v>18</v>
      </c>
      <c r="H3012" s="1" t="s">
        <v>19</v>
      </c>
      <c r="I3012" s="1" t="s">
        <v>20</v>
      </c>
      <c r="J3012" s="1" t="s">
        <v>13205</v>
      </c>
      <c r="K3012" s="1" t="s">
        <v>22</v>
      </c>
      <c r="L3012" s="1" t="str">
        <f>HYPERLINK("https://files.afu.se/Downloads/Transcripts/0%20-%20Government/USA%20-%20NASA%20Johnson/2012 02 29 - NASA Johnson - Interview with Brion Au, EarthKAM payload developer_SdbFn9DOzRg - transcript (automated).pdf","Transcript Link")</f>
        <v>Transcript Link</v>
      </c>
      <c r="M3012" s="2" t="str">
        <f>HYPERLINK("https://files.afu.se/Downloads/Transcripts/0%20-%20Government/USA%20-%20NASA%20Johnson/2012 02 29 - NASA Johnson - Interview with Brion Au, EarthKAM payload developer_SdbFn9DOzRg - transcript (automated).pdf","Transcript Link")</f>
        <v>Transcript Link</v>
      </c>
    </row>
    <row r="3013" ht="180" spans="1:13">
      <c r="A3013" s="1" t="s">
        <v>13197</v>
      </c>
      <c r="B3013" s="1" t="s">
        <v>13</v>
      </c>
      <c r="C3013" s="4" t="s">
        <v>13206</v>
      </c>
      <c r="D3013" s="1" t="s">
        <v>13207</v>
      </c>
      <c r="E3013" s="1" t="s">
        <v>13208</v>
      </c>
      <c r="F3013" s="4" t="s">
        <v>17</v>
      </c>
      <c r="G3013" s="1" t="s">
        <v>18</v>
      </c>
      <c r="H3013" s="1" t="s">
        <v>19</v>
      </c>
      <c r="I3013" s="1" t="s">
        <v>20</v>
      </c>
      <c r="J3013" s="1" t="s">
        <v>13209</v>
      </c>
      <c r="K3013" s="1" t="s">
        <v>22</v>
      </c>
      <c r="L3013" s="1" t="str">
        <f>HYPERLINK("https://files.afu.se/Downloads/Transcripts/0%20-%20Government/USA%20-%20NASA%20Johnson/2012 02 29 - NASA Johnson - ISS Update - Feb. 29, 2012_DRf_QY_r82M - transcript (automated).pdf","Transcript Link")</f>
        <v>Transcript Link</v>
      </c>
      <c r="M3013" s="2" t="str">
        <f>HYPERLINK("https://files.afu.se/Downloads/Transcripts/0%20-%20Government/USA%20-%20NASA%20Johnson/2012 02 29 - NASA Johnson - ISS Update - Feb. 29, 2012_DRf_QY_r82M - transcript (automated).pdf","Transcript Link")</f>
        <v>Transcript Link</v>
      </c>
    </row>
    <row r="3014" ht="180" spans="1:13">
      <c r="A3014" s="1" t="s">
        <v>13197</v>
      </c>
      <c r="B3014" s="1" t="s">
        <v>13</v>
      </c>
      <c r="C3014" s="4" t="s">
        <v>13210</v>
      </c>
      <c r="D3014" s="1" t="s">
        <v>13211</v>
      </c>
      <c r="E3014" s="1" t="s">
        <v>13212</v>
      </c>
      <c r="F3014" s="4" t="s">
        <v>17</v>
      </c>
      <c r="G3014" s="1" t="s">
        <v>18</v>
      </c>
      <c r="H3014" s="1" t="s">
        <v>19</v>
      </c>
      <c r="I3014" s="1" t="s">
        <v>20</v>
      </c>
      <c r="J3014" s="1" t="s">
        <v>13213</v>
      </c>
      <c r="K3014" s="1" t="s">
        <v>22</v>
      </c>
      <c r="L3014" s="1" t="str">
        <f>HYPERLINK("https://files.afu.se/Downloads/Transcripts/0%20-%20Government/USA%20-%20NASA%20Johnson/2012 02 29 - NASA Johnson - We Are the Explorers_e7DEw70LVWs - transcript (automated).pdf","Transcript Link")</f>
        <v>Transcript Link</v>
      </c>
      <c r="M3014" s="2" t="str">
        <f>HYPERLINK("https://files.afu.se/Downloads/Transcripts/0%20-%20Government/USA%20-%20NASA%20Johnson/2012 02 29 - NASA Johnson - We Are the Explorers_e7DEw70LVWs - transcript (automated).pdf","Transcript Link")</f>
        <v>Transcript Link</v>
      </c>
    </row>
    <row r="3015" ht="180" spans="1:13">
      <c r="A3015" s="1" t="s">
        <v>13214</v>
      </c>
      <c r="B3015" s="1" t="s">
        <v>13</v>
      </c>
      <c r="C3015" s="4" t="s">
        <v>13215</v>
      </c>
      <c r="D3015" s="1" t="s">
        <v>13216</v>
      </c>
      <c r="E3015" s="1" t="s">
        <v>13217</v>
      </c>
      <c r="F3015" s="4" t="s">
        <v>17</v>
      </c>
      <c r="G3015" s="1" t="s">
        <v>18</v>
      </c>
      <c r="H3015" s="1" t="s">
        <v>19</v>
      </c>
      <c r="I3015" s="1" t="s">
        <v>20</v>
      </c>
      <c r="J3015" s="1" t="s">
        <v>13218</v>
      </c>
      <c r="K3015" s="1" t="s">
        <v>22</v>
      </c>
      <c r="L3015" s="1" t="str">
        <f>HYPERLINK("https://files.afu.se/Downloads/Transcripts/0%20-%20Government/USA%20-%20NASA%20Johnson/2012 02 28 - NASA Johnson - ISS Update - Feb. 28, 2012_o35D_6pcp90 - transcript (automated).pdf","Transcript Link")</f>
        <v>Transcript Link</v>
      </c>
      <c r="M3015" s="2" t="str">
        <f>HYPERLINK("https://files.afu.se/Downloads/Transcripts/0%20-%20Government/USA%20-%20NASA%20Johnson/2012 02 28 - NASA Johnson - ISS Update - Feb. 28, 2012_o35D_6pcp90 - transcript (automated).pdf","Transcript Link")</f>
        <v>Transcript Link</v>
      </c>
    </row>
    <row r="3016" ht="180" spans="1:13">
      <c r="A3016" s="1" t="s">
        <v>13219</v>
      </c>
      <c r="B3016" s="1" t="s">
        <v>13</v>
      </c>
      <c r="C3016" s="4" t="s">
        <v>13220</v>
      </c>
      <c r="D3016" s="1" t="s">
        <v>13221</v>
      </c>
      <c r="E3016" s="1" t="s">
        <v>13222</v>
      </c>
      <c r="F3016" s="4" t="s">
        <v>17</v>
      </c>
      <c r="G3016" s="1" t="s">
        <v>18</v>
      </c>
      <c r="H3016" s="1" t="s">
        <v>19</v>
      </c>
      <c r="I3016" s="1" t="s">
        <v>20</v>
      </c>
      <c r="J3016" s="1" t="s">
        <v>13223</v>
      </c>
      <c r="K3016" s="1" t="s">
        <v>22</v>
      </c>
      <c r="L3016" s="1" t="str">
        <f>HYPERLINK("https://files.afu.se/Downloads/Transcripts/0%20-%20Government/USA%20-%20NASA%20Johnson/2012 02 27 - NASA Johnson - Interview with Amy Ross, Spacesuit Engineer (Part 2)_MH93FSS8ZOQ - transcript (automated).pdf","Transcript Link")</f>
        <v>Transcript Link</v>
      </c>
      <c r="M3016" s="2" t="str">
        <f>HYPERLINK("https://files.afu.se/Downloads/Transcripts/0%20-%20Government/USA%20-%20NASA%20Johnson/2012 02 27 - NASA Johnson - Interview with Amy Ross, Spacesuit Engineer (Part 2)_MH93FSS8ZOQ - transcript (automated).pdf","Transcript Link")</f>
        <v>Transcript Link</v>
      </c>
    </row>
    <row r="3017" ht="180" spans="1:13">
      <c r="A3017" s="1" t="s">
        <v>13219</v>
      </c>
      <c r="B3017" s="1" t="s">
        <v>13</v>
      </c>
      <c r="C3017" s="4" t="s">
        <v>13224</v>
      </c>
      <c r="D3017" s="1" t="s">
        <v>13225</v>
      </c>
      <c r="E3017" s="1" t="s">
        <v>13222</v>
      </c>
      <c r="F3017" s="4" t="s">
        <v>17</v>
      </c>
      <c r="G3017" s="1" t="s">
        <v>18</v>
      </c>
      <c r="H3017" s="1" t="s">
        <v>19</v>
      </c>
      <c r="I3017" s="1" t="s">
        <v>20</v>
      </c>
      <c r="J3017" s="1" t="s">
        <v>13226</v>
      </c>
      <c r="K3017" s="1" t="s">
        <v>22</v>
      </c>
      <c r="L3017" s="1" t="str">
        <f>HYPERLINK("https://files.afu.se/Downloads/Transcripts/0%20-%20Government/USA%20-%20NASA%20Johnson/2012 02 27 - NASA Johnson - Interview with Amy Ross, Spacesuit Engineer (Part 1)_d__xlXqYFZc - transcript (automated).pdf","Transcript Link")</f>
        <v>Transcript Link</v>
      </c>
      <c r="M3017" s="2" t="str">
        <f>HYPERLINK("https://files.afu.se/Downloads/Transcripts/0%20-%20Government/USA%20-%20NASA%20Johnson/2012 02 27 - NASA Johnson - Interview with Amy Ross, Spacesuit Engineer (Part 1)_d__xlXqYFZc - transcript (automated).pdf","Transcript Link")</f>
        <v>Transcript Link</v>
      </c>
    </row>
    <row r="3018" ht="180" spans="1:13">
      <c r="A3018" s="1" t="s">
        <v>13219</v>
      </c>
      <c r="B3018" s="1" t="s">
        <v>13</v>
      </c>
      <c r="C3018" s="4" t="s">
        <v>13227</v>
      </c>
      <c r="D3018" s="1" t="s">
        <v>13228</v>
      </c>
      <c r="E3018" s="1" t="s">
        <v>13229</v>
      </c>
      <c r="F3018" s="4" t="s">
        <v>17</v>
      </c>
      <c r="G3018" s="1" t="s">
        <v>18</v>
      </c>
      <c r="H3018" s="1" t="s">
        <v>19</v>
      </c>
      <c r="I3018" s="1" t="s">
        <v>20</v>
      </c>
      <c r="J3018" s="1" t="s">
        <v>13230</v>
      </c>
      <c r="K3018" s="1" t="s">
        <v>22</v>
      </c>
      <c r="L3018" s="1" t="str">
        <f>HYPERLINK("https://files.afu.se/Downloads/Transcripts/0%20-%20Government/USA%20-%20NASA%20Johnson/2012 02 27 - NASA Johnson - ISS Update - Feb. 27, 2012_nOkUx7KG12I - transcript (automated).pdf","Transcript Link")</f>
        <v>Transcript Link</v>
      </c>
      <c r="M3018" s="2" t="str">
        <f>HYPERLINK("https://files.afu.se/Downloads/Transcripts/0%20-%20Government/USA%20-%20NASA%20Johnson/2012 02 27 - NASA Johnson - ISS Update - Feb. 27, 2012_nOkUx7KG12I - transcript (automated).pdf","Transcript Link")</f>
        <v>Transcript Link</v>
      </c>
    </row>
    <row r="3019" ht="180" spans="1:13">
      <c r="A3019" s="1" t="s">
        <v>13231</v>
      </c>
      <c r="B3019" s="1" t="s">
        <v>13</v>
      </c>
      <c r="C3019" s="4" t="s">
        <v>13232</v>
      </c>
      <c r="D3019" s="1" t="s">
        <v>13233</v>
      </c>
      <c r="E3019" s="1" t="s">
        <v>13234</v>
      </c>
      <c r="F3019" s="4" t="s">
        <v>17</v>
      </c>
      <c r="G3019" s="1" t="s">
        <v>18</v>
      </c>
      <c r="H3019" s="1" t="s">
        <v>19</v>
      </c>
      <c r="I3019" s="1" t="s">
        <v>20</v>
      </c>
      <c r="J3019" s="1" t="s">
        <v>13235</v>
      </c>
      <c r="K3019" s="1" t="s">
        <v>22</v>
      </c>
      <c r="L3019" s="1" t="str">
        <f>HYPERLINK("https://files.afu.se/Downloads/Transcripts/0%20-%20Government/USA%20-%20NASA%20Johnson/2012 02 24 - NASA Johnson - Science off the Sphere  Bistronauts_q1k9njdSVE0 - transcript (automated).pdf","Transcript Link")</f>
        <v>Transcript Link</v>
      </c>
      <c r="M3019" s="2" t="str">
        <f>HYPERLINK("https://files.afu.se/Downloads/Transcripts/0%20-%20Government/USA%20-%20NASA%20Johnson/2012 02 24 - NASA Johnson - Science off the Sphere  Bistronauts_q1k9njdSVE0 - transcript (automated).pdf","Transcript Link")</f>
        <v>Transcript Link</v>
      </c>
    </row>
    <row r="3020" ht="180" spans="1:13">
      <c r="A3020" s="1" t="s">
        <v>13231</v>
      </c>
      <c r="B3020" s="1" t="s">
        <v>13</v>
      </c>
      <c r="C3020" s="4" t="s">
        <v>13236</v>
      </c>
      <c r="D3020" s="1" t="s">
        <v>13237</v>
      </c>
      <c r="E3020" s="1" t="s">
        <v>13238</v>
      </c>
      <c r="F3020" s="4" t="s">
        <v>17</v>
      </c>
      <c r="G3020" s="1" t="s">
        <v>18</v>
      </c>
      <c r="H3020" s="1" t="s">
        <v>19</v>
      </c>
      <c r="I3020" s="1" t="s">
        <v>20</v>
      </c>
      <c r="J3020" s="1" t="s">
        <v>13239</v>
      </c>
      <c r="K3020" s="1" t="s">
        <v>22</v>
      </c>
      <c r="L3020" s="1" t="str">
        <f>HYPERLINK("https://files.afu.se/Downloads/Transcripts/0%20-%20Government/USA%20-%20NASA%20Johnson/2012 02 24 - NASA Johnson - Interview with Trent Martin, AMS Project Manager_q6Hrz2xXi6s - transcript (automated).pdf","Transcript Link")</f>
        <v>Transcript Link</v>
      </c>
      <c r="M3020" s="2" t="str">
        <f>HYPERLINK("https://files.afu.se/Downloads/Transcripts/0%20-%20Government/USA%20-%20NASA%20Johnson/2012 02 24 - NASA Johnson - Interview with Trent Martin, AMS Project Manager_q6Hrz2xXi6s - transcript (automated).pdf","Transcript Link")</f>
        <v>Transcript Link</v>
      </c>
    </row>
    <row r="3021" ht="180" spans="1:13">
      <c r="A3021" s="1" t="s">
        <v>13231</v>
      </c>
      <c r="B3021" s="1" t="s">
        <v>13</v>
      </c>
      <c r="C3021" s="4" t="s">
        <v>13240</v>
      </c>
      <c r="D3021" s="1" t="s">
        <v>13241</v>
      </c>
      <c r="E3021" s="1" t="s">
        <v>13242</v>
      </c>
      <c r="F3021" s="4" t="s">
        <v>17</v>
      </c>
      <c r="G3021" s="1" t="s">
        <v>18</v>
      </c>
      <c r="H3021" s="1" t="s">
        <v>19</v>
      </c>
      <c r="I3021" s="1" t="s">
        <v>20</v>
      </c>
      <c r="J3021" s="1" t="s">
        <v>13243</v>
      </c>
      <c r="K3021" s="1" t="s">
        <v>22</v>
      </c>
      <c r="L3021" s="1" t="str">
        <f>HYPERLINK("https://files.afu.se/Downloads/Transcripts/0%20-%20Government/USA%20-%20NASA%20Johnson/2012 02 24 - NASA Johnson - Interview with Peter Lu, Co-investigator for BCAT-6 Experiment_rSQ-V4QFcLk - transcript (automated).pdf","Transcript Link")</f>
        <v>Transcript Link</v>
      </c>
      <c r="M3021" s="2" t="str">
        <f>HYPERLINK("https://files.afu.se/Downloads/Transcripts/0%20-%20Government/USA%20-%20NASA%20Johnson/2012 02 24 - NASA Johnson - Interview with Peter Lu, Co-investigator for BCAT-6 Experiment_rSQ-V4QFcLk - transcript (automated).pdf","Transcript Link")</f>
        <v>Transcript Link</v>
      </c>
    </row>
    <row r="3022" ht="180" spans="1:13">
      <c r="A3022" s="1" t="s">
        <v>13231</v>
      </c>
      <c r="B3022" s="1" t="s">
        <v>13</v>
      </c>
      <c r="C3022" s="4" t="s">
        <v>13244</v>
      </c>
      <c r="D3022" s="1" t="s">
        <v>13245</v>
      </c>
      <c r="E3022" s="1" t="s">
        <v>13246</v>
      </c>
      <c r="F3022" s="4" t="s">
        <v>17</v>
      </c>
      <c r="G3022" s="1" t="s">
        <v>18</v>
      </c>
      <c r="H3022" s="1" t="s">
        <v>19</v>
      </c>
      <c r="I3022" s="1" t="s">
        <v>20</v>
      </c>
      <c r="J3022" s="1" t="s">
        <v>13247</v>
      </c>
      <c r="K3022" s="1" t="s">
        <v>22</v>
      </c>
      <c r="L3022" s="1" t="str">
        <f>HYPERLINK("https://files.afu.se/Downloads/Transcripts/0%20-%20Government/USA%20-%20NASA%20Johnson/2012 02 24 - NASA Johnson - Weekly ISS Recap - Feb. 20-Feb. 24, 2012_mlL22pcFxPw - transcript (automated).pdf","Transcript Link")</f>
        <v>Transcript Link</v>
      </c>
      <c r="M3022" s="2" t="str">
        <f>HYPERLINK("https://files.afu.se/Downloads/Transcripts/0%20-%20Government/USA%20-%20NASA%20Johnson/2012 02 24 - NASA Johnson - Weekly ISS Recap - Feb. 20-Feb. 24, 2012_mlL22pcFxPw - transcript (automated).pdf","Transcript Link")</f>
        <v>Transcript Link</v>
      </c>
    </row>
    <row r="3023" ht="180" spans="1:13">
      <c r="A3023" s="1" t="s">
        <v>13248</v>
      </c>
      <c r="B3023" s="1" t="s">
        <v>13</v>
      </c>
      <c r="C3023" s="4" t="s">
        <v>13249</v>
      </c>
      <c r="D3023" s="1" t="s">
        <v>13250</v>
      </c>
      <c r="E3023" s="1" t="s">
        <v>13251</v>
      </c>
      <c r="F3023" s="4" t="s">
        <v>17</v>
      </c>
      <c r="G3023" s="1" t="s">
        <v>18</v>
      </c>
      <c r="H3023" s="1" t="s">
        <v>19</v>
      </c>
      <c r="I3023" s="1" t="s">
        <v>20</v>
      </c>
      <c r="J3023" s="1" t="s">
        <v>13252</v>
      </c>
      <c r="K3023" s="1" t="s">
        <v>22</v>
      </c>
      <c r="L3023" s="1" t="str">
        <f>HYPERLINK("https://files.afu.se/Downloads/Transcripts/0%20-%20Government/USA%20-%20NASA%20Johnson/2012 02 23 - NASA Johnson - Interview with Tara Ruttley, Associate International Space Station Program Scientist_NJ3Mv0w7G5A - transcript (automated).pdf","Transcript Link")</f>
        <v>Transcript Link</v>
      </c>
      <c r="M3023" s="2" t="str">
        <f>HYPERLINK("https://files.afu.se/Downloads/Transcripts/0%20-%20Government/USA%20-%20NASA%20Johnson/2012 02 23 - NASA Johnson - Interview with Tara Ruttley, Associate International Space Station Program Scientist_NJ3Mv0w7G5A - transcript (automated).pdf","Transcript Link")</f>
        <v>Transcript Link</v>
      </c>
    </row>
    <row r="3024" ht="180" spans="1:13">
      <c r="A3024" s="1" t="s">
        <v>13248</v>
      </c>
      <c r="B3024" s="1" t="s">
        <v>13</v>
      </c>
      <c r="C3024" s="4" t="s">
        <v>13253</v>
      </c>
      <c r="D3024" s="1" t="s">
        <v>13254</v>
      </c>
      <c r="E3024" s="1" t="s">
        <v>13255</v>
      </c>
      <c r="F3024" s="4" t="s">
        <v>17</v>
      </c>
      <c r="G3024" s="1" t="s">
        <v>18</v>
      </c>
      <c r="H3024" s="1" t="s">
        <v>19</v>
      </c>
      <c r="I3024" s="1" t="s">
        <v>20</v>
      </c>
      <c r="J3024" s="1" t="s">
        <v>13256</v>
      </c>
      <c r="K3024" s="1" t="s">
        <v>22</v>
      </c>
      <c r="L3024" s="1" t="str">
        <f>HYPERLINK("https://files.afu.se/Downloads/Transcripts/0%20-%20Government/USA%20-%20NASA%20Johnson/2012 02 23 - NASA Johnson - ISS Update - Feb. 23, 2012_U6eeiEQLTEg - transcript (automated).pdf","Transcript Link")</f>
        <v>Transcript Link</v>
      </c>
      <c r="M3024" s="2" t="str">
        <f>HYPERLINK("https://files.afu.se/Downloads/Transcripts/0%20-%20Government/USA%20-%20NASA%20Johnson/2012 02 23 - NASA Johnson - ISS Update - Feb. 23, 2012_U6eeiEQLTEg - transcript (automated).pdf","Transcript Link")</f>
        <v>Transcript Link</v>
      </c>
    </row>
    <row r="3025" ht="180" spans="1:13">
      <c r="A3025" s="1" t="s">
        <v>13257</v>
      </c>
      <c r="B3025" s="1" t="s">
        <v>13</v>
      </c>
      <c r="C3025" s="4" t="s">
        <v>13258</v>
      </c>
      <c r="D3025" s="1" t="s">
        <v>13259</v>
      </c>
      <c r="E3025" s="1" t="s">
        <v>13260</v>
      </c>
      <c r="F3025" s="4" t="s">
        <v>17</v>
      </c>
      <c r="G3025" s="1" t="s">
        <v>18</v>
      </c>
      <c r="H3025" s="1" t="s">
        <v>19</v>
      </c>
      <c r="I3025" s="1" t="s">
        <v>20</v>
      </c>
      <c r="J3025" s="1" t="s">
        <v>13261</v>
      </c>
      <c r="K3025" s="1" t="s">
        <v>22</v>
      </c>
      <c r="L3025" s="1" t="str">
        <f>HYPERLINK("https://files.afu.se/Downloads/Transcripts/0%20-%20Government/USA%20-%20NASA%20Johnson/2012 02 22 - NASA Johnson - Interview with Mark Weislogel, Principal Investigator, Capillary Flow Experiments-2_ZJABYfMfA_c - transcript (automated).pdf","Transcript Link")</f>
        <v>Transcript Link</v>
      </c>
      <c r="M3025" s="2" t="str">
        <f>HYPERLINK("https://files.afu.se/Downloads/Transcripts/0%20-%20Government/USA%20-%20NASA%20Johnson/2012 02 22 - NASA Johnson - Interview with Mark Weislogel, Principal Investigator, Capillary Flow Experiments-2_ZJABYfMfA_c - transcript (automated).pdf","Transcript Link")</f>
        <v>Transcript Link</v>
      </c>
    </row>
    <row r="3026" ht="180" spans="1:13">
      <c r="A3026" s="1" t="s">
        <v>13257</v>
      </c>
      <c r="B3026" s="1" t="s">
        <v>13</v>
      </c>
      <c r="C3026" s="4" t="s">
        <v>13262</v>
      </c>
      <c r="D3026" s="1" t="s">
        <v>13263</v>
      </c>
      <c r="E3026" s="1" t="s">
        <v>13264</v>
      </c>
      <c r="F3026" s="4" t="s">
        <v>17</v>
      </c>
      <c r="G3026" s="1" t="s">
        <v>18</v>
      </c>
      <c r="H3026" s="1" t="s">
        <v>19</v>
      </c>
      <c r="I3026" s="1" t="s">
        <v>20</v>
      </c>
      <c r="J3026" s="1" t="s">
        <v>13265</v>
      </c>
      <c r="K3026" s="1" t="s">
        <v>22</v>
      </c>
      <c r="L3026" s="1" t="str">
        <f>HYPERLINK("https://files.afu.se/Downloads/Transcripts/0%20-%20Government/USA%20-%20NASA%20Johnson/2012 02 22 - NASA Johnson - Interview with Expedition 30 Lead Flight Director Scott Stover_PK78GB5UkFQ - transcript (automated).pdf","Transcript Link")</f>
        <v>Transcript Link</v>
      </c>
      <c r="M3026" s="2" t="str">
        <f>HYPERLINK("https://files.afu.se/Downloads/Transcripts/0%20-%20Government/USA%20-%20NASA%20Johnson/2012 02 22 - NASA Johnson - Interview with Expedition 30 Lead Flight Director Scott Stover_PK78GB5UkFQ - transcript (automated).pdf","Transcript Link")</f>
        <v>Transcript Link</v>
      </c>
    </row>
    <row r="3027" ht="180" spans="1:13">
      <c r="A3027" s="1" t="s">
        <v>13257</v>
      </c>
      <c r="B3027" s="1" t="s">
        <v>13</v>
      </c>
      <c r="C3027" s="4" t="s">
        <v>13266</v>
      </c>
      <c r="D3027" s="1" t="s">
        <v>13267</v>
      </c>
      <c r="E3027" s="1" t="s">
        <v>13268</v>
      </c>
      <c r="F3027" s="4" t="s">
        <v>17</v>
      </c>
      <c r="G3027" s="1" t="s">
        <v>18</v>
      </c>
      <c r="H3027" s="1" t="s">
        <v>19</v>
      </c>
      <c r="I3027" s="1" t="s">
        <v>20</v>
      </c>
      <c r="J3027" s="1" t="s">
        <v>13269</v>
      </c>
      <c r="K3027" s="1" t="s">
        <v>22</v>
      </c>
      <c r="L3027" s="1" t="str">
        <f>HYPERLINK("https://files.afu.se/Downloads/Transcripts/0%20-%20Government/USA%20-%20NASA%20Johnson/2012 02 22 - NASA Johnson - ISS Update - Feb. 22, 2012_Q8qolIHh4zU - transcript (automated).pdf","Transcript Link")</f>
        <v>Transcript Link</v>
      </c>
      <c r="M3027" s="2" t="str">
        <f>HYPERLINK("https://files.afu.se/Downloads/Transcripts/0%20-%20Government/USA%20-%20NASA%20Johnson/2012 02 22 - NASA Johnson - ISS Update - Feb. 22, 2012_Q8qolIHh4zU - transcript (automated).pdf","Transcript Link")</f>
        <v>Transcript Link</v>
      </c>
    </row>
    <row r="3028" ht="180" spans="1:13">
      <c r="A3028" s="1" t="s">
        <v>13270</v>
      </c>
      <c r="B3028" s="1" t="s">
        <v>13</v>
      </c>
      <c r="C3028" s="4" t="s">
        <v>13271</v>
      </c>
      <c r="D3028" s="1" t="s">
        <v>13272</v>
      </c>
      <c r="E3028" s="1" t="s">
        <v>13273</v>
      </c>
      <c r="F3028" s="4" t="s">
        <v>17</v>
      </c>
      <c r="G3028" s="1" t="s">
        <v>18</v>
      </c>
      <c r="H3028" s="1" t="s">
        <v>19</v>
      </c>
      <c r="I3028" s="1" t="s">
        <v>20</v>
      </c>
      <c r="J3028" s="1" t="s">
        <v>13274</v>
      </c>
      <c r="K3028" s="1" t="s">
        <v>22</v>
      </c>
      <c r="L3028" s="1" t="str">
        <f>HYPERLINK("https://files.afu.se/Downloads/Transcripts/0%20-%20Government/USA%20-%20NASA%20Johnson/2012 02 17 - NASA Johnson - Interview with STS-95 Flight Director Phil Engelauf_NUkoGY4Mf68 - transcript (automated).pdf","Transcript Link")</f>
        <v>Transcript Link</v>
      </c>
      <c r="M3028" s="2" t="str">
        <f>HYPERLINK("https://files.afu.se/Downloads/Transcripts/0%20-%20Government/USA%20-%20NASA%20Johnson/2012 02 17 - NASA Johnson - Interview with STS-95 Flight Director Phil Engelauf_NUkoGY4Mf68 - transcript (automated).pdf","Transcript Link")</f>
        <v>Transcript Link</v>
      </c>
    </row>
    <row r="3029" ht="180" spans="1:13">
      <c r="A3029" s="1" t="s">
        <v>13270</v>
      </c>
      <c r="B3029" s="1" t="s">
        <v>13</v>
      </c>
      <c r="C3029" s="4" t="s">
        <v>13275</v>
      </c>
      <c r="D3029" s="1" t="s">
        <v>13276</v>
      </c>
      <c r="E3029" s="1" t="s">
        <v>13277</v>
      </c>
      <c r="F3029" s="4" t="s">
        <v>17</v>
      </c>
      <c r="G3029" s="1" t="s">
        <v>18</v>
      </c>
      <c r="H3029" s="1" t="s">
        <v>19</v>
      </c>
      <c r="I3029" s="1" t="s">
        <v>20</v>
      </c>
      <c r="J3029" s="1" t="s">
        <v>13278</v>
      </c>
      <c r="K3029" s="1" t="s">
        <v>22</v>
      </c>
      <c r="L3029" s="1" t="str">
        <f>HYPERLINK("https://files.afu.se/Downloads/Transcripts/0%20-%20Government/USA%20-%20NASA%20Johnson/2012 02 17 - NASA Johnson - Interview with Robonaut Deputy Project Manager Nic Radford_plxsW6-9DIU - transcript (automated).pdf","Transcript Link")</f>
        <v>Transcript Link</v>
      </c>
      <c r="M3029" s="2" t="str">
        <f>HYPERLINK("https://files.afu.se/Downloads/Transcripts/0%20-%20Government/USA%20-%20NASA%20Johnson/2012 02 17 - NASA Johnson - Interview with Robonaut Deputy Project Manager Nic Radford_plxsW6-9DIU - transcript (automated).pdf","Transcript Link")</f>
        <v>Transcript Link</v>
      </c>
    </row>
    <row r="3030" ht="180" spans="1:13">
      <c r="A3030" s="1" t="s">
        <v>13270</v>
      </c>
      <c r="B3030" s="1" t="s">
        <v>13</v>
      </c>
      <c r="C3030" s="4" t="s">
        <v>13279</v>
      </c>
      <c r="D3030" s="1" t="s">
        <v>13280</v>
      </c>
      <c r="E3030" s="1" t="s">
        <v>13281</v>
      </c>
      <c r="F3030" s="4" t="s">
        <v>17</v>
      </c>
      <c r="G3030" s="1" t="s">
        <v>18</v>
      </c>
      <c r="H3030" s="1" t="s">
        <v>19</v>
      </c>
      <c r="I3030" s="1" t="s">
        <v>20</v>
      </c>
      <c r="J3030" s="1" t="s">
        <v>13282</v>
      </c>
      <c r="K3030" s="1" t="s">
        <v>22</v>
      </c>
      <c r="L3030" s="1" t="str">
        <f>HYPERLINK("https://files.afu.se/Downloads/Transcripts/0%20-%20Government/USA%20-%20NASA%20Johnson/2012 02 17 - NASA Johnson - ISS Update - Feb. 17, 2012_iV9WalIV91s - transcript (automated).pdf","Transcript Link")</f>
        <v>Transcript Link</v>
      </c>
      <c r="M3030" s="2" t="str">
        <f>HYPERLINK("https://files.afu.se/Downloads/Transcripts/0%20-%20Government/USA%20-%20NASA%20Johnson/2012 02 17 - NASA Johnson - ISS Update - Feb. 17, 2012_iV9WalIV91s - transcript (automated).pdf","Transcript Link")</f>
        <v>Transcript Link</v>
      </c>
    </row>
    <row r="3031" ht="180" spans="1:13">
      <c r="A3031" s="1" t="s">
        <v>13283</v>
      </c>
      <c r="B3031" s="1" t="s">
        <v>13</v>
      </c>
      <c r="C3031" s="4" t="s">
        <v>13284</v>
      </c>
      <c r="D3031" s="1" t="s">
        <v>13285</v>
      </c>
      <c r="E3031" s="1" t="s">
        <v>13286</v>
      </c>
      <c r="F3031" s="4" t="s">
        <v>17</v>
      </c>
      <c r="G3031" s="1" t="s">
        <v>18</v>
      </c>
      <c r="H3031" s="1" t="s">
        <v>19</v>
      </c>
      <c r="I3031" s="1" t="s">
        <v>20</v>
      </c>
      <c r="J3031" s="1" t="s">
        <v>13287</v>
      </c>
      <c r="K3031" s="1" t="s">
        <v>22</v>
      </c>
      <c r="L3031" s="1" t="str">
        <f>HYPERLINK("https://files.afu.se/Downloads/Transcripts/0%20-%20Government/USA%20-%20NASA%20Johnson/2012 02 15 - NASA Johnson - Robonaut 2  ISS Task Board_rXadFVbtEkI - transcript (automated).pdf","Transcript Link")</f>
        <v>Transcript Link</v>
      </c>
      <c r="M3031" s="2" t="str">
        <f>HYPERLINK("https://files.afu.se/Downloads/Transcripts/0%20-%20Government/USA%20-%20NASA%20Johnson/2012 02 15 - NASA Johnson - Robonaut 2  ISS Task Board_rXadFVbtEkI - transcript (automated).pdf","Transcript Link")</f>
        <v>Transcript Link</v>
      </c>
    </row>
    <row r="3032" ht="180" spans="1:13">
      <c r="A3032" s="1" t="s">
        <v>13283</v>
      </c>
      <c r="B3032" s="1" t="s">
        <v>13</v>
      </c>
      <c r="C3032" s="4" t="s">
        <v>13288</v>
      </c>
      <c r="D3032" s="1" t="s">
        <v>13289</v>
      </c>
      <c r="E3032" s="1" t="s">
        <v>13290</v>
      </c>
      <c r="F3032" s="4" t="s">
        <v>17</v>
      </c>
      <c r="G3032" s="1" t="s">
        <v>18</v>
      </c>
      <c r="H3032" s="1" t="s">
        <v>19</v>
      </c>
      <c r="I3032" s="1" t="s">
        <v>20</v>
      </c>
      <c r="J3032" s="1" t="s">
        <v>13291</v>
      </c>
      <c r="K3032" s="1" t="s">
        <v>22</v>
      </c>
      <c r="L3032" s="1" t="str">
        <f>HYPERLINK("https://files.afu.se/Downloads/Transcripts/0%20-%20Government/USA%20-%20NASA%20Johnson/2012 02 15 - NASA Johnson - Interview with Marc Ciupitu (Part 2)_czzaxkYCu54 - transcript (automated).pdf","Transcript Link")</f>
        <v>Transcript Link</v>
      </c>
      <c r="M3032" s="2" t="str">
        <f>HYPERLINK("https://files.afu.se/Downloads/Transcripts/0%20-%20Government/USA%20-%20NASA%20Johnson/2012 02 15 - NASA Johnson - Interview with Marc Ciupitu (Part 2)_czzaxkYCu54 - transcript (automated).pdf","Transcript Link")</f>
        <v>Transcript Link</v>
      </c>
    </row>
    <row r="3033" ht="180" spans="1:13">
      <c r="A3033" s="1" t="s">
        <v>13283</v>
      </c>
      <c r="B3033" s="1" t="s">
        <v>13</v>
      </c>
      <c r="C3033" s="4" t="s">
        <v>13292</v>
      </c>
      <c r="D3033" s="1" t="s">
        <v>13293</v>
      </c>
      <c r="E3033" s="1" t="s">
        <v>13294</v>
      </c>
      <c r="F3033" s="4" t="s">
        <v>17</v>
      </c>
      <c r="G3033" s="1" t="s">
        <v>18</v>
      </c>
      <c r="H3033" s="1" t="s">
        <v>19</v>
      </c>
      <c r="I3033" s="1" t="s">
        <v>20</v>
      </c>
      <c r="J3033" s="1" t="s">
        <v>13295</v>
      </c>
      <c r="K3033" s="1" t="s">
        <v>22</v>
      </c>
      <c r="L3033" s="1" t="str">
        <f>HYPERLINK("https://files.afu.se/Downloads/Transcripts/0%20-%20Government/USA%20-%20NASA%20Johnson/2012 02 15 - NASA Johnson - Interview with Marc Ciupitu (Part 1)_zruqSXVM1OY - transcript (automated).pdf","Transcript Link")</f>
        <v>Transcript Link</v>
      </c>
      <c r="M3033" s="2" t="str">
        <f>HYPERLINK("https://files.afu.se/Downloads/Transcripts/0%20-%20Government/USA%20-%20NASA%20Johnson/2012 02 15 - NASA Johnson - Interview with Marc Ciupitu (Part 1)_zruqSXVM1OY - transcript (automated).pdf","Transcript Link")</f>
        <v>Transcript Link</v>
      </c>
    </row>
    <row r="3034" ht="180" spans="1:13">
      <c r="A3034" s="1" t="s">
        <v>13283</v>
      </c>
      <c r="B3034" s="1" t="s">
        <v>13</v>
      </c>
      <c r="C3034" s="4" t="s">
        <v>13296</v>
      </c>
      <c r="D3034" s="1" t="s">
        <v>13297</v>
      </c>
      <c r="E3034" s="1" t="s">
        <v>13298</v>
      </c>
      <c r="F3034" s="4" t="s">
        <v>17</v>
      </c>
      <c r="G3034" s="1" t="s">
        <v>18</v>
      </c>
      <c r="H3034" s="1" t="s">
        <v>19</v>
      </c>
      <c r="I3034" s="1" t="s">
        <v>20</v>
      </c>
      <c r="J3034" s="1" t="s">
        <v>13299</v>
      </c>
      <c r="K3034" s="1" t="s">
        <v>22</v>
      </c>
      <c r="L3034" s="1" t="str">
        <f>HYPERLINK("https://files.afu.se/Downloads/Transcripts/0%20-%20Government/USA%20-%20NASA%20Johnson/2012 02 15 - NASA Johnson - Robonaut Shakes Hands_grieVTdxsNI - transcript (automated).pdf","Transcript Link")</f>
        <v>Transcript Link</v>
      </c>
      <c r="M3034" s="2" t="str">
        <f>HYPERLINK("https://files.afu.se/Downloads/Transcripts/0%20-%20Government/USA%20-%20NASA%20Johnson/2012 02 15 - NASA Johnson - Robonaut Shakes Hands_grieVTdxsNI - transcript (automated).pdf","Transcript Link")</f>
        <v>Transcript Link</v>
      </c>
    </row>
    <row r="3035" ht="180" spans="1:13">
      <c r="A3035" s="1" t="s">
        <v>13283</v>
      </c>
      <c r="B3035" s="1" t="s">
        <v>13</v>
      </c>
      <c r="C3035" s="4" t="s">
        <v>13300</v>
      </c>
      <c r="D3035" s="1" t="s">
        <v>13301</v>
      </c>
      <c r="E3035" s="1" t="s">
        <v>13302</v>
      </c>
      <c r="F3035" s="4" t="s">
        <v>17</v>
      </c>
      <c r="G3035" s="1" t="s">
        <v>18</v>
      </c>
      <c r="H3035" s="1" t="s">
        <v>19</v>
      </c>
      <c r="I3035" s="1" t="s">
        <v>20</v>
      </c>
      <c r="J3035" s="1" t="s">
        <v>13303</v>
      </c>
      <c r="K3035" s="1" t="s">
        <v>22</v>
      </c>
      <c r="L3035" s="1" t="str">
        <f>HYPERLINK("https://files.afu.se/Downloads/Transcripts/0%20-%20Government/USA%20-%20NASA%20Johnson/2012 02 15 - NASA Johnson - ISS Update - Feb. 15, 2012_S9pXzASpKIM - transcript (automated).pdf","Transcript Link")</f>
        <v>Transcript Link</v>
      </c>
      <c r="M3035" s="2" t="str">
        <f>HYPERLINK("https://files.afu.se/Downloads/Transcripts/0%20-%20Government/USA%20-%20NASA%20Johnson/2012 02 15 - NASA Johnson - ISS Update - Feb. 15, 2012_S9pXzASpKIM - transcript (automated).pdf","Transcript Link")</f>
        <v>Transcript Link</v>
      </c>
    </row>
    <row r="3036" ht="180" spans="1:13">
      <c r="A3036" s="1" t="s">
        <v>13304</v>
      </c>
      <c r="B3036" s="1" t="s">
        <v>13</v>
      </c>
      <c r="C3036" s="4" t="s">
        <v>13305</v>
      </c>
      <c r="D3036" s="1" t="s">
        <v>13306</v>
      </c>
      <c r="E3036" s="1" t="s">
        <v>13307</v>
      </c>
      <c r="F3036" s="4" t="s">
        <v>17</v>
      </c>
      <c r="G3036" s="1" t="s">
        <v>18</v>
      </c>
      <c r="H3036" s="1" t="s">
        <v>19</v>
      </c>
      <c r="I3036" s="1" t="s">
        <v>20</v>
      </c>
      <c r="J3036" s="1" t="s">
        <v>13308</v>
      </c>
      <c r="K3036" s="1" t="s">
        <v>22</v>
      </c>
      <c r="L3036" s="1" t="str">
        <f>HYPERLINK("https://files.afu.se/Downloads/Transcripts/0%20-%20Government/USA%20-%20NASA%20Johnson/2012 02 14 - NASA Johnson - Spacewalk Preview With Glenda Brown_7cgdlRIdZgk - transcript (automated).pdf","Transcript Link")</f>
        <v>Transcript Link</v>
      </c>
      <c r="M3036" s="2" t="str">
        <f>HYPERLINK("https://files.afu.se/Downloads/Transcripts/0%20-%20Government/USA%20-%20NASA%20Johnson/2012 02 14 - NASA Johnson - Spacewalk Preview With Glenda Brown_7cgdlRIdZgk - transcript (automated).pdf","Transcript Link")</f>
        <v>Transcript Link</v>
      </c>
    </row>
    <row r="3037" ht="180" spans="1:13">
      <c r="A3037" s="1" t="s">
        <v>13304</v>
      </c>
      <c r="B3037" s="1" t="s">
        <v>13</v>
      </c>
      <c r="C3037" s="4" t="s">
        <v>13309</v>
      </c>
      <c r="D3037" s="1" t="s">
        <v>13310</v>
      </c>
      <c r="E3037" s="1" t="s">
        <v>13311</v>
      </c>
      <c r="F3037" s="4" t="s">
        <v>17</v>
      </c>
      <c r="G3037" s="1" t="s">
        <v>18</v>
      </c>
      <c r="H3037" s="1" t="s">
        <v>19</v>
      </c>
      <c r="I3037" s="1" t="s">
        <v>20</v>
      </c>
      <c r="J3037" s="1" t="s">
        <v>13312</v>
      </c>
      <c r="K3037" s="1" t="s">
        <v>22</v>
      </c>
      <c r="L3037" s="1" t="str">
        <f>HYPERLINK("https://files.afu.se/Downloads/Transcripts/0%20-%20Government/USA%20-%20NASA%20Johnson/2012 02 14 - NASA Johnson - Nic Radford Interview_ZvCbB_vGI1Y - transcript (automated).pdf","Transcript Link")</f>
        <v>Transcript Link</v>
      </c>
      <c r="M3037" s="2" t="str">
        <f>HYPERLINK("https://files.afu.se/Downloads/Transcripts/0%20-%20Government/USA%20-%20NASA%20Johnson/2012 02 14 - NASA Johnson - Nic Radford Interview_ZvCbB_vGI1Y - transcript (automated).pdf","Transcript Link")</f>
        <v>Transcript Link</v>
      </c>
    </row>
    <row r="3038" ht="180" spans="1:13">
      <c r="A3038" s="1" t="s">
        <v>13304</v>
      </c>
      <c r="B3038" s="1" t="s">
        <v>13</v>
      </c>
      <c r="C3038" s="4" t="s">
        <v>13313</v>
      </c>
      <c r="D3038" s="1" t="s">
        <v>13314</v>
      </c>
      <c r="E3038" s="1" t="s">
        <v>13315</v>
      </c>
      <c r="F3038" s="4" t="s">
        <v>17</v>
      </c>
      <c r="G3038" s="1" t="s">
        <v>18</v>
      </c>
      <c r="H3038" s="1" t="s">
        <v>19</v>
      </c>
      <c r="I3038" s="1" t="s">
        <v>20</v>
      </c>
      <c r="J3038" s="1" t="s">
        <v>13316</v>
      </c>
      <c r="K3038" s="1" t="s">
        <v>22</v>
      </c>
      <c r="L3038" s="1" t="str">
        <f>HYPERLINK("https://files.afu.se/Downloads/Transcripts/0%20-%20Government/USA%20-%20NASA%20Johnson/2012 02 14 - NASA Johnson - ISS Update - Feb. 14, 2012_ckp48-Ymv7k - transcript (automated).pdf","Transcript Link")</f>
        <v>Transcript Link</v>
      </c>
      <c r="M3038" s="2" t="str">
        <f>HYPERLINK("https://files.afu.se/Downloads/Transcripts/0%20-%20Government/USA%20-%20NASA%20Johnson/2012 02 14 - NASA Johnson - ISS Update - Feb. 14, 2012_ckp48-Ymv7k - transcript (automated).pdf","Transcript Link")</f>
        <v>Transcript Link</v>
      </c>
    </row>
    <row r="3039" ht="180" spans="1:13">
      <c r="A3039" s="1" t="s">
        <v>13317</v>
      </c>
      <c r="B3039" s="1" t="s">
        <v>13</v>
      </c>
      <c r="C3039" s="4" t="s">
        <v>13318</v>
      </c>
      <c r="D3039" s="1" t="s">
        <v>13319</v>
      </c>
      <c r="E3039" s="1" t="s">
        <v>13320</v>
      </c>
      <c r="F3039" s="4" t="s">
        <v>17</v>
      </c>
      <c r="G3039" s="1" t="s">
        <v>18</v>
      </c>
      <c r="H3039" s="1" t="s">
        <v>19</v>
      </c>
      <c r="I3039" s="1" t="s">
        <v>20</v>
      </c>
      <c r="J3039" s="1" t="s">
        <v>13321</v>
      </c>
      <c r="K3039" s="1" t="s">
        <v>22</v>
      </c>
      <c r="L3039" s="1" t="str">
        <f>HYPERLINK("https://files.afu.se/Downloads/Transcripts/0%20-%20Government/USA%20-%20NASA%20Johnson/2012 02 13 - NASA Johnson - ISS Update - Feb. 13, 2012_RCq-RPNBsIA - transcript (automated).pdf","Transcript Link")</f>
        <v>Transcript Link</v>
      </c>
      <c r="M3039" s="2" t="str">
        <f>HYPERLINK("https://files.afu.se/Downloads/Transcripts/0%20-%20Government/USA%20-%20NASA%20Johnson/2012 02 13 - NASA Johnson - ISS Update - Feb. 13, 2012_RCq-RPNBsIA - transcript (automated).pdf","Transcript Link")</f>
        <v>Transcript Link</v>
      </c>
    </row>
    <row r="3040" ht="225" spans="1:13">
      <c r="A3040" s="1" t="s">
        <v>13322</v>
      </c>
      <c r="B3040" s="1" t="s">
        <v>13</v>
      </c>
      <c r="C3040" s="4" t="s">
        <v>13323</v>
      </c>
      <c r="D3040" s="1" t="s">
        <v>13324</v>
      </c>
      <c r="E3040" s="1" t="s">
        <v>13325</v>
      </c>
      <c r="F3040" s="4" t="s">
        <v>17</v>
      </c>
      <c r="G3040" s="1" t="s">
        <v>18</v>
      </c>
      <c r="H3040" s="1" t="s">
        <v>19</v>
      </c>
      <c r="I3040" s="1" t="s">
        <v>20</v>
      </c>
      <c r="J3040" s="1" t="s">
        <v>13326</v>
      </c>
      <c r="K3040" s="1" t="s">
        <v>22</v>
      </c>
      <c r="L3040" s="1" t="str">
        <f>HYPERLINK("https://files.afu.se/Downloads/Transcripts/0%20-%20Government/USA%20-%20NASA%20Johnson/2012 02 10 - NASA Johnson - Up the East Coast of North America (With Cities Labeled)_U3DAOF34r34 - transcript (automated).pdf","Transcript Link")</f>
        <v>Transcript Link</v>
      </c>
      <c r="M3040" s="2" t="str">
        <f>HYPERLINK("https://files.afu.se/Downloads/Transcripts/0%20-%20Government/USA%20-%20NASA%20Johnson/2012 02 10 - NASA Johnson - Up the East Coast of North America (With Cities Labeled)_U3DAOF34r34 - transcript (automated).pdf","Transcript Link")</f>
        <v>Transcript Link</v>
      </c>
    </row>
    <row r="3041" ht="210" spans="1:13">
      <c r="A3041" s="1" t="s">
        <v>13322</v>
      </c>
      <c r="B3041" s="1" t="s">
        <v>13</v>
      </c>
      <c r="C3041" s="4" t="s">
        <v>13327</v>
      </c>
      <c r="D3041" s="1" t="s">
        <v>13328</v>
      </c>
      <c r="E3041" s="1" t="s">
        <v>13329</v>
      </c>
      <c r="F3041" s="4" t="s">
        <v>17</v>
      </c>
      <c r="G3041" s="1" t="s">
        <v>18</v>
      </c>
      <c r="H3041" s="1" t="s">
        <v>19</v>
      </c>
      <c r="I3041" s="1" t="s">
        <v>20</v>
      </c>
      <c r="J3041" s="1" t="s">
        <v>13330</v>
      </c>
      <c r="K3041" s="1" t="s">
        <v>22</v>
      </c>
      <c r="L3041" s="1" t="str">
        <f>HYPERLINK("https://files.afu.se/Downloads/Transcripts/0%20-%20Government/USA%20-%20NASA%20Johnson/2012 02 10 - NASA Johnson - Up the East Coast of North America__NqbD71p25E - transcript (automated).pdf","Transcript Link")</f>
        <v>Transcript Link</v>
      </c>
      <c r="M3041" s="2" t="str">
        <f>HYPERLINK("https://files.afu.se/Downloads/Transcripts/0%20-%20Government/USA%20-%20NASA%20Johnson/2012 02 10 - NASA Johnson - Up the East Coast of North America__NqbD71p25E - transcript (automated).pdf","Transcript Link")</f>
        <v>Transcript Link</v>
      </c>
    </row>
    <row r="3042" ht="180" spans="1:13">
      <c r="A3042" s="1" t="s">
        <v>13322</v>
      </c>
      <c r="B3042" s="1" t="s">
        <v>13</v>
      </c>
      <c r="C3042" s="4" t="s">
        <v>13331</v>
      </c>
      <c r="D3042" s="1" t="s">
        <v>13332</v>
      </c>
      <c r="E3042" s="1" t="s">
        <v>13333</v>
      </c>
      <c r="F3042" s="4" t="s">
        <v>17</v>
      </c>
      <c r="G3042" s="1" t="s">
        <v>18</v>
      </c>
      <c r="H3042" s="1" t="s">
        <v>19</v>
      </c>
      <c r="I3042" s="1" t="s">
        <v>20</v>
      </c>
      <c r="J3042" s="1" t="s">
        <v>13334</v>
      </c>
      <c r="K3042" s="1" t="s">
        <v>22</v>
      </c>
      <c r="L3042" s="1" t="str">
        <f>HYPERLINK("https://files.afu.se/Downloads/Transcripts/0%20-%20Government/USA%20-%20NASA%20Johnson/2012 02 10 - NASA Johnson - Across Southwest Canada at Night_F3I1D14GBFU - transcript (automated).pdf","Transcript Link")</f>
        <v>Transcript Link</v>
      </c>
      <c r="M3042" s="2" t="str">
        <f>HYPERLINK("https://files.afu.se/Downloads/Transcripts/0%20-%20Government/USA%20-%20NASA%20Johnson/2012 02 10 - NASA Johnson - Across Southwest Canada at Night_F3I1D14GBFU - transcript (automated).pdf","Transcript Link")</f>
        <v>Transcript Link</v>
      </c>
    </row>
    <row r="3043" ht="180" spans="1:13">
      <c r="A3043" s="1" t="s">
        <v>13322</v>
      </c>
      <c r="B3043" s="1" t="s">
        <v>13</v>
      </c>
      <c r="C3043" s="4" t="s">
        <v>13335</v>
      </c>
      <c r="D3043" s="1" t="s">
        <v>13336</v>
      </c>
      <c r="E3043" s="1" t="s">
        <v>13337</v>
      </c>
      <c r="F3043" s="4" t="s">
        <v>17</v>
      </c>
      <c r="G3043" s="1" t="s">
        <v>18</v>
      </c>
      <c r="H3043" s="1" t="s">
        <v>19</v>
      </c>
      <c r="I3043" s="1" t="s">
        <v>20</v>
      </c>
      <c r="J3043" s="1" t="s">
        <v>13338</v>
      </c>
      <c r="K3043" s="1" t="s">
        <v>22</v>
      </c>
      <c r="L3043" s="1" t="str">
        <f>HYPERLINK("https://files.afu.se/Downloads/Transcripts/0%20-%20Government/USA%20-%20NASA%20Johnson/2012 02 10 - NASA Johnson - Aurora Borealis over Northern North America and Canada_f5t7NoAKqG4 - transcript (automated).pdf","Transcript Link")</f>
        <v>Transcript Link</v>
      </c>
      <c r="M3043" s="2" t="str">
        <f>HYPERLINK("https://files.afu.se/Downloads/Transcripts/0%20-%20Government/USA%20-%20NASA%20Johnson/2012 02 10 - NASA Johnson - Aurora Borealis over Northern North America and Canada_f5t7NoAKqG4 - transcript (automated).pdf","Transcript Link")</f>
        <v>Transcript Link</v>
      </c>
    </row>
    <row r="3044" ht="195" spans="1:13">
      <c r="A3044" s="1" t="s">
        <v>13322</v>
      </c>
      <c r="B3044" s="1" t="s">
        <v>13</v>
      </c>
      <c r="C3044" s="4" t="s">
        <v>13339</v>
      </c>
      <c r="D3044" s="1" t="s">
        <v>13340</v>
      </c>
      <c r="E3044" s="1" t="s">
        <v>13341</v>
      </c>
      <c r="F3044" s="4" t="s">
        <v>17</v>
      </c>
      <c r="G3044" s="1" t="s">
        <v>18</v>
      </c>
      <c r="H3044" s="1" t="s">
        <v>19</v>
      </c>
      <c r="I3044" s="1" t="s">
        <v>20</v>
      </c>
      <c r="J3044" s="1" t="s">
        <v>13342</v>
      </c>
      <c r="K3044" s="1" t="s">
        <v>22</v>
      </c>
      <c r="L3044" s="1" t="str">
        <f>HYPERLINK("https://files.afu.se/Downloads/Transcripts/0%20-%20Government/USA%20-%20NASA%20Johnson/2012 02 10 - NASA Johnson - Central Great Plains at Night_kigptp3T05E - transcript (automated).pdf","Transcript Link")</f>
        <v>Transcript Link</v>
      </c>
      <c r="M3044" s="2" t="str">
        <f>HYPERLINK("https://files.afu.se/Downloads/Transcripts/0%20-%20Government/USA%20-%20NASA%20Johnson/2012 02 10 - NASA Johnson - Central Great Plains at Night_kigptp3T05E - transcript (automated).pdf","Transcript Link")</f>
        <v>Transcript Link</v>
      </c>
    </row>
    <row r="3045" ht="195" spans="1:13">
      <c r="A3045" s="1" t="s">
        <v>13322</v>
      </c>
      <c r="B3045" s="1" t="s">
        <v>13</v>
      </c>
      <c r="C3045" s="4" t="s">
        <v>13343</v>
      </c>
      <c r="D3045" s="1" t="s">
        <v>13344</v>
      </c>
      <c r="E3045" s="1" t="s">
        <v>13341</v>
      </c>
      <c r="F3045" s="4" t="s">
        <v>17</v>
      </c>
      <c r="G3045" s="1" t="s">
        <v>18</v>
      </c>
      <c r="H3045" s="1" t="s">
        <v>19</v>
      </c>
      <c r="I3045" s="1" t="s">
        <v>20</v>
      </c>
      <c r="J3045" s="1" t="s">
        <v>13345</v>
      </c>
      <c r="K3045" s="1" t="s">
        <v>22</v>
      </c>
      <c r="L3045" s="1" t="str">
        <f>HYPERLINK("https://files.afu.se/Downloads/Transcripts/0%20-%20Government/USA%20-%20NASA%20Johnson/2012 02 10 - NASA Johnson - Central Great Plains at Night (With Cities Labeled)_oNCJg1EmPjw - transcript (automated).pdf","Transcript Link")</f>
        <v>Transcript Link</v>
      </c>
      <c r="M3045" s="2" t="str">
        <f>HYPERLINK("https://files.afu.se/Downloads/Transcripts/0%20-%20Government/USA%20-%20NASA%20Johnson/2012 02 10 - NASA Johnson - Central Great Plains at Night (With Cities Labeled)_oNCJg1EmPjw - transcript (automated).pdf","Transcript Link")</f>
        <v>Transcript Link</v>
      </c>
    </row>
    <row r="3046" ht="180" spans="1:13">
      <c r="A3046" s="1" t="s">
        <v>13322</v>
      </c>
      <c r="B3046" s="1" t="s">
        <v>13</v>
      </c>
      <c r="C3046" s="4" t="s">
        <v>13346</v>
      </c>
      <c r="D3046" s="1" t="s">
        <v>13347</v>
      </c>
      <c r="E3046" s="1" t="s">
        <v>13348</v>
      </c>
      <c r="F3046" s="4" t="s">
        <v>17</v>
      </c>
      <c r="G3046" s="1" t="s">
        <v>18</v>
      </c>
      <c r="H3046" s="1" t="s">
        <v>19</v>
      </c>
      <c r="I3046" s="1" t="s">
        <v>20</v>
      </c>
      <c r="J3046" s="1" t="s">
        <v>13349</v>
      </c>
      <c r="K3046" s="1" t="s">
        <v>22</v>
      </c>
      <c r="L3046" s="1" t="str">
        <f>HYPERLINK("https://files.afu.se/Downloads/Transcripts/0%20-%20Government/USA%20-%20NASA%20Johnson/2012 02 10 - NASA Johnson - Aurora Borealis over the Pacific Ocean_Z-cc6rb1wXI - transcript (automated).pdf","Transcript Link")</f>
        <v>Transcript Link</v>
      </c>
      <c r="M3046" s="2" t="str">
        <f>HYPERLINK("https://files.afu.se/Downloads/Transcripts/0%20-%20Government/USA%20-%20NASA%20Johnson/2012 02 10 - NASA Johnson - Aurora Borealis over the Pacific Ocean_Z-cc6rb1wXI - transcript (automated).pdf","Transcript Link")</f>
        <v>Transcript Link</v>
      </c>
    </row>
    <row r="3047" ht="180" spans="1:13">
      <c r="A3047" s="1" t="s">
        <v>13322</v>
      </c>
      <c r="B3047" s="1" t="s">
        <v>13</v>
      </c>
      <c r="C3047" s="4" t="s">
        <v>13350</v>
      </c>
      <c r="D3047" s="1" t="s">
        <v>13351</v>
      </c>
      <c r="E3047" s="1" t="s">
        <v>13352</v>
      </c>
      <c r="F3047" s="4" t="s">
        <v>17</v>
      </c>
      <c r="G3047" s="1" t="s">
        <v>18</v>
      </c>
      <c r="H3047" s="1" t="s">
        <v>19</v>
      </c>
      <c r="I3047" s="1" t="s">
        <v>20</v>
      </c>
      <c r="J3047" s="1" t="s">
        <v>13353</v>
      </c>
      <c r="K3047" s="1" t="s">
        <v>22</v>
      </c>
      <c r="L3047" s="1" t="str">
        <f>HYPERLINK("https://files.afu.se/Downloads/Transcripts/0%20-%20Government/USA%20-%20NASA%20Johnson/2012 02 10 - NASA Johnson - Mexico to New Brunswick_TIjY95sLOrU - transcript (automated).pdf","Transcript Link")</f>
        <v>Transcript Link</v>
      </c>
      <c r="M3047" s="2" t="str">
        <f>HYPERLINK("https://files.afu.se/Downloads/Transcripts/0%20-%20Government/USA%20-%20NASA%20Johnson/2012 02 10 - NASA Johnson - Mexico to New Brunswick_TIjY95sLOrU - transcript (automated).pdf","Transcript Link")</f>
        <v>Transcript Link</v>
      </c>
    </row>
    <row r="3048" ht="180" spans="1:13">
      <c r="A3048" s="1" t="s">
        <v>13322</v>
      </c>
      <c r="B3048" s="1" t="s">
        <v>13</v>
      </c>
      <c r="C3048" s="4" t="s">
        <v>13354</v>
      </c>
      <c r="D3048" s="1" t="s">
        <v>13355</v>
      </c>
      <c r="E3048" s="1" t="s">
        <v>13352</v>
      </c>
      <c r="F3048" s="4" t="s">
        <v>17</v>
      </c>
      <c r="G3048" s="1" t="s">
        <v>18</v>
      </c>
      <c r="H3048" s="1" t="s">
        <v>19</v>
      </c>
      <c r="I3048" s="1" t="s">
        <v>20</v>
      </c>
      <c r="J3048" s="1" t="s">
        <v>13356</v>
      </c>
      <c r="K3048" s="1" t="s">
        <v>22</v>
      </c>
      <c r="L3048" s="1" t="str">
        <f>HYPERLINK("https://files.afu.se/Downloads/Transcripts/0%20-%20Government/USA%20-%20NASA%20Johnson/2012 02 10 - NASA Johnson - Mexico to New Brunswick (With Cities Labeled)_-2dGxJRzPJs - transcript (automated).pdf","Transcript Link")</f>
        <v>Transcript Link</v>
      </c>
      <c r="M3048" s="2" t="str">
        <f>HYPERLINK("https://files.afu.se/Downloads/Transcripts/0%20-%20Government/USA%20-%20NASA%20Johnson/2012 02 10 - NASA Johnson - Mexico to New Brunswick (With Cities Labeled)_-2dGxJRzPJs - transcript (automated).pdf","Transcript Link")</f>
        <v>Transcript Link</v>
      </c>
    </row>
    <row r="3049" ht="180" spans="1:13">
      <c r="A3049" s="1" t="s">
        <v>13322</v>
      </c>
      <c r="B3049" s="1" t="s">
        <v>13</v>
      </c>
      <c r="C3049" s="4" t="s">
        <v>13357</v>
      </c>
      <c r="D3049" s="1" t="s">
        <v>13358</v>
      </c>
      <c r="E3049" s="1" t="s">
        <v>13359</v>
      </c>
      <c r="F3049" s="4" t="s">
        <v>17</v>
      </c>
      <c r="G3049" s="1" t="s">
        <v>18</v>
      </c>
      <c r="H3049" s="1" t="s">
        <v>19</v>
      </c>
      <c r="I3049" s="1" t="s">
        <v>20</v>
      </c>
      <c r="J3049" s="1" t="s">
        <v>13360</v>
      </c>
      <c r="K3049" s="1" t="s">
        <v>22</v>
      </c>
      <c r="L3049" s="1" t="str">
        <f>HYPERLINK("https://files.afu.se/Downloads/Transcripts/0%20-%20Government/USA%20-%20NASA%20Johnson/2012 02 10 - NASA Johnson - North Dakota to Central Quebec_ttkxJ1un4sE - transcript (automated).pdf","Transcript Link")</f>
        <v>Transcript Link</v>
      </c>
      <c r="M3049" s="2" t="str">
        <f>HYPERLINK("https://files.afu.se/Downloads/Transcripts/0%20-%20Government/USA%20-%20NASA%20Johnson/2012 02 10 - NASA Johnson - North Dakota to Central Quebec_ttkxJ1un4sE - transcript (automated).pdf","Transcript Link")</f>
        <v>Transcript Link</v>
      </c>
    </row>
    <row r="3050" ht="180" spans="1:13">
      <c r="A3050" s="1" t="s">
        <v>13322</v>
      </c>
      <c r="B3050" s="1" t="s">
        <v>13</v>
      </c>
      <c r="C3050" s="4" t="s">
        <v>13361</v>
      </c>
      <c r="D3050" s="1" t="s">
        <v>13362</v>
      </c>
      <c r="E3050" s="1" t="s">
        <v>13363</v>
      </c>
      <c r="F3050" s="4" t="s">
        <v>17</v>
      </c>
      <c r="G3050" s="1" t="s">
        <v>18</v>
      </c>
      <c r="H3050" s="1" t="s">
        <v>19</v>
      </c>
      <c r="I3050" s="1" t="s">
        <v>20</v>
      </c>
      <c r="J3050" s="1" t="s">
        <v>13364</v>
      </c>
      <c r="K3050" s="1" t="s">
        <v>22</v>
      </c>
      <c r="L3050" s="1" t="str">
        <f>HYPERLINK("https://files.afu.se/Downloads/Transcripts/0%20-%20Government/USA%20-%20NASA%20Johnson/2012 02 10 - NASA Johnson - Interview with NASA Nutritionist Scott M. Smith_sv-qVYlp9hA - transcript (automated).pdf","Transcript Link")</f>
        <v>Transcript Link</v>
      </c>
      <c r="M3050" s="2" t="str">
        <f>HYPERLINK("https://files.afu.se/Downloads/Transcripts/0%20-%20Government/USA%20-%20NASA%20Johnson/2012 02 10 - NASA Johnson - Interview with NASA Nutritionist Scott M. Smith_sv-qVYlp9hA - transcript (automated).pdf","Transcript Link")</f>
        <v>Transcript Link</v>
      </c>
    </row>
    <row r="3051" ht="180" spans="1:13">
      <c r="A3051" s="1" t="s">
        <v>13322</v>
      </c>
      <c r="B3051" s="1" t="s">
        <v>13</v>
      </c>
      <c r="C3051" s="4" t="s">
        <v>13365</v>
      </c>
      <c r="D3051" s="1" t="s">
        <v>13366</v>
      </c>
      <c r="E3051" s="1" t="s">
        <v>13367</v>
      </c>
      <c r="F3051" s="4" t="s">
        <v>17</v>
      </c>
      <c r="G3051" s="1" t="s">
        <v>18</v>
      </c>
      <c r="H3051" s="1" t="s">
        <v>19</v>
      </c>
      <c r="I3051" s="1" t="s">
        <v>20</v>
      </c>
      <c r="J3051" s="1" t="s">
        <v>13368</v>
      </c>
      <c r="K3051" s="1" t="s">
        <v>22</v>
      </c>
      <c r="L3051" s="1" t="str">
        <f>HYPERLINK("https://files.afu.se/Downloads/Transcripts/0%20-%20Government/USA%20-%20NASA%20Johnson/2012 02 10 - NASA Johnson - Weekly ISS Recap - Feb. 6-Feb. 10, 2012_upPBd-QppA8 - transcript (automated).pdf","Transcript Link")</f>
        <v>Transcript Link</v>
      </c>
      <c r="M3051" s="2" t="str">
        <f>HYPERLINK("https://files.afu.se/Downloads/Transcripts/0%20-%20Government/USA%20-%20NASA%20Johnson/2012 02 10 - NASA Johnson - Weekly ISS Recap - Feb. 6-Feb. 10, 2012_upPBd-QppA8 - transcript (automated).pdf","Transcript Link")</f>
        <v>Transcript Link</v>
      </c>
    </row>
    <row r="3052" ht="180" spans="1:13">
      <c r="A3052" s="1" t="s">
        <v>13369</v>
      </c>
      <c r="B3052" s="1" t="s">
        <v>13</v>
      </c>
      <c r="C3052" s="4" t="s">
        <v>13370</v>
      </c>
      <c r="D3052" s="1" t="s">
        <v>13371</v>
      </c>
      <c r="E3052" s="1" t="s">
        <v>13372</v>
      </c>
      <c r="F3052" s="4" t="s">
        <v>17</v>
      </c>
      <c r="G3052" s="1" t="s">
        <v>18</v>
      </c>
      <c r="H3052" s="1" t="s">
        <v>19</v>
      </c>
      <c r="I3052" s="1" t="s">
        <v>20</v>
      </c>
      <c r="J3052" s="1" t="s">
        <v>13373</v>
      </c>
      <c r="K3052" s="1" t="s">
        <v>22</v>
      </c>
      <c r="L3052" s="1" t="str">
        <f>HYPERLINK("https://files.afu.se/Downloads/Transcripts/0%20-%20Government/USA%20-%20NASA%20Johnson/2012 02 09 - NASA Johnson - NASA Tests Transfer Device for Space Station_wXx3OGKY0IA - transcript (automated).pdf","Transcript Link")</f>
        <v>Transcript Link</v>
      </c>
      <c r="M3052" s="2" t="str">
        <f>HYPERLINK("https://files.afu.se/Downloads/Transcripts/0%20-%20Government/USA%20-%20NASA%20Johnson/2012 02 09 - NASA Johnson - NASA Tests Transfer Device for Space Station_wXx3OGKY0IA - transcript (automated).pdf","Transcript Link")</f>
        <v>Transcript Link</v>
      </c>
    </row>
    <row r="3053" ht="180" spans="1:13">
      <c r="A3053" s="1" t="s">
        <v>13369</v>
      </c>
      <c r="B3053" s="1" t="s">
        <v>13</v>
      </c>
      <c r="C3053" s="4" t="s">
        <v>13374</v>
      </c>
      <c r="D3053" s="1" t="s">
        <v>13375</v>
      </c>
      <c r="E3053" s="1" t="s">
        <v>13376</v>
      </c>
      <c r="F3053" s="4" t="s">
        <v>17</v>
      </c>
      <c r="G3053" s="1" t="s">
        <v>18</v>
      </c>
      <c r="H3053" s="1" t="s">
        <v>19</v>
      </c>
      <c r="I3053" s="1" t="s">
        <v>20</v>
      </c>
      <c r="J3053" s="1" t="s">
        <v>13377</v>
      </c>
      <c r="K3053" s="1" t="s">
        <v>22</v>
      </c>
      <c r="L3053" s="1" t="str">
        <f>HYPERLINK("https://files.afu.se/Downloads/Transcripts/0%20-%20Government/USA%20-%20NASA%20Johnson/2012 02 09 - NASA Johnson - Station Robotics Testing at Johnson Space Center_GYopLI23Iy8 - transcript (automated).pdf","Transcript Link")</f>
        <v>Transcript Link</v>
      </c>
      <c r="M3053" s="2" t="str">
        <f>HYPERLINK("https://files.afu.se/Downloads/Transcripts/0%20-%20Government/USA%20-%20NASA%20Johnson/2012 02 09 - NASA Johnson - Station Robotics Testing at Johnson Space Center_GYopLI23Iy8 - transcript (automated).pdf","Transcript Link")</f>
        <v>Transcript Link</v>
      </c>
    </row>
    <row r="3054" ht="180" spans="1:13">
      <c r="A3054" s="1" t="s">
        <v>13369</v>
      </c>
      <c r="B3054" s="1" t="s">
        <v>13</v>
      </c>
      <c r="C3054" s="4" t="s">
        <v>13378</v>
      </c>
      <c r="D3054" s="1" t="s">
        <v>13379</v>
      </c>
      <c r="E3054" s="1" t="s">
        <v>13380</v>
      </c>
      <c r="F3054" s="4" t="s">
        <v>17</v>
      </c>
      <c r="G3054" s="1" t="s">
        <v>18</v>
      </c>
      <c r="H3054" s="1" t="s">
        <v>19</v>
      </c>
      <c r="I3054" s="1" t="s">
        <v>20</v>
      </c>
      <c r="J3054" s="1" t="s">
        <v>13381</v>
      </c>
      <c r="K3054" s="1" t="s">
        <v>22</v>
      </c>
      <c r="L3054" s="1" t="str">
        <f>HYPERLINK("https://files.afu.se/Downloads/Transcripts/0%20-%20Government/USA%20-%20NASA%20Johnson/2012 02 09 - NASA Johnson - Monica Visinsky Interview_IRxlYTsHwMo - transcript (automated).pdf","Transcript Link")</f>
        <v>Transcript Link</v>
      </c>
      <c r="M3054" s="2" t="str">
        <f>HYPERLINK("https://files.afu.se/Downloads/Transcripts/0%20-%20Government/USA%20-%20NASA%20Johnson/2012 02 09 - NASA Johnson - Monica Visinsky Interview_IRxlYTsHwMo - transcript (automated).pdf","Transcript Link")</f>
        <v>Transcript Link</v>
      </c>
    </row>
    <row r="3055" ht="180" spans="1:13">
      <c r="A3055" s="1" t="s">
        <v>13369</v>
      </c>
      <c r="B3055" s="1" t="s">
        <v>13</v>
      </c>
      <c r="C3055" s="4" t="s">
        <v>13382</v>
      </c>
      <c r="D3055" s="1" t="s">
        <v>13383</v>
      </c>
      <c r="E3055" s="1" t="s">
        <v>13384</v>
      </c>
      <c r="F3055" s="4" t="s">
        <v>17</v>
      </c>
      <c r="G3055" s="1" t="s">
        <v>18</v>
      </c>
      <c r="H3055" s="1" t="s">
        <v>19</v>
      </c>
      <c r="I3055" s="1" t="s">
        <v>20</v>
      </c>
      <c r="J3055" s="1" t="s">
        <v>13385</v>
      </c>
      <c r="K3055" s="1" t="s">
        <v>22</v>
      </c>
      <c r="L3055" s="1" t="str">
        <f>HYPERLINK("https://files.afu.se/Downloads/Transcripts/0%20-%20Government/USA%20-%20NASA%20Johnson/2012 02 09 - NASA Johnson - ISS Update - Feb. 9, 2012_B0RJwEWQl88 - transcript (automated).pdf","Transcript Link")</f>
        <v>Transcript Link</v>
      </c>
      <c r="M3055" s="2" t="str">
        <f>HYPERLINK("https://files.afu.se/Downloads/Transcripts/0%20-%20Government/USA%20-%20NASA%20Johnson/2012 02 09 - NASA Johnson - ISS Update - Feb. 9, 2012_B0RJwEWQl88 - transcript (automated).pdf","Transcript Link")</f>
        <v>Transcript Link</v>
      </c>
    </row>
    <row r="3056" ht="180" spans="1:13">
      <c r="A3056" s="1" t="s">
        <v>13386</v>
      </c>
      <c r="B3056" s="1" t="s">
        <v>13</v>
      </c>
      <c r="C3056" s="4" t="s">
        <v>13387</v>
      </c>
      <c r="D3056" s="1" t="s">
        <v>13388</v>
      </c>
      <c r="E3056" s="1" t="s">
        <v>13389</v>
      </c>
      <c r="F3056" s="4" t="s">
        <v>17</v>
      </c>
      <c r="G3056" s="1" t="s">
        <v>18</v>
      </c>
      <c r="H3056" s="1" t="s">
        <v>19</v>
      </c>
      <c r="I3056" s="1" t="s">
        <v>20</v>
      </c>
      <c r="J3056" s="1" t="s">
        <v>13390</v>
      </c>
      <c r="K3056" s="1" t="s">
        <v>22</v>
      </c>
      <c r="L3056" s="1" t="str">
        <f>HYPERLINK("https://files.afu.se/Downloads/Transcripts/0%20-%20Government/USA%20-%20NASA%20Johnson/2012 02 08 - NASA Johnson - ISS Update - Feb. 8, 2012_0wAKC4WRc-s - transcript (automated).pdf","Transcript Link")</f>
        <v>Transcript Link</v>
      </c>
      <c r="M3056" s="2" t="str">
        <f>HYPERLINK("https://files.afu.se/Downloads/Transcripts/0%20-%20Government/USA%20-%20NASA%20Johnson/2012 02 08 - NASA Johnson - ISS Update - Feb. 8, 2012_0wAKC4WRc-s - transcript (automated).pdf","Transcript Link")</f>
        <v>Transcript Link</v>
      </c>
    </row>
    <row r="3057" ht="180" spans="1:13">
      <c r="A3057" s="1" t="s">
        <v>13391</v>
      </c>
      <c r="B3057" s="1" t="s">
        <v>13</v>
      </c>
      <c r="C3057" s="4" t="s">
        <v>13392</v>
      </c>
      <c r="D3057" s="1" t="s">
        <v>13393</v>
      </c>
      <c r="E3057" s="1" t="s">
        <v>13394</v>
      </c>
      <c r="F3057" s="4" t="s">
        <v>17</v>
      </c>
      <c r="G3057" s="1" t="s">
        <v>18</v>
      </c>
      <c r="H3057" s="1" t="s">
        <v>19</v>
      </c>
      <c r="I3057" s="1" t="s">
        <v>20</v>
      </c>
      <c r="J3057" s="1" t="s">
        <v>13395</v>
      </c>
      <c r="K3057" s="1" t="s">
        <v>22</v>
      </c>
      <c r="L3057" s="1" t="str">
        <f>HYPERLINK("https://files.afu.se/Downloads/Transcripts/0%20-%20Government/USA%20-%20NASA%20Johnson/2012 02 07 - NASA Johnson - Astronaut Mike Fossum Answers Twitter Questions_hBhYneN0iAk - transcript (automated).pdf","Transcript Link")</f>
        <v>Transcript Link</v>
      </c>
      <c r="M3057" s="2" t="str">
        <f>HYPERLINK("https://files.afu.se/Downloads/Transcripts/0%20-%20Government/USA%20-%20NASA%20Johnson/2012 02 07 - NASA Johnson - Astronaut Mike Fossum Answers Twitter Questions_hBhYneN0iAk - transcript (automated).pdf","Transcript Link")</f>
        <v>Transcript Link</v>
      </c>
    </row>
    <row r="3058" ht="180" spans="1:13">
      <c r="A3058" s="1" t="s">
        <v>13391</v>
      </c>
      <c r="B3058" s="1" t="s">
        <v>13</v>
      </c>
      <c r="C3058" s="4" t="s">
        <v>13396</v>
      </c>
      <c r="D3058" s="1" t="s">
        <v>13397</v>
      </c>
      <c r="E3058" s="1" t="s">
        <v>13398</v>
      </c>
      <c r="F3058" s="4" t="s">
        <v>17</v>
      </c>
      <c r="G3058" s="1" t="s">
        <v>18</v>
      </c>
      <c r="H3058" s="1" t="s">
        <v>19</v>
      </c>
      <c r="I3058" s="1" t="s">
        <v>20</v>
      </c>
      <c r="J3058" s="1" t="s">
        <v>13399</v>
      </c>
      <c r="K3058" s="1" t="s">
        <v>22</v>
      </c>
      <c r="L3058" s="1" t="str">
        <f>HYPERLINK("https://files.afu.se/Downloads/Transcripts/0%20-%20Government/USA%20-%20NASA%20Johnson/2012 02 07 - NASA Johnson - ISS Update - Feb. 7, 2012_ltWsu2BhmTQ - transcript (automated).pdf","Transcript Link")</f>
        <v>Transcript Link</v>
      </c>
      <c r="M3058" s="2" t="str">
        <f>HYPERLINK("https://files.afu.se/Downloads/Transcripts/0%20-%20Government/USA%20-%20NASA%20Johnson/2012 02 07 - NASA Johnson - ISS Update - Feb. 7, 2012_ltWsu2BhmTQ - transcript (automated).pdf","Transcript Link")</f>
        <v>Transcript Link</v>
      </c>
    </row>
    <row r="3059" ht="180" spans="1:13">
      <c r="A3059" s="1" t="s">
        <v>13400</v>
      </c>
      <c r="B3059" s="1" t="s">
        <v>13</v>
      </c>
      <c r="C3059" s="4" t="s">
        <v>13401</v>
      </c>
      <c r="D3059" s="1" t="s">
        <v>13402</v>
      </c>
      <c r="E3059" s="1" t="s">
        <v>13403</v>
      </c>
      <c r="F3059" s="4" t="s">
        <v>17</v>
      </c>
      <c r="G3059" s="1" t="s">
        <v>18</v>
      </c>
      <c r="H3059" s="1" t="s">
        <v>19</v>
      </c>
      <c r="I3059" s="1" t="s">
        <v>20</v>
      </c>
      <c r="J3059" s="1" t="s">
        <v>13404</v>
      </c>
      <c r="K3059" s="1" t="s">
        <v>22</v>
      </c>
      <c r="L3059" s="1" t="str">
        <f>HYPERLINK("https://files.afu.se/Downloads/Transcripts/0%20-%20Government/USA%20-%20NASA%20Johnson/2012 02 06 - NASA Johnson - ISS Update - Feb. 6, 2012_yhetymMo_e8 - transcript (automated).pdf","Transcript Link")</f>
        <v>Transcript Link</v>
      </c>
      <c r="M3059" s="2" t="str">
        <f>HYPERLINK("https://files.afu.se/Downloads/Transcripts/0%20-%20Government/USA%20-%20NASA%20Johnson/2012 02 06 - NASA Johnson - ISS Update - Feb. 6, 2012_yhetymMo_e8 - transcript (automated).pdf","Transcript Link")</f>
        <v>Transcript Link</v>
      </c>
    </row>
    <row r="3060" ht="180" spans="1:13">
      <c r="A3060" s="1" t="s">
        <v>13400</v>
      </c>
      <c r="B3060" s="1" t="s">
        <v>13</v>
      </c>
      <c r="C3060" s="4" t="s">
        <v>13405</v>
      </c>
      <c r="D3060" s="1" t="s">
        <v>13406</v>
      </c>
      <c r="E3060" s="1" t="s">
        <v>13407</v>
      </c>
      <c r="F3060" s="4" t="s">
        <v>17</v>
      </c>
      <c r="G3060" s="1" t="s">
        <v>18</v>
      </c>
      <c r="H3060" s="1" t="s">
        <v>19</v>
      </c>
      <c r="I3060" s="1" t="s">
        <v>20</v>
      </c>
      <c r="J3060" s="1" t="s">
        <v>13408</v>
      </c>
      <c r="K3060" s="1" t="s">
        <v>22</v>
      </c>
      <c r="L3060" s="1" t="str">
        <f>HYPERLINK("https://files.afu.se/Downloads/Transcripts/0%20-%20Government/USA%20-%20NASA%20Johnson/2012 02 06 - NASA Johnson - Science off the Sphere  Knitting Needle Experiment_qHrBhgwq__Q - transcript (automated).pdf","Transcript Link")</f>
        <v>Transcript Link</v>
      </c>
      <c r="M3060" s="2" t="str">
        <f>HYPERLINK("https://files.afu.se/Downloads/Transcripts/0%20-%20Government/USA%20-%20NASA%20Johnson/2012 02 06 - NASA Johnson - Science off the Sphere  Knitting Needle Experiment_qHrBhgwq__Q - transcript (automated).pdf","Transcript Link")</f>
        <v>Transcript Link</v>
      </c>
    </row>
    <row r="3061" ht="180" spans="1:13">
      <c r="A3061" s="1" t="s">
        <v>13400</v>
      </c>
      <c r="B3061" s="1" t="s">
        <v>13</v>
      </c>
      <c r="C3061" s="4" t="s">
        <v>13409</v>
      </c>
      <c r="D3061" s="1" t="s">
        <v>13410</v>
      </c>
      <c r="E3061" s="1" t="s">
        <v>13411</v>
      </c>
      <c r="F3061" s="4" t="s">
        <v>17</v>
      </c>
      <c r="G3061" s="1" t="s">
        <v>18</v>
      </c>
      <c r="H3061" s="1" t="s">
        <v>19</v>
      </c>
      <c r="I3061" s="1" t="s">
        <v>20</v>
      </c>
      <c r="J3061" s="1" t="s">
        <v>13412</v>
      </c>
      <c r="K3061" s="1" t="s">
        <v>22</v>
      </c>
      <c r="L3061" s="1" t="str">
        <f>HYPERLINK("https://files.afu.se/Downloads/Transcripts/0%20-%20Government/USA%20-%20NASA%20Johnson/2012 02 06 - NASA Johnson - Interview with NASA Earth Scientist Melissa Dawson_3swQ5j4ngZ8 - transcript (automated).pdf","Transcript Link")</f>
        <v>Transcript Link</v>
      </c>
      <c r="M3061" s="2" t="str">
        <f>HYPERLINK("https://files.afu.se/Downloads/Transcripts/0%20-%20Government/USA%20-%20NASA%20Johnson/2012 02 06 - NASA Johnson - Interview with NASA Earth Scientist Melissa Dawson_3swQ5j4ngZ8 - transcript (automated).pdf","Transcript Link")</f>
        <v>Transcript Link</v>
      </c>
    </row>
    <row r="3062" ht="180" spans="1:13">
      <c r="A3062" s="1" t="s">
        <v>13413</v>
      </c>
      <c r="B3062" s="1" t="s">
        <v>13</v>
      </c>
      <c r="C3062" s="4" t="s">
        <v>13414</v>
      </c>
      <c r="D3062" s="1" t="s">
        <v>13415</v>
      </c>
      <c r="E3062" s="1" t="s">
        <v>13416</v>
      </c>
      <c r="F3062" s="4" t="s">
        <v>17</v>
      </c>
      <c r="G3062" s="1" t="s">
        <v>18</v>
      </c>
      <c r="H3062" s="1" t="s">
        <v>19</v>
      </c>
      <c r="I3062" s="1" t="s">
        <v>20</v>
      </c>
      <c r="J3062" s="1" t="s">
        <v>13417</v>
      </c>
      <c r="K3062" s="1" t="s">
        <v>22</v>
      </c>
      <c r="L3062" s="1" t="str">
        <f>HYPERLINK("https://files.afu.se/Downloads/Transcripts/0%20-%20Government/USA%20-%20NASA%20Johnson/2012 02 03 - NASA Johnson - Weekly ISS Recap - Jan. 30-Feb. 3, 2012_cvUEr50Cos8 - transcript (automated).pdf","Transcript Link")</f>
        <v>Transcript Link</v>
      </c>
      <c r="M3062" s="2" t="str">
        <f>HYPERLINK("https://files.afu.se/Downloads/Transcripts/0%20-%20Government/USA%20-%20NASA%20Johnson/2012 02 03 - NASA Johnson - Weekly ISS Recap - Jan. 30-Feb. 3, 2012_cvUEr50Cos8 - transcript (automated).pdf","Transcript Link")</f>
        <v>Transcript Link</v>
      </c>
    </row>
    <row r="3063" ht="180" spans="1:13">
      <c r="A3063" s="1" t="s">
        <v>13418</v>
      </c>
      <c r="B3063" s="1" t="s">
        <v>13</v>
      </c>
      <c r="C3063" s="4" t="s">
        <v>13419</v>
      </c>
      <c r="D3063" s="1" t="s">
        <v>13420</v>
      </c>
      <c r="E3063" s="1" t="s">
        <v>13421</v>
      </c>
      <c r="F3063" s="4" t="s">
        <v>17</v>
      </c>
      <c r="G3063" s="1" t="s">
        <v>18</v>
      </c>
      <c r="H3063" s="1" t="s">
        <v>19</v>
      </c>
      <c r="I3063" s="1" t="s">
        <v>20</v>
      </c>
      <c r="J3063" s="1" t="s">
        <v>13422</v>
      </c>
      <c r="K3063" s="1" t="s">
        <v>22</v>
      </c>
      <c r="L3063" s="1" t="str">
        <f>HYPERLINK("https://files.afu.se/Downloads/Transcripts/0%20-%20Government/USA%20-%20NASA%20Johnson/2012 02 02 - NASA Johnson - Mexico and the Florida Peninsula_wkSSxjch1cM - transcript (automated).pdf","Transcript Link")</f>
        <v>Transcript Link</v>
      </c>
      <c r="M3063" s="2" t="str">
        <f>HYPERLINK("https://files.afu.se/Downloads/Transcripts/0%20-%20Government/USA%20-%20NASA%20Johnson/2012 02 02 - NASA Johnson - Mexico and the Florida Peninsula_wkSSxjch1cM - transcript (automated).pdf","Transcript Link")</f>
        <v>Transcript Link</v>
      </c>
    </row>
    <row r="3064" ht="180" spans="1:13">
      <c r="A3064" s="1" t="s">
        <v>13423</v>
      </c>
      <c r="B3064" s="1" t="s">
        <v>13</v>
      </c>
      <c r="C3064" s="4" t="s">
        <v>13424</v>
      </c>
      <c r="D3064" s="1" t="s">
        <v>13425</v>
      </c>
      <c r="E3064" s="1" t="s">
        <v>13426</v>
      </c>
      <c r="F3064" s="4" t="s">
        <v>17</v>
      </c>
      <c r="G3064" s="1" t="s">
        <v>18</v>
      </c>
      <c r="H3064" s="1" t="s">
        <v>19</v>
      </c>
      <c r="I3064" s="1" t="s">
        <v>20</v>
      </c>
      <c r="J3064" s="1" t="s">
        <v>13427</v>
      </c>
      <c r="K3064" s="1" t="s">
        <v>22</v>
      </c>
      <c r="L3064" s="1" t="str">
        <f>HYPERLINK("https://files.afu.se/Downloads/Transcripts/0%20-%20Government/USA%20-%20NASA%20Johnson/2012 02 01 - NASA Johnson - ARED Demo and Interview with Bob Tweedy_Uxz7u5LDRUo - transcript (automated).pdf","Transcript Link")</f>
        <v>Transcript Link</v>
      </c>
      <c r="M3064" s="2" t="str">
        <f>HYPERLINK("https://files.afu.se/Downloads/Transcripts/0%20-%20Government/USA%20-%20NASA%20Johnson/2012 02 01 - NASA Johnson - ARED Demo and Interview with Bob Tweedy_Uxz7u5LDRUo - transcript (automated).pdf","Transcript Link")</f>
        <v>Transcript Link</v>
      </c>
    </row>
    <row r="3065" ht="180" spans="1:13">
      <c r="A3065" s="1" t="s">
        <v>13423</v>
      </c>
      <c r="B3065" s="1" t="s">
        <v>13</v>
      </c>
      <c r="C3065" s="4" t="s">
        <v>13428</v>
      </c>
      <c r="D3065" s="1" t="s">
        <v>13429</v>
      </c>
      <c r="E3065" s="1" t="s">
        <v>13430</v>
      </c>
      <c r="F3065" s="4" t="s">
        <v>17</v>
      </c>
      <c r="G3065" s="1" t="s">
        <v>18</v>
      </c>
      <c r="H3065" s="1" t="s">
        <v>19</v>
      </c>
      <c r="I3065" s="1" t="s">
        <v>20</v>
      </c>
      <c r="J3065" s="1" t="s">
        <v>13431</v>
      </c>
      <c r="K3065" s="1" t="s">
        <v>22</v>
      </c>
      <c r="L3065" s="1" t="str">
        <f>HYPERLINK("https://files.afu.se/Downloads/Transcripts/0%20-%20Government/USA%20-%20NASA%20Johnson/2012 02 01 - NASA Johnson - Interview with Lori Ploutz-Snyder, Ph.D. about SPRINT_X-ieJKwytgI - transcript (automated).pdf","Transcript Link")</f>
        <v>Transcript Link</v>
      </c>
      <c r="M3065" s="2" t="str">
        <f>HYPERLINK("https://files.afu.se/Downloads/Transcripts/0%20-%20Government/USA%20-%20NASA%20Johnson/2012 02 01 - NASA Johnson - Interview with Lori Ploutz-Snyder, Ph.D. about SPRINT_X-ieJKwytgI - transcript (automated).pdf","Transcript Link")</f>
        <v>Transcript Link</v>
      </c>
    </row>
    <row r="3066" ht="180" spans="1:13">
      <c r="A3066" s="1" t="s">
        <v>13423</v>
      </c>
      <c r="B3066" s="1" t="s">
        <v>13</v>
      </c>
      <c r="C3066" s="4" t="s">
        <v>13432</v>
      </c>
      <c r="D3066" s="1" t="s">
        <v>13433</v>
      </c>
      <c r="E3066" s="1" t="s">
        <v>13434</v>
      </c>
      <c r="F3066" s="4" t="s">
        <v>17</v>
      </c>
      <c r="G3066" s="1" t="s">
        <v>18</v>
      </c>
      <c r="H3066" s="1" t="s">
        <v>19</v>
      </c>
      <c r="I3066" s="1" t="s">
        <v>20</v>
      </c>
      <c r="J3066" s="1" t="s">
        <v>13435</v>
      </c>
      <c r="K3066" s="1" t="s">
        <v>22</v>
      </c>
      <c r="L3066" s="1" t="str">
        <f>HYPERLINK("https://files.afu.se/Downloads/Transcripts/0%20-%20Government/USA%20-%20NASA%20Johnson/2012 02 01 - NASA Johnson - ISS Update - Feb. 1, 2012__y8yfKPrDiQ - transcript (automated).pdf","Transcript Link")</f>
        <v>Transcript Link</v>
      </c>
      <c r="M3066" s="2" t="str">
        <f>HYPERLINK("https://files.afu.se/Downloads/Transcripts/0%20-%20Government/USA%20-%20NASA%20Johnson/2012 02 01 - NASA Johnson - ISS Update - Feb. 1, 2012__y8yfKPrDiQ - transcript (automated).pdf","Transcript Link")</f>
        <v>Transcript Link</v>
      </c>
    </row>
    <row r="3067" ht="180" spans="1:13">
      <c r="A3067" s="1" t="s">
        <v>13436</v>
      </c>
      <c r="B3067" s="1" t="s">
        <v>13</v>
      </c>
      <c r="C3067" s="4" t="s">
        <v>13437</v>
      </c>
      <c r="D3067" s="1" t="s">
        <v>13438</v>
      </c>
      <c r="E3067" s="1" t="s">
        <v>13439</v>
      </c>
      <c r="F3067" s="4" t="s">
        <v>17</v>
      </c>
      <c r="G3067" s="1" t="s">
        <v>18</v>
      </c>
      <c r="H3067" s="1" t="s">
        <v>19</v>
      </c>
      <c r="I3067" s="1" t="s">
        <v>20</v>
      </c>
      <c r="J3067" s="1" t="s">
        <v>13440</v>
      </c>
      <c r="K3067" s="1" t="s">
        <v>22</v>
      </c>
      <c r="L3067" s="1" t="str">
        <f>HYPERLINK("https://files.afu.se/Downloads/Transcripts/0%20-%20Government/USA%20-%20NASA%20Johnson/2012 01 31 - NASA Johnson - ISS Update - Jan. 31, 2012_drWPuXfVULs - transcript (automated).pdf","Transcript Link")</f>
        <v>Transcript Link</v>
      </c>
      <c r="M3067" s="2" t="str">
        <f>HYPERLINK("https://files.afu.se/Downloads/Transcripts/0%20-%20Government/USA%20-%20NASA%20Johnson/2012 01 31 - NASA Johnson - ISS Update - Jan. 31, 2012_drWPuXfVULs - transcript (automated).pdf","Transcript Link")</f>
        <v>Transcript Link</v>
      </c>
    </row>
    <row r="3068" ht="180" spans="1:13">
      <c r="A3068" s="1" t="s">
        <v>13441</v>
      </c>
      <c r="B3068" s="1" t="s">
        <v>13</v>
      </c>
      <c r="C3068" s="4" t="s">
        <v>13442</v>
      </c>
      <c r="D3068" s="1" t="s">
        <v>13443</v>
      </c>
      <c r="E3068" s="1" t="s">
        <v>13439</v>
      </c>
      <c r="F3068" s="4" t="s">
        <v>17</v>
      </c>
      <c r="G3068" s="1" t="s">
        <v>18</v>
      </c>
      <c r="H3068" s="1" t="s">
        <v>19</v>
      </c>
      <c r="I3068" s="1" t="s">
        <v>20</v>
      </c>
      <c r="J3068" s="1" t="s">
        <v>13444</v>
      </c>
      <c r="K3068" s="1" t="s">
        <v>22</v>
      </c>
      <c r="L3068" s="1" t="str">
        <f>HYPERLINK("https://files.afu.se/Downloads/Transcripts/0%20-%20Government/USA%20-%20NASA%20Johnson/2012 01 30 - NASA Johnson - ISS Update - Jan. 30, 2012_v7uC1qo75Is - transcript (automated).pdf","Transcript Link")</f>
        <v>Transcript Link</v>
      </c>
      <c r="M3068" s="2" t="str">
        <f>HYPERLINK("https://files.afu.se/Downloads/Transcripts/0%20-%20Government/USA%20-%20NASA%20Johnson/2012 01 30 - NASA Johnson - ISS Update - Jan. 30, 2012_v7uC1qo75Is - transcript (automated).pdf","Transcript Link")</f>
        <v>Transcript Link</v>
      </c>
    </row>
    <row r="3069" ht="180" spans="1:13">
      <c r="A3069" s="1" t="s">
        <v>13445</v>
      </c>
      <c r="B3069" s="1" t="s">
        <v>13</v>
      </c>
      <c r="C3069" s="4" t="s">
        <v>13446</v>
      </c>
      <c r="D3069" s="1" t="s">
        <v>13447</v>
      </c>
      <c r="E3069" s="1" t="s">
        <v>13448</v>
      </c>
      <c r="F3069" s="4" t="s">
        <v>17</v>
      </c>
      <c r="G3069" s="1" t="s">
        <v>18</v>
      </c>
      <c r="H3069" s="1" t="s">
        <v>19</v>
      </c>
      <c r="I3069" s="1" t="s">
        <v>20</v>
      </c>
      <c r="J3069" s="1" t="s">
        <v>13449</v>
      </c>
      <c r="K3069" s="1" t="s">
        <v>22</v>
      </c>
      <c r="L3069" s="1" t="str">
        <f>HYPERLINK("https://files.afu.se/Downloads/Transcripts/0%20-%20Government/USA%20-%20NASA%20Johnson/2012 01 27 - NASA Johnson - T-38 Flyover for Day of Remembrance_TH7CHjufk2U - transcript (automated).pdf","Transcript Link")</f>
        <v>Transcript Link</v>
      </c>
      <c r="M3069" s="2" t="str">
        <f>HYPERLINK("https://files.afu.se/Downloads/Transcripts/0%20-%20Government/USA%20-%20NASA%20Johnson/2012 01 27 - NASA Johnson - T-38 Flyover for Day of Remembrance_TH7CHjufk2U - transcript (automated).pdf","Transcript Link")</f>
        <v>Transcript Link</v>
      </c>
    </row>
    <row r="3070" ht="180" spans="1:13">
      <c r="A3070" s="1" t="s">
        <v>13445</v>
      </c>
      <c r="B3070" s="1" t="s">
        <v>13</v>
      </c>
      <c r="C3070" s="4" t="s">
        <v>13450</v>
      </c>
      <c r="D3070" s="1" t="s">
        <v>13451</v>
      </c>
      <c r="E3070" s="1" t="s">
        <v>13452</v>
      </c>
      <c r="F3070" s="4" t="s">
        <v>17</v>
      </c>
      <c r="G3070" s="1" t="s">
        <v>18</v>
      </c>
      <c r="H3070" s="1" t="s">
        <v>19</v>
      </c>
      <c r="I3070" s="1" t="s">
        <v>20</v>
      </c>
      <c r="J3070" s="1" t="s">
        <v>13453</v>
      </c>
      <c r="K3070" s="1" t="s">
        <v>22</v>
      </c>
      <c r="L3070" s="1" t="str">
        <f>HYPERLINK("https://files.afu.se/Downloads/Transcripts/0%20-%20Government/USA%20-%20NASA%20Johnson/2012 01 27 - NASA Johnson - Weekly ISS Recap - Jan. 23-27, 2012_BbWcwqNogV8 - transcript (automated).pdf","Transcript Link")</f>
        <v>Transcript Link</v>
      </c>
      <c r="M3070" s="2" t="str">
        <f>HYPERLINK("https://files.afu.se/Downloads/Transcripts/0%20-%20Government/USA%20-%20NASA%20Johnson/2012 01 27 - NASA Johnson - Weekly ISS Recap - Jan. 23-27, 2012_BbWcwqNogV8 - transcript (automated).pdf","Transcript Link")</f>
        <v>Transcript Link</v>
      </c>
    </row>
    <row r="3071" ht="180" spans="1:13">
      <c r="A3071" s="1" t="s">
        <v>13454</v>
      </c>
      <c r="B3071" s="1" t="s">
        <v>13</v>
      </c>
      <c r="C3071" s="4" t="s">
        <v>13455</v>
      </c>
      <c r="D3071" s="1" t="s">
        <v>13456</v>
      </c>
      <c r="E3071" s="1" t="s">
        <v>13457</v>
      </c>
      <c r="F3071" s="4" t="s">
        <v>17</v>
      </c>
      <c r="G3071" s="1" t="s">
        <v>18</v>
      </c>
      <c r="H3071" s="1" t="s">
        <v>19</v>
      </c>
      <c r="I3071" s="1" t="s">
        <v>20</v>
      </c>
      <c r="J3071" s="1" t="s">
        <v>13458</v>
      </c>
      <c r="K3071" s="1" t="s">
        <v>22</v>
      </c>
      <c r="L3071" s="1" t="str">
        <f>HYPERLINK("https://files.afu.se/Downloads/Transcripts/0%20-%20Government/USA%20-%20NASA%20Johnson/2012 01 26 - NASA Johnson - ISS Update - Jan. 26, 2012_HzZB40CfYpc - transcript (automated).pdf","Transcript Link")</f>
        <v>Transcript Link</v>
      </c>
      <c r="M3071" s="2" t="str">
        <f>HYPERLINK("https://files.afu.se/Downloads/Transcripts/0%20-%20Government/USA%20-%20NASA%20Johnson/2012 01 26 - NASA Johnson - ISS Update - Jan. 26, 2012_HzZB40CfYpc - transcript (automated).pdf","Transcript Link")</f>
        <v>Transcript Link</v>
      </c>
    </row>
    <row r="3072" ht="180" spans="1:13">
      <c r="A3072" s="1" t="s">
        <v>13459</v>
      </c>
      <c r="B3072" s="1" t="s">
        <v>13</v>
      </c>
      <c r="C3072" s="4" t="s">
        <v>13460</v>
      </c>
      <c r="D3072" s="1" t="s">
        <v>13461</v>
      </c>
      <c r="E3072" s="1" t="s">
        <v>13462</v>
      </c>
      <c r="F3072" s="4" t="s">
        <v>17</v>
      </c>
      <c r="G3072" s="1" t="s">
        <v>18</v>
      </c>
      <c r="H3072" s="1" t="s">
        <v>19</v>
      </c>
      <c r="I3072" s="1" t="s">
        <v>20</v>
      </c>
      <c r="J3072" s="1" t="s">
        <v>13463</v>
      </c>
      <c r="K3072" s="1" t="s">
        <v>22</v>
      </c>
      <c r="L3072" s="1" t="str">
        <f>HYPERLINK("https://files.afu.se/Downloads/Transcripts/0%20-%20Government/USA%20-%20NASA%20Johnson/2012 01 25 - NASA Johnson - ISS Update - Jan. 25, 2012_L6zd9d0939M - transcript (automated).pdf","Transcript Link")</f>
        <v>Transcript Link</v>
      </c>
      <c r="M3072" s="2" t="str">
        <f>HYPERLINK("https://files.afu.se/Downloads/Transcripts/0%20-%20Government/USA%20-%20NASA%20Johnson/2012 01 25 - NASA Johnson - ISS Update - Jan. 25, 2012_L6zd9d0939M - transcript (automated).pdf","Transcript Link")</f>
        <v>Transcript Link</v>
      </c>
    </row>
    <row r="3073" ht="180" spans="1:13">
      <c r="A3073" s="1" t="s">
        <v>13464</v>
      </c>
      <c r="B3073" s="1" t="s">
        <v>13</v>
      </c>
      <c r="C3073" s="4" t="s">
        <v>13465</v>
      </c>
      <c r="D3073" s="1" t="s">
        <v>13466</v>
      </c>
      <c r="E3073" s="1" t="s">
        <v>13467</v>
      </c>
      <c r="F3073" s="4" t="s">
        <v>17</v>
      </c>
      <c r="G3073" s="1" t="s">
        <v>18</v>
      </c>
      <c r="H3073" s="1" t="s">
        <v>19</v>
      </c>
      <c r="I3073" s="1" t="s">
        <v>20</v>
      </c>
      <c r="J3073" s="1" t="s">
        <v>13468</v>
      </c>
      <c r="K3073" s="1" t="s">
        <v>22</v>
      </c>
      <c r="L3073" s="1" t="str">
        <f>HYPERLINK("https://files.afu.se/Downloads/Transcripts/0%20-%20Government/USA%20-%20NASA%20Johnson/2012 01 24 - NASA Johnson - Digital Learning Network Event with Robotics Engineer Jonathan Rogers_cTDIEybgRKI - transcript (automated).pdf","Transcript Link")</f>
        <v>Transcript Link</v>
      </c>
      <c r="M3073" s="2" t="str">
        <f>HYPERLINK("https://files.afu.se/Downloads/Transcripts/0%20-%20Government/USA%20-%20NASA%20Johnson/2012 01 24 - NASA Johnson - Digital Learning Network Event with Robotics Engineer Jonathan Rogers_cTDIEybgRKI - transcript (automated).pdf","Transcript Link")</f>
        <v>Transcript Link</v>
      </c>
    </row>
    <row r="3074" ht="180" spans="1:13">
      <c r="A3074" s="1" t="s">
        <v>13464</v>
      </c>
      <c r="B3074" s="1" t="s">
        <v>13</v>
      </c>
      <c r="C3074" s="4" t="s">
        <v>13469</v>
      </c>
      <c r="D3074" s="1" t="s">
        <v>13470</v>
      </c>
      <c r="E3074" s="1" t="s">
        <v>13471</v>
      </c>
      <c r="F3074" s="4" t="s">
        <v>17</v>
      </c>
      <c r="G3074" s="1" t="s">
        <v>18</v>
      </c>
      <c r="H3074" s="1" t="s">
        <v>19</v>
      </c>
      <c r="I3074" s="1" t="s">
        <v>20</v>
      </c>
      <c r="J3074" s="1" t="s">
        <v>13472</v>
      </c>
      <c r="K3074" s="1" t="s">
        <v>22</v>
      </c>
      <c r="L3074" s="1" t="str">
        <f>HYPERLINK("https://files.afu.se/Downloads/Transcripts/0%20-%20Government/USA%20-%20NASA%20Johnson/2012 01 24 - NASA Johnson - ISS Update - Jan. 24, 2012_UomgfVySkCY - transcript (automated).pdf","Transcript Link")</f>
        <v>Transcript Link</v>
      </c>
      <c r="M3074" s="2" t="str">
        <f>HYPERLINK("https://files.afu.se/Downloads/Transcripts/0%20-%20Government/USA%20-%20NASA%20Johnson/2012 01 24 - NASA Johnson - ISS Update - Jan. 24, 2012_UomgfVySkCY - transcript (automated).pdf","Transcript Link")</f>
        <v>Transcript Link</v>
      </c>
    </row>
    <row r="3075" ht="180" spans="1:13">
      <c r="A3075" s="1" t="s">
        <v>13473</v>
      </c>
      <c r="B3075" s="1" t="s">
        <v>13</v>
      </c>
      <c r="C3075" s="4" t="s">
        <v>13474</v>
      </c>
      <c r="D3075" s="1" t="s">
        <v>13475</v>
      </c>
      <c r="E3075" s="1" t="s">
        <v>13476</v>
      </c>
      <c r="F3075" s="4" t="s">
        <v>17</v>
      </c>
      <c r="G3075" s="1" t="s">
        <v>18</v>
      </c>
      <c r="H3075" s="1" t="s">
        <v>19</v>
      </c>
      <c r="I3075" s="1" t="s">
        <v>20</v>
      </c>
      <c r="J3075" s="1" t="s">
        <v>13477</v>
      </c>
      <c r="K3075" s="1" t="s">
        <v>22</v>
      </c>
      <c r="L3075" s="1" t="str">
        <f>HYPERLINK("https://files.afu.se/Downloads/Transcripts/0%20-%20Government/USA%20-%20NASA%20Johnson/2012 01 23 - NASA Johnson - ISS Update - Jan. 23, 2012_dZh91nKZb7c - transcript (automated).pdf","Transcript Link")</f>
        <v>Transcript Link</v>
      </c>
      <c r="M3075" s="2" t="str">
        <f>HYPERLINK("https://files.afu.se/Downloads/Transcripts/0%20-%20Government/USA%20-%20NASA%20Johnson/2012 01 23 - NASA Johnson - ISS Update - Jan. 23, 2012_dZh91nKZb7c - transcript (automated).pdf","Transcript Link")</f>
        <v>Transcript Link</v>
      </c>
    </row>
    <row r="3076" ht="180" spans="1:13">
      <c r="A3076" s="1" t="s">
        <v>13478</v>
      </c>
      <c r="B3076" s="1" t="s">
        <v>13</v>
      </c>
      <c r="C3076" s="4" t="s">
        <v>13479</v>
      </c>
      <c r="D3076" s="1" t="s">
        <v>13480</v>
      </c>
      <c r="E3076" s="1" t="s">
        <v>13481</v>
      </c>
      <c r="F3076" s="4" t="s">
        <v>17</v>
      </c>
      <c r="G3076" s="1" t="s">
        <v>18</v>
      </c>
      <c r="H3076" s="1" t="s">
        <v>19</v>
      </c>
      <c r="I3076" s="1" t="s">
        <v>20</v>
      </c>
      <c r="J3076" s="1" t="s">
        <v>13482</v>
      </c>
      <c r="K3076" s="1" t="s">
        <v>22</v>
      </c>
      <c r="L3076" s="1" t="str">
        <f>HYPERLINK("https://files.afu.se/Downloads/Transcripts/0%20-%20Government/USA%20-%20NASA%20Johnson/2012 01 20 - NASA Johnson - Astronaut Jack Fischer Interview_hVmAMwmS0Rw - transcript (automated).pdf","Transcript Link")</f>
        <v>Transcript Link</v>
      </c>
      <c r="M3076" s="2" t="str">
        <f>HYPERLINK("https://files.afu.se/Downloads/Transcripts/0%20-%20Government/USA%20-%20NASA%20Johnson/2012 01 20 - NASA Johnson - Astronaut Jack Fischer Interview_hVmAMwmS0Rw - transcript (automated).pdf","Transcript Link")</f>
        <v>Transcript Link</v>
      </c>
    </row>
    <row r="3077" ht="180" spans="1:13">
      <c r="A3077" s="1" t="s">
        <v>13478</v>
      </c>
      <c r="B3077" s="1" t="s">
        <v>13</v>
      </c>
      <c r="C3077" s="4" t="s">
        <v>13483</v>
      </c>
      <c r="D3077" s="1" t="s">
        <v>13484</v>
      </c>
      <c r="E3077" s="1" t="s">
        <v>13485</v>
      </c>
      <c r="F3077" s="4" t="s">
        <v>17</v>
      </c>
      <c r="G3077" s="1" t="s">
        <v>18</v>
      </c>
      <c r="H3077" s="1" t="s">
        <v>19</v>
      </c>
      <c r="I3077" s="1" t="s">
        <v>20</v>
      </c>
      <c r="J3077" s="1" t="s">
        <v>13486</v>
      </c>
      <c r="K3077" s="1" t="s">
        <v>22</v>
      </c>
      <c r="L3077" s="1" t="str">
        <f>HYPERLINK("https://files.afu.se/Downloads/Transcripts/0%20-%20Government/USA%20-%20NASA%20Johnson/2012 01 20 - NASA Johnson - Weekly ISS Recap - Jan. 16-20, 2012_oc3eiu9XeDU - transcript (automated).pdf","Transcript Link")</f>
        <v>Transcript Link</v>
      </c>
      <c r="M3077" s="2" t="str">
        <f>HYPERLINK("https://files.afu.se/Downloads/Transcripts/0%20-%20Government/USA%20-%20NASA%20Johnson/2012 01 20 - NASA Johnson - Weekly ISS Recap - Jan. 16-20, 2012_oc3eiu9XeDU - transcript (automated).pdf","Transcript Link")</f>
        <v>Transcript Link</v>
      </c>
    </row>
    <row r="3078" ht="180" spans="1:13">
      <c r="A3078" s="1" t="s">
        <v>13487</v>
      </c>
      <c r="B3078" s="1" t="s">
        <v>13</v>
      </c>
      <c r="C3078" s="4" t="s">
        <v>13488</v>
      </c>
      <c r="D3078" s="1" t="s">
        <v>13489</v>
      </c>
      <c r="E3078" s="1" t="s">
        <v>13490</v>
      </c>
      <c r="F3078" s="4" t="s">
        <v>17</v>
      </c>
      <c r="G3078" s="1" t="s">
        <v>18</v>
      </c>
      <c r="H3078" s="1" t="s">
        <v>19</v>
      </c>
      <c r="I3078" s="1" t="s">
        <v>20</v>
      </c>
      <c r="J3078" s="1" t="s">
        <v>13491</v>
      </c>
      <c r="K3078" s="1" t="s">
        <v>22</v>
      </c>
      <c r="L3078" s="1" t="str">
        <f>HYPERLINK("https://files.afu.se/Downloads/Transcripts/0%20-%20Government/USA%20-%20NASA%20Johnson/2012 01 19 - NASA Johnson - Zack Crues on Space Exploration Vehicle Mockup_q5c9zBbEBJw - transcript (automated).pdf","Transcript Link")</f>
        <v>Transcript Link</v>
      </c>
      <c r="M3078" s="2" t="str">
        <f>HYPERLINK("https://files.afu.se/Downloads/Transcripts/0%20-%20Government/USA%20-%20NASA%20Johnson/2012 01 19 - NASA Johnson - Zack Crues on Space Exploration Vehicle Mockup_q5c9zBbEBJw - transcript (automated).pdf","Transcript Link")</f>
        <v>Transcript Link</v>
      </c>
    </row>
    <row r="3079" ht="180" spans="1:13">
      <c r="A3079" s="1" t="s">
        <v>13487</v>
      </c>
      <c r="B3079" s="1" t="s">
        <v>13</v>
      </c>
      <c r="C3079" s="4" t="s">
        <v>13492</v>
      </c>
      <c r="D3079" s="1" t="s">
        <v>13493</v>
      </c>
      <c r="E3079" s="1" t="s">
        <v>13494</v>
      </c>
      <c r="F3079" s="4" t="s">
        <v>17</v>
      </c>
      <c r="G3079" s="1" t="s">
        <v>18</v>
      </c>
      <c r="H3079" s="1" t="s">
        <v>19</v>
      </c>
      <c r="I3079" s="1" t="s">
        <v>20</v>
      </c>
      <c r="J3079" s="1" t="s">
        <v>13495</v>
      </c>
      <c r="K3079" s="1" t="s">
        <v>22</v>
      </c>
      <c r="L3079" s="1" t="str">
        <f>HYPERLINK("https://files.afu.se/Downloads/Transcripts/0%20-%20Government/USA%20-%20NASA%20Johnson/2012 01 19 - NASA Johnson - James Johnson on Asteroid Mission Simulation Testing_sVG5OdpXdx8 - transcript (automated).pdf","Transcript Link")</f>
        <v>Transcript Link</v>
      </c>
      <c r="M3079" s="2" t="str">
        <f>HYPERLINK("https://files.afu.se/Downloads/Transcripts/0%20-%20Government/USA%20-%20NASA%20Johnson/2012 01 19 - NASA Johnson - James Johnson on Asteroid Mission Simulation Testing_sVG5OdpXdx8 - transcript (automated).pdf","Transcript Link")</f>
        <v>Transcript Link</v>
      </c>
    </row>
    <row r="3080" ht="180" spans="1:13">
      <c r="A3080" s="1" t="s">
        <v>13487</v>
      </c>
      <c r="B3080" s="1" t="s">
        <v>13</v>
      </c>
      <c r="C3080" s="4" t="s">
        <v>13496</v>
      </c>
      <c r="D3080" s="1" t="s">
        <v>13497</v>
      </c>
      <c r="E3080" s="1" t="s">
        <v>13498</v>
      </c>
      <c r="F3080" s="4" t="s">
        <v>17</v>
      </c>
      <c r="G3080" s="1" t="s">
        <v>18</v>
      </c>
      <c r="H3080" s="1" t="s">
        <v>19</v>
      </c>
      <c r="I3080" s="1" t="s">
        <v>20</v>
      </c>
      <c r="J3080" s="1" t="s">
        <v>13499</v>
      </c>
      <c r="K3080" s="1" t="s">
        <v>22</v>
      </c>
      <c r="L3080" s="1" t="str">
        <f>HYPERLINK("https://files.afu.se/Downloads/Transcripts/0%20-%20Government/USA%20-%20NASA%20Johnson/2012 01 19 - NASA Johnson - Mike Gernhardt on Asteroid Mission Simulation_jMO4R3Bk8Rc - transcript (automated).pdf","Transcript Link")</f>
        <v>Transcript Link</v>
      </c>
      <c r="M3080" s="2" t="str">
        <f>HYPERLINK("https://files.afu.se/Downloads/Transcripts/0%20-%20Government/USA%20-%20NASA%20Johnson/2012 01 19 - NASA Johnson - Mike Gernhardt on Asteroid Mission Simulation_jMO4R3Bk8Rc - transcript (automated).pdf","Transcript Link")</f>
        <v>Transcript Link</v>
      </c>
    </row>
    <row r="3081" ht="180" spans="1:13">
      <c r="A3081" s="1" t="s">
        <v>13487</v>
      </c>
      <c r="B3081" s="1" t="s">
        <v>13</v>
      </c>
      <c r="C3081" s="4" t="s">
        <v>13500</v>
      </c>
      <c r="D3081" s="1" t="s">
        <v>13501</v>
      </c>
      <c r="E3081" s="1" t="s">
        <v>13502</v>
      </c>
      <c r="F3081" s="4" t="s">
        <v>17</v>
      </c>
      <c r="G3081" s="1" t="s">
        <v>18</v>
      </c>
      <c r="H3081" s="1" t="s">
        <v>19</v>
      </c>
      <c r="I3081" s="1" t="s">
        <v>20</v>
      </c>
      <c r="J3081" s="1" t="s">
        <v>13503</v>
      </c>
      <c r="K3081" s="1" t="s">
        <v>22</v>
      </c>
      <c r="L3081" s="1" t="str">
        <f>HYPERLINK("https://files.afu.se/Downloads/Transcripts/0%20-%20Government/USA%20-%20NASA%20Johnson/2012 01 19 - NASA Johnson - ISS Update - Jan. 19, 2012_t_FFwRYfMuE - transcript (automated).pdf","Transcript Link")</f>
        <v>Transcript Link</v>
      </c>
      <c r="M3081" s="2" t="str">
        <f>HYPERLINK("https://files.afu.se/Downloads/Transcripts/0%20-%20Government/USA%20-%20NASA%20Johnson/2012 01 19 - NASA Johnson - ISS Update - Jan. 19, 2012_t_FFwRYfMuE - transcript (automated).pdf","Transcript Link")</f>
        <v>Transcript Link</v>
      </c>
    </row>
    <row r="3082" ht="180" spans="1:13">
      <c r="A3082" s="1" t="s">
        <v>13504</v>
      </c>
      <c r="B3082" s="1" t="s">
        <v>13</v>
      </c>
      <c r="C3082" s="4" t="s">
        <v>13505</v>
      </c>
      <c r="D3082" s="1" t="s">
        <v>13506</v>
      </c>
      <c r="E3082" s="1" t="s">
        <v>13507</v>
      </c>
      <c r="F3082" s="4" t="s">
        <v>17</v>
      </c>
      <c r="G3082" s="1" t="s">
        <v>18</v>
      </c>
      <c r="H3082" s="1" t="s">
        <v>19</v>
      </c>
      <c r="I3082" s="1" t="s">
        <v>20</v>
      </c>
      <c r="J3082" s="1" t="s">
        <v>13508</v>
      </c>
      <c r="K3082" s="1" t="s">
        <v>22</v>
      </c>
      <c r="L3082" s="1" t="str">
        <f>HYPERLINK("https://files.afu.se/Downloads/Transcripts/0%20-%20Government/USA%20-%20NASA%20Johnson/2012 01 18 - NASA Johnson - International Space Station Science_0pUf1IWwRcA - transcript (automated).pdf","Transcript Link")</f>
        <v>Transcript Link</v>
      </c>
      <c r="M3082" s="2" t="str">
        <f>HYPERLINK("https://files.afu.se/Downloads/Transcripts/0%20-%20Government/USA%20-%20NASA%20Johnson/2012 01 18 - NASA Johnson - International Space Station Science_0pUf1IWwRcA - transcript (automated).pdf","Transcript Link")</f>
        <v>Transcript Link</v>
      </c>
    </row>
    <row r="3083" ht="180" spans="1:13">
      <c r="A3083" s="1" t="s">
        <v>13504</v>
      </c>
      <c r="B3083" s="1" t="s">
        <v>13</v>
      </c>
      <c r="C3083" s="4" t="s">
        <v>13509</v>
      </c>
      <c r="D3083" s="1" t="s">
        <v>13510</v>
      </c>
      <c r="E3083" s="1" t="s">
        <v>13511</v>
      </c>
      <c r="F3083" s="4" t="s">
        <v>17</v>
      </c>
      <c r="G3083" s="1" t="s">
        <v>18</v>
      </c>
      <c r="H3083" s="1" t="s">
        <v>19</v>
      </c>
      <c r="I3083" s="1" t="s">
        <v>20</v>
      </c>
      <c r="J3083" s="1" t="s">
        <v>13512</v>
      </c>
      <c r="K3083" s="1" t="s">
        <v>22</v>
      </c>
      <c r="L3083" s="1" t="str">
        <f>HYPERLINK("https://files.afu.se/Downloads/Transcripts/0%20-%20Government/USA%20-%20NASA%20Johnson/2012 01 18 - NASA Johnson - ISS Update - Jan. 18, 2012_6ZiBRDlfwVw - transcript (automated).pdf","Transcript Link")</f>
        <v>Transcript Link</v>
      </c>
      <c r="M3083" s="2" t="str">
        <f>HYPERLINK("https://files.afu.se/Downloads/Transcripts/0%20-%20Government/USA%20-%20NASA%20Johnson/2012 01 18 - NASA Johnson - ISS Update - Jan. 18, 2012_6ZiBRDlfwVw - transcript (automated).pdf","Transcript Link")</f>
        <v>Transcript Link</v>
      </c>
    </row>
    <row r="3084" ht="180" spans="1:13">
      <c r="A3084" s="1" t="s">
        <v>13513</v>
      </c>
      <c r="B3084" s="1" t="s">
        <v>13</v>
      </c>
      <c r="C3084" s="4" t="s">
        <v>13514</v>
      </c>
      <c r="D3084" s="1" t="s">
        <v>13515</v>
      </c>
      <c r="E3084" s="1" t="s">
        <v>13516</v>
      </c>
      <c r="F3084" s="4" t="s">
        <v>17</v>
      </c>
      <c r="G3084" s="1" t="s">
        <v>18</v>
      </c>
      <c r="H3084" s="1" t="s">
        <v>19</v>
      </c>
      <c r="I3084" s="1" t="s">
        <v>20</v>
      </c>
      <c r="J3084" s="1" t="s">
        <v>13517</v>
      </c>
      <c r="K3084" s="1" t="s">
        <v>22</v>
      </c>
      <c r="L3084" s="1" t="str">
        <f>HYPERLINK("https://files.afu.se/Downloads/Transcripts/0%20-%20Government/USA%20-%20NASA%20Johnson/2012 01 17 - NASA Johnson - ISS Update - Jan. 17, 2012_JfZqMJHHvns - transcript (automated).pdf","Transcript Link")</f>
        <v>Transcript Link</v>
      </c>
      <c r="M3084" s="2" t="str">
        <f>HYPERLINK("https://files.afu.se/Downloads/Transcripts/0%20-%20Government/USA%20-%20NASA%20Johnson/2012 01 17 - NASA Johnson - ISS Update - Jan. 17, 2012_JfZqMJHHvns - transcript (automated).pdf","Transcript Link")</f>
        <v>Transcript Link</v>
      </c>
    </row>
    <row r="3085" ht="180" spans="1:13">
      <c r="A3085" s="1" t="s">
        <v>13518</v>
      </c>
      <c r="B3085" s="1" t="s">
        <v>13</v>
      </c>
      <c r="C3085" s="4" t="s">
        <v>13519</v>
      </c>
      <c r="D3085" s="1" t="s">
        <v>13520</v>
      </c>
      <c r="E3085" s="1" t="s">
        <v>13521</v>
      </c>
      <c r="F3085" s="4" t="s">
        <v>17</v>
      </c>
      <c r="G3085" s="1" t="s">
        <v>18</v>
      </c>
      <c r="H3085" s="1" t="s">
        <v>19</v>
      </c>
      <c r="I3085" s="1" t="s">
        <v>20</v>
      </c>
      <c r="J3085" s="1" t="s">
        <v>13522</v>
      </c>
      <c r="K3085" s="1" t="s">
        <v>22</v>
      </c>
      <c r="L3085" s="1" t="str">
        <f>HYPERLINK("https://files.afu.se/Downloads/Transcripts/0%20-%20Government/USA%20-%20NASA%20Johnson/2012 01 13 - NASA Johnson - Weekly ISS Recap - Jan. 9-13, 2012_vGnbgI7yUug - transcript (automated).pdf","Transcript Link")</f>
        <v>Transcript Link</v>
      </c>
      <c r="M3085" s="2" t="str">
        <f>HYPERLINK("https://files.afu.se/Downloads/Transcripts/0%20-%20Government/USA%20-%20NASA%20Johnson/2012 01 13 - NASA Johnson - Weekly ISS Recap - Jan. 9-13, 2012_vGnbgI7yUug - transcript (automated).pdf","Transcript Link")</f>
        <v>Transcript Link</v>
      </c>
    </row>
    <row r="3086" ht="180" spans="1:13">
      <c r="A3086" s="1" t="s">
        <v>13523</v>
      </c>
      <c r="B3086" s="1" t="s">
        <v>13</v>
      </c>
      <c r="C3086" s="4" t="s">
        <v>13524</v>
      </c>
      <c r="D3086" s="1" t="s">
        <v>13525</v>
      </c>
      <c r="E3086" s="1" t="s">
        <v>13526</v>
      </c>
      <c r="F3086" s="4" t="s">
        <v>17</v>
      </c>
      <c r="G3086" s="1" t="s">
        <v>18</v>
      </c>
      <c r="H3086" s="1" t="s">
        <v>19</v>
      </c>
      <c r="I3086" s="1" t="s">
        <v>20</v>
      </c>
      <c r="J3086" s="1" t="s">
        <v>13527</v>
      </c>
      <c r="K3086" s="1" t="s">
        <v>22</v>
      </c>
      <c r="L3086" s="1" t="str">
        <f>HYPERLINK("https://files.afu.se/Downloads/Transcripts/0%20-%20Government/USA%20-%20NASA%20Johnson/2012 01 12 - NASA Johnson - ISS Update - Jan. 12, 2012_lTgRM5bYqCc - transcript (automated).pdf","Transcript Link")</f>
        <v>Transcript Link</v>
      </c>
      <c r="M3086" s="2" t="str">
        <f>HYPERLINK("https://files.afu.se/Downloads/Transcripts/0%20-%20Government/USA%20-%20NASA%20Johnson/2012 01 12 - NASA Johnson - ISS Update - Jan. 12, 2012_lTgRM5bYqCc - transcript (automated).pdf","Transcript Link")</f>
        <v>Transcript Link</v>
      </c>
    </row>
    <row r="3087" ht="180" spans="1:13">
      <c r="A3087" s="1" t="s">
        <v>13528</v>
      </c>
      <c r="B3087" s="1" t="s">
        <v>13</v>
      </c>
      <c r="C3087" s="4" t="s">
        <v>13529</v>
      </c>
      <c r="D3087" s="1" t="s">
        <v>13530</v>
      </c>
      <c r="E3087" s="1" t="s">
        <v>13531</v>
      </c>
      <c r="F3087" s="4" t="s">
        <v>17</v>
      </c>
      <c r="G3087" s="1" t="s">
        <v>18</v>
      </c>
      <c r="H3087" s="1" t="s">
        <v>19</v>
      </c>
      <c r="I3087" s="1" t="s">
        <v>20</v>
      </c>
      <c r="J3087" s="1" t="s">
        <v>13532</v>
      </c>
      <c r="K3087" s="1" t="s">
        <v>22</v>
      </c>
      <c r="L3087" s="1" t="str">
        <f>HYPERLINK("https://files.afu.se/Downloads/Transcripts/0%20-%20Government/USA%20-%20NASA%20Johnson/2012 01 11 - NASA Johnson - Dan Burbank Speaks With Students Using Amateur Radio_rJDYsDK5Vcw - transcript (automated).pdf","Transcript Link")</f>
        <v>Transcript Link</v>
      </c>
      <c r="M3087" s="2" t="str">
        <f>HYPERLINK("https://files.afu.se/Downloads/Transcripts/0%20-%20Government/USA%20-%20NASA%20Johnson/2012 01 11 - NASA Johnson - Dan Burbank Speaks With Students Using Amateur Radio_rJDYsDK5Vcw - transcript (automated).pdf","Transcript Link")</f>
        <v>Transcript Link</v>
      </c>
    </row>
    <row r="3088" ht="180" spans="1:13">
      <c r="A3088" s="1" t="s">
        <v>13528</v>
      </c>
      <c r="B3088" s="1" t="s">
        <v>13</v>
      </c>
      <c r="C3088" s="4" t="s">
        <v>13533</v>
      </c>
      <c r="D3088" s="1" t="s">
        <v>13534</v>
      </c>
      <c r="E3088" s="1" t="s">
        <v>13526</v>
      </c>
      <c r="F3088" s="4" t="s">
        <v>17</v>
      </c>
      <c r="G3088" s="1" t="s">
        <v>18</v>
      </c>
      <c r="H3088" s="1" t="s">
        <v>19</v>
      </c>
      <c r="I3088" s="1" t="s">
        <v>20</v>
      </c>
      <c r="J3088" s="1" t="s">
        <v>13535</v>
      </c>
      <c r="K3088" s="1" t="s">
        <v>22</v>
      </c>
      <c r="L3088" s="1" t="str">
        <f>HYPERLINK("https://files.afu.se/Downloads/Transcripts/0%20-%20Government/USA%20-%20NASA%20Johnson/2012 01 11 - NASA Johnson - ISS Update - Jan. 11, 2012_BZ58Tg7nbYA - transcript (automated).pdf","Transcript Link")</f>
        <v>Transcript Link</v>
      </c>
      <c r="M3088" s="2" t="str">
        <f>HYPERLINK("https://files.afu.se/Downloads/Transcripts/0%20-%20Government/USA%20-%20NASA%20Johnson/2012 01 11 - NASA Johnson - ISS Update - Jan. 11, 2012_BZ58Tg7nbYA - transcript (automated).pdf","Transcript Link")</f>
        <v>Transcript Link</v>
      </c>
    </row>
    <row r="3089" ht="180" spans="1:13">
      <c r="A3089" s="1" t="s">
        <v>13536</v>
      </c>
      <c r="B3089" s="1" t="s">
        <v>13</v>
      </c>
      <c r="C3089" s="4" t="s">
        <v>13537</v>
      </c>
      <c r="D3089" s="1" t="s">
        <v>13538</v>
      </c>
      <c r="E3089" s="1" t="s">
        <v>13539</v>
      </c>
      <c r="F3089" s="4" t="s">
        <v>17</v>
      </c>
      <c r="G3089" s="1" t="s">
        <v>18</v>
      </c>
      <c r="H3089" s="1" t="s">
        <v>19</v>
      </c>
      <c r="I3089" s="1" t="s">
        <v>20</v>
      </c>
      <c r="J3089" s="1" t="s">
        <v>13540</v>
      </c>
      <c r="K3089" s="1" t="s">
        <v>22</v>
      </c>
      <c r="L3089" s="1" t="str">
        <f>HYPERLINK("https://files.afu.se/Downloads/Transcripts/0%20-%20Government/USA%20-%20NASA%20Johnson/2012 01 10 - NASA Johnson - ISS Update - Jan. 10, 2012_v8VZrP4IdZE - transcript (automated).pdf","Transcript Link")</f>
        <v>Transcript Link</v>
      </c>
      <c r="M3089" s="2" t="str">
        <f>HYPERLINK("https://files.afu.se/Downloads/Transcripts/0%20-%20Government/USA%20-%20NASA%20Johnson/2012 01 10 - NASA Johnson - ISS Update - Jan. 10, 2012_v8VZrP4IdZE - transcript (automated).pdf","Transcript Link")</f>
        <v>Transcript Link</v>
      </c>
    </row>
    <row r="3090" ht="180" spans="1:13">
      <c r="A3090" s="1" t="s">
        <v>13541</v>
      </c>
      <c r="B3090" s="1" t="s">
        <v>13</v>
      </c>
      <c r="C3090" s="4" t="s">
        <v>13542</v>
      </c>
      <c r="D3090" s="1" t="s">
        <v>13543</v>
      </c>
      <c r="E3090" s="1" t="s">
        <v>13544</v>
      </c>
      <c r="F3090" s="4" t="s">
        <v>17</v>
      </c>
      <c r="G3090" s="1" t="s">
        <v>18</v>
      </c>
      <c r="H3090" s="1" t="s">
        <v>19</v>
      </c>
      <c r="I3090" s="1" t="s">
        <v>20</v>
      </c>
      <c r="J3090" s="1" t="s">
        <v>13545</v>
      </c>
      <c r="K3090" s="1" t="s">
        <v>22</v>
      </c>
      <c r="L3090" s="1" t="str">
        <f>HYPERLINK("https://files.afu.se/Downloads/Transcripts/0%20-%20Government/USA%20-%20NASA%20Johnson/2012 01 09 - NASA Johnson - NASA Student Recruitment Video_9q8MM0eDU_s - transcript (automated).pdf","Transcript Link")</f>
        <v>Transcript Link</v>
      </c>
      <c r="M3090" s="2" t="str">
        <f>HYPERLINK("https://files.afu.se/Downloads/Transcripts/0%20-%20Government/USA%20-%20NASA%20Johnson/2012 01 09 - NASA Johnson - NASA Student Recruitment Video_9q8MM0eDU_s - transcript (automated).pdf","Transcript Link")</f>
        <v>Transcript Link</v>
      </c>
    </row>
    <row r="3091" ht="180" spans="1:13">
      <c r="A3091" s="1" t="s">
        <v>13541</v>
      </c>
      <c r="B3091" s="1" t="s">
        <v>13</v>
      </c>
      <c r="C3091" s="4" t="s">
        <v>13546</v>
      </c>
      <c r="D3091" s="1" t="s">
        <v>13547</v>
      </c>
      <c r="E3091" s="1" t="s">
        <v>13548</v>
      </c>
      <c r="F3091" s="4" t="s">
        <v>17</v>
      </c>
      <c r="G3091" s="1" t="s">
        <v>18</v>
      </c>
      <c r="H3091" s="1" t="s">
        <v>19</v>
      </c>
      <c r="I3091" s="1" t="s">
        <v>20</v>
      </c>
      <c r="J3091" s="1" t="s">
        <v>13549</v>
      </c>
      <c r="K3091" s="1" t="s">
        <v>22</v>
      </c>
      <c r="L3091" s="1" t="str">
        <f>HYPERLINK("https://files.afu.se/Downloads/Transcripts/0%20-%20Government/USA%20-%20NASA%20Johnson/2012 01 09 - NASA Johnson - Reid Wiseman Interview_lxGfvKYYs1U - transcript (automated).pdf","Transcript Link")</f>
        <v>Transcript Link</v>
      </c>
      <c r="M3091" s="2" t="str">
        <f>HYPERLINK("https://files.afu.se/Downloads/Transcripts/0%20-%20Government/USA%20-%20NASA%20Johnson/2012 01 09 - NASA Johnson - Reid Wiseman Interview_lxGfvKYYs1U - transcript (automated).pdf","Transcript Link")</f>
        <v>Transcript Link</v>
      </c>
    </row>
    <row r="3092" ht="180" spans="1:13">
      <c r="A3092" s="1" t="s">
        <v>13541</v>
      </c>
      <c r="B3092" s="1" t="s">
        <v>13</v>
      </c>
      <c r="C3092" s="4" t="s">
        <v>13550</v>
      </c>
      <c r="D3092" s="1" t="s">
        <v>13551</v>
      </c>
      <c r="E3092" s="1" t="s">
        <v>13552</v>
      </c>
      <c r="F3092" s="4" t="s">
        <v>17</v>
      </c>
      <c r="G3092" s="1" t="s">
        <v>18</v>
      </c>
      <c r="H3092" s="1" t="s">
        <v>19</v>
      </c>
      <c r="I3092" s="1" t="s">
        <v>20</v>
      </c>
      <c r="J3092" s="1" t="s">
        <v>13553</v>
      </c>
      <c r="K3092" s="1" t="s">
        <v>22</v>
      </c>
      <c r="L3092" s="1" t="str">
        <f>HYPERLINK("https://files.afu.se/Downloads/Transcripts/0%20-%20Government/USA%20-%20NASA%20Johnson/2012 01 09 - NASA Johnson - ISS Update - Jan. 9, 2012_u98MCQ6dmCU - transcript (automated).pdf","Transcript Link")</f>
        <v>Transcript Link</v>
      </c>
      <c r="M3092" s="2" t="str">
        <f>HYPERLINK("https://files.afu.se/Downloads/Transcripts/0%20-%20Government/USA%20-%20NASA%20Johnson/2012 01 09 - NASA Johnson - ISS Update - Jan. 9, 2012_u98MCQ6dmCU - transcript (automated).pdf","Transcript Link")</f>
        <v>Transcript Link</v>
      </c>
    </row>
    <row r="3093" ht="180" spans="1:13">
      <c r="A3093" s="1" t="s">
        <v>13554</v>
      </c>
      <c r="B3093" s="1" t="s">
        <v>13</v>
      </c>
      <c r="C3093" s="4" t="s">
        <v>13555</v>
      </c>
      <c r="D3093" s="1" t="s">
        <v>13556</v>
      </c>
      <c r="E3093" s="1" t="s">
        <v>13557</v>
      </c>
      <c r="F3093" s="4" t="s">
        <v>17</v>
      </c>
      <c r="G3093" s="1" t="s">
        <v>18</v>
      </c>
      <c r="H3093" s="1" t="s">
        <v>19</v>
      </c>
      <c r="I3093" s="1" t="s">
        <v>20</v>
      </c>
      <c r="J3093" s="1" t="s">
        <v>13558</v>
      </c>
      <c r="K3093" s="1" t="s">
        <v>22</v>
      </c>
      <c r="L3093" s="1" t="str">
        <f>HYPERLINK("https://files.afu.se/Downloads/Transcripts/0%20-%20Government/USA%20-%20NASA%20Johnson/2012 01 06 - NASA Johnson - Weekly ISS Recap - Jan. 2-6, 2012_6vuryY-Zqnw - transcript (automated).pdf","Transcript Link")</f>
        <v>Transcript Link</v>
      </c>
      <c r="M3093" s="2" t="str">
        <f>HYPERLINK("https://files.afu.se/Downloads/Transcripts/0%20-%20Government/USA%20-%20NASA%20Johnson/2012 01 06 - NASA Johnson - Weekly ISS Recap - Jan. 2-6, 2012_6vuryY-Zqnw - transcript (automated).pdf","Transcript Link")</f>
        <v>Transcript Link</v>
      </c>
    </row>
    <row r="3094" ht="180" spans="1:13">
      <c r="A3094" s="1" t="s">
        <v>13559</v>
      </c>
      <c r="B3094" s="1" t="s">
        <v>13</v>
      </c>
      <c r="C3094" s="4" t="s">
        <v>13560</v>
      </c>
      <c r="D3094" s="1" t="s">
        <v>13561</v>
      </c>
      <c r="E3094" s="1" t="s">
        <v>13562</v>
      </c>
      <c r="F3094" s="4" t="s">
        <v>17</v>
      </c>
      <c r="G3094" s="1" t="s">
        <v>18</v>
      </c>
      <c r="H3094" s="1" t="s">
        <v>19</v>
      </c>
      <c r="I3094" s="1" t="s">
        <v>20</v>
      </c>
      <c r="J3094" s="1" t="s">
        <v>13563</v>
      </c>
      <c r="K3094" s="1" t="s">
        <v>22</v>
      </c>
      <c r="L3094" s="1" t="str">
        <f>HYPERLINK("https://files.afu.se/Downloads/Transcripts/0%20-%20Government/USA%20-%20NASA%20Johnson/2012 01 05 - NASA Johnson - Dan Burbank  Astronaut Recruitment Message_cjmJrqRgdsQ - transcript (automated).pdf","Transcript Link")</f>
        <v>Transcript Link</v>
      </c>
      <c r="M3094" s="2" t="str">
        <f>HYPERLINK("https://files.afu.se/Downloads/Transcripts/0%20-%20Government/USA%20-%20NASA%20Johnson/2012 01 05 - NASA Johnson - Dan Burbank  Astronaut Recruitment Message_cjmJrqRgdsQ - transcript (automated).pdf","Transcript Link")</f>
        <v>Transcript Link</v>
      </c>
    </row>
    <row r="3095" ht="180" spans="1:13">
      <c r="A3095" s="1" t="s">
        <v>13559</v>
      </c>
      <c r="B3095" s="1" t="s">
        <v>13</v>
      </c>
      <c r="C3095" s="4" t="s">
        <v>13564</v>
      </c>
      <c r="D3095" s="1" t="s">
        <v>13565</v>
      </c>
      <c r="E3095" s="1" t="s">
        <v>13566</v>
      </c>
      <c r="F3095" s="4" t="s">
        <v>17</v>
      </c>
      <c r="G3095" s="1" t="s">
        <v>18</v>
      </c>
      <c r="H3095" s="1" t="s">
        <v>19</v>
      </c>
      <c r="I3095" s="1" t="s">
        <v>20</v>
      </c>
      <c r="J3095" s="1" t="s">
        <v>13567</v>
      </c>
      <c r="K3095" s="1" t="s">
        <v>22</v>
      </c>
      <c r="L3095" s="1" t="str">
        <f>HYPERLINK("https://files.afu.se/Downloads/Transcripts/0%20-%20Government/USA%20-%20NASA%20Johnson/2012 01 05 - NASA Johnson - EPIC Computer Upgrade_QQ4Y8EGxgkU - transcript (automated).pdf","Transcript Link")</f>
        <v>Transcript Link</v>
      </c>
      <c r="M3095" s="2" t="str">
        <f>HYPERLINK("https://files.afu.se/Downloads/Transcripts/0%20-%20Government/USA%20-%20NASA%20Johnson/2012 01 05 - NASA Johnson - EPIC Computer Upgrade_QQ4Y8EGxgkU - transcript (automated).pdf","Transcript Link")</f>
        <v>Transcript Link</v>
      </c>
    </row>
    <row r="3096" ht="180" spans="1:13">
      <c r="A3096" s="1" t="s">
        <v>13559</v>
      </c>
      <c r="B3096" s="1" t="s">
        <v>13</v>
      </c>
      <c r="C3096" s="4" t="s">
        <v>13568</v>
      </c>
      <c r="D3096" s="1" t="s">
        <v>13569</v>
      </c>
      <c r="E3096" s="1" t="s">
        <v>13570</v>
      </c>
      <c r="F3096" s="4" t="s">
        <v>17</v>
      </c>
      <c r="G3096" s="1" t="s">
        <v>18</v>
      </c>
      <c r="H3096" s="1" t="s">
        <v>19</v>
      </c>
      <c r="I3096" s="1" t="s">
        <v>20</v>
      </c>
      <c r="J3096" s="1" t="s">
        <v>13571</v>
      </c>
      <c r="K3096" s="1" t="s">
        <v>22</v>
      </c>
      <c r="L3096" s="1" t="str">
        <f>HYPERLINK("https://files.afu.se/Downloads/Transcripts/0%20-%20Government/USA%20-%20NASA%20Johnson/2012 01 05 - NASA Johnson - ISS Update - Jan. 5, 2012__7cPt4e3vUA - transcript (automated).pdf","Transcript Link")</f>
        <v>Transcript Link</v>
      </c>
      <c r="M3096" s="2" t="str">
        <f>HYPERLINK("https://files.afu.se/Downloads/Transcripts/0%20-%20Government/USA%20-%20NASA%20Johnson/2012 01 05 - NASA Johnson - ISS Update - Jan. 5, 2012__7cPt4e3vUA - transcript (automated).pdf","Transcript Link")</f>
        <v>Transcript Link</v>
      </c>
    </row>
    <row r="3097" ht="180" spans="1:13">
      <c r="A3097" s="1" t="s">
        <v>13572</v>
      </c>
      <c r="B3097" s="1" t="s">
        <v>13</v>
      </c>
      <c r="C3097" s="4" t="s">
        <v>13573</v>
      </c>
      <c r="D3097" s="1" t="s">
        <v>13574</v>
      </c>
      <c r="E3097" s="1" t="s">
        <v>13575</v>
      </c>
      <c r="F3097" s="4" t="s">
        <v>17</v>
      </c>
      <c r="G3097" s="1" t="s">
        <v>18</v>
      </c>
      <c r="H3097" s="1" t="s">
        <v>19</v>
      </c>
      <c r="I3097" s="1" t="s">
        <v>20</v>
      </c>
      <c r="J3097" s="1" t="s">
        <v>13576</v>
      </c>
      <c r="K3097" s="1" t="s">
        <v>22</v>
      </c>
      <c r="L3097" s="1" t="str">
        <f>HYPERLINK("https://files.afu.se/Downloads/Transcripts/0%20-%20Government/USA%20-%20NASA%20Johnson/2012 01 04 - NASA Johnson - ISS Update - Jan. 4, 2012_7N-Trori7EA - transcript (automated).pdf","Transcript Link")</f>
        <v>Transcript Link</v>
      </c>
      <c r="M3097" s="2" t="str">
        <f>HYPERLINK("https://files.afu.se/Downloads/Transcripts/0%20-%20Government/USA%20-%20NASA%20Johnson/2012 01 04 - NASA Johnson - ISS Update - Jan. 4, 2012_7N-Trori7EA - transcript (automated).pdf","Transcript Link")</f>
        <v>Transcript Link</v>
      </c>
    </row>
    <row r="3098" ht="180" spans="1:13">
      <c r="A3098" s="1" t="s">
        <v>13577</v>
      </c>
      <c r="B3098" s="1" t="s">
        <v>13</v>
      </c>
      <c r="C3098" s="4" t="s">
        <v>13578</v>
      </c>
      <c r="D3098" s="1" t="s">
        <v>13579</v>
      </c>
      <c r="E3098" s="1" t="s">
        <v>13580</v>
      </c>
      <c r="F3098" s="4" t="s">
        <v>17</v>
      </c>
      <c r="G3098" s="1" t="s">
        <v>18</v>
      </c>
      <c r="H3098" s="1" t="s">
        <v>19</v>
      </c>
      <c r="I3098" s="1" t="s">
        <v>20</v>
      </c>
      <c r="J3098" s="1" t="s">
        <v>13581</v>
      </c>
      <c r="K3098" s="1" t="s">
        <v>22</v>
      </c>
      <c r="L3098" s="1" t="str">
        <f>HYPERLINK("https://files.afu.se/Downloads/Transcripts/0%20-%20Government/USA%20-%20NASA%20Johnson/2012 01 03 - NASA Johnson - ISS Update - Jan. 3, 2012_GEzAUNmchZQ - transcript (automated).pdf","Transcript Link")</f>
        <v>Transcript Link</v>
      </c>
      <c r="M3098" s="2" t="str">
        <f>HYPERLINK("https://files.afu.se/Downloads/Transcripts/0%20-%20Government/USA%20-%20NASA%20Johnson/2012 01 03 - NASA Johnson - ISS Update - Jan. 3, 2012_GEzAUNmchZQ - transcript (automated).pdf","Transcript Link")</f>
        <v>Transcript Link</v>
      </c>
    </row>
    <row r="3099" ht="180" spans="1:13">
      <c r="A3099" s="1" t="s">
        <v>13582</v>
      </c>
      <c r="B3099" s="1" t="s">
        <v>13</v>
      </c>
      <c r="C3099" s="4" t="s">
        <v>13583</v>
      </c>
      <c r="D3099" s="1" t="s">
        <v>13584</v>
      </c>
      <c r="E3099" s="1" t="s">
        <v>13585</v>
      </c>
      <c r="F3099" s="4" t="s">
        <v>17</v>
      </c>
      <c r="G3099" s="1" t="s">
        <v>18</v>
      </c>
      <c r="H3099" s="1" t="s">
        <v>19</v>
      </c>
      <c r="I3099" s="1" t="s">
        <v>20</v>
      </c>
      <c r="J3099" s="1" t="s">
        <v>13586</v>
      </c>
      <c r="K3099" s="1" t="s">
        <v>22</v>
      </c>
      <c r="L3099" s="1" t="str">
        <f>HYPERLINK("https://files.afu.se/Downloads/Transcripts/0%20-%20Government/USA%20-%20NASA%20Johnson/2011 12 30 - NASA Johnson - Weekly ISS Recap - Dec. 26-30, 2011_ATW1PyDor3k - transcript (automated).pdf","Transcript Link")</f>
        <v>Transcript Link</v>
      </c>
      <c r="M3099" s="2" t="str">
        <f>HYPERLINK("https://files.afu.se/Downloads/Transcripts/0%20-%20Government/USA%20-%20NASA%20Johnson/2011 12 30 - NASA Johnson - Weekly ISS Recap - Dec. 26-30, 2011_ATW1PyDor3k - transcript (automated).pdf","Transcript Link")</f>
        <v>Transcript Link</v>
      </c>
    </row>
    <row r="3100" ht="180" spans="1:13">
      <c r="A3100" s="1" t="s">
        <v>13587</v>
      </c>
      <c r="B3100" s="1" t="s">
        <v>13</v>
      </c>
      <c r="C3100" s="4" t="s">
        <v>13588</v>
      </c>
      <c r="D3100" s="1" t="s">
        <v>13589</v>
      </c>
      <c r="E3100" s="1" t="s">
        <v>13590</v>
      </c>
      <c r="F3100" s="4" t="s">
        <v>17</v>
      </c>
      <c r="G3100" s="1" t="s">
        <v>18</v>
      </c>
      <c r="H3100" s="1" t="s">
        <v>19</v>
      </c>
      <c r="I3100" s="1" t="s">
        <v>20</v>
      </c>
      <c r="J3100" s="1" t="s">
        <v>13591</v>
      </c>
      <c r="K3100" s="1" t="s">
        <v>22</v>
      </c>
      <c r="L3100" s="1" t="str">
        <f>HYPERLINK("https://files.afu.se/Downloads/Transcripts/0%20-%20Government/USA%20-%20NASA%20Johnson/2011 12 27 - NASA Johnson - ISS Update - Dec. 27, 2011_AitL5M7VzHo - transcript (automated).pdf","Transcript Link")</f>
        <v>Transcript Link</v>
      </c>
      <c r="M3100" s="2" t="str">
        <f>HYPERLINK("https://files.afu.se/Downloads/Transcripts/0%20-%20Government/USA%20-%20NASA%20Johnson/2011 12 27 - NASA Johnson - ISS Update - Dec. 27, 2011_AitL5M7VzHo - transcript (automated).pdf","Transcript Link")</f>
        <v>Transcript Link</v>
      </c>
    </row>
    <row r="3101" ht="180" spans="1:13">
      <c r="A3101" s="1" t="s">
        <v>13587</v>
      </c>
      <c r="B3101" s="1" t="s">
        <v>13</v>
      </c>
      <c r="C3101" s="4" t="s">
        <v>13592</v>
      </c>
      <c r="D3101" s="1" t="s">
        <v>13593</v>
      </c>
      <c r="E3101" s="1" t="s">
        <v>13594</v>
      </c>
      <c r="F3101" s="4" t="s">
        <v>17</v>
      </c>
      <c r="G3101" s="1" t="s">
        <v>18</v>
      </c>
      <c r="H3101" s="1" t="s">
        <v>19</v>
      </c>
      <c r="I3101" s="1" t="s">
        <v>20</v>
      </c>
      <c r="J3101" s="1" t="s">
        <v>13595</v>
      </c>
      <c r="K3101" s="1" t="s">
        <v>22</v>
      </c>
      <c r="L3101" s="1" t="str">
        <f>HYPERLINK("https://files.afu.se/Downloads/Transcripts/0%20-%20Government/USA%20-%20NASA%20Johnson/2011 12 27 - NASA Johnson - Expedition 30 Crew New Year's Message_b08QZVJzz38 - transcript (automated).pdf","Transcript Link")</f>
        <v>Transcript Link</v>
      </c>
      <c r="M3101" s="2" t="str">
        <f>HYPERLINK("https://files.afu.se/Downloads/Transcripts/0%20-%20Government/USA%20-%20NASA%20Johnson/2011 12 27 - NASA Johnson - Expedition 30 Crew New Year's Message_b08QZVJzz38 - transcript (automated).pdf","Transcript Link")</f>
        <v>Transcript Link</v>
      </c>
    </row>
    <row r="3102" ht="180" spans="1:13">
      <c r="A3102" s="1" t="s">
        <v>13596</v>
      </c>
      <c r="B3102" s="1" t="s">
        <v>13</v>
      </c>
      <c r="C3102" s="4" t="s">
        <v>13597</v>
      </c>
      <c r="D3102" s="1" t="s">
        <v>13598</v>
      </c>
      <c r="E3102" s="1" t="s">
        <v>13599</v>
      </c>
      <c r="F3102" s="4" t="s">
        <v>17</v>
      </c>
      <c r="G3102" s="1" t="s">
        <v>18</v>
      </c>
      <c r="H3102" s="1" t="s">
        <v>19</v>
      </c>
      <c r="I3102" s="1" t="s">
        <v>20</v>
      </c>
      <c r="J3102" s="1" t="s">
        <v>13600</v>
      </c>
      <c r="K3102" s="1" t="s">
        <v>22</v>
      </c>
      <c r="L3102" s="1" t="str">
        <f>HYPERLINK("https://files.afu.se/Downloads/Transcripts/0%20-%20Government/USA%20-%20NASA%20Johnson/2011 12 23 - NASA Johnson - Orion  From Factory to Flight_gUh6iQ-mvU4 - transcript (automated).pdf","Transcript Link")</f>
        <v>Transcript Link</v>
      </c>
      <c r="M3102" s="2" t="str">
        <f>HYPERLINK("https://files.afu.se/Downloads/Transcripts/0%20-%20Government/USA%20-%20NASA%20Johnson/2011 12 23 - NASA Johnson - Orion  From Factory to Flight_gUh6iQ-mvU4 - transcript (automated).pdf","Transcript Link")</f>
        <v>Transcript Link</v>
      </c>
    </row>
    <row r="3103" ht="180" spans="1:13">
      <c r="A3103" s="1" t="s">
        <v>13596</v>
      </c>
      <c r="B3103" s="1" t="s">
        <v>13</v>
      </c>
      <c r="C3103" s="4" t="s">
        <v>13601</v>
      </c>
      <c r="D3103" s="1" t="s">
        <v>13602</v>
      </c>
      <c r="E3103" s="1" t="s">
        <v>13603</v>
      </c>
      <c r="F3103" s="4" t="s">
        <v>17</v>
      </c>
      <c r="G3103" s="1" t="s">
        <v>18</v>
      </c>
      <c r="H3103" s="1" t="s">
        <v>19</v>
      </c>
      <c r="I3103" s="1" t="s">
        <v>20</v>
      </c>
      <c r="J3103" s="1" t="s">
        <v>13604</v>
      </c>
      <c r="K3103" s="1" t="s">
        <v>22</v>
      </c>
      <c r="L3103" s="1" t="str">
        <f>HYPERLINK("https://files.afu.se/Downloads/Transcripts/0%20-%20Government/USA%20-%20NASA%20Johnson/2011 12 23 - NASA Johnson - Expedition 30 Hatch Opening_JN90Y_DSE2w - transcript (automated).pdf","Transcript Link")</f>
        <v>Transcript Link</v>
      </c>
      <c r="M3103" s="2" t="str">
        <f>HYPERLINK("https://files.afu.se/Downloads/Transcripts/0%20-%20Government/USA%20-%20NASA%20Johnson/2011 12 23 - NASA Johnson - Expedition 30 Hatch Opening_JN90Y_DSE2w - transcript (automated).pdf","Transcript Link")</f>
        <v>Transcript Link</v>
      </c>
    </row>
    <row r="3104" ht="180" spans="1:13">
      <c r="A3104" s="1" t="s">
        <v>13596</v>
      </c>
      <c r="B3104" s="1" t="s">
        <v>13</v>
      </c>
      <c r="C3104" s="4" t="s">
        <v>13605</v>
      </c>
      <c r="D3104" s="1" t="s">
        <v>13606</v>
      </c>
      <c r="E3104" s="1" t="s">
        <v>13607</v>
      </c>
      <c r="F3104" s="4" t="s">
        <v>17</v>
      </c>
      <c r="G3104" s="1" t="s">
        <v>18</v>
      </c>
      <c r="H3104" s="1" t="s">
        <v>19</v>
      </c>
      <c r="I3104" s="1" t="s">
        <v>20</v>
      </c>
      <c r="J3104" s="1" t="s">
        <v>13608</v>
      </c>
      <c r="K3104" s="1" t="s">
        <v>22</v>
      </c>
      <c r="L3104" s="1" t="str">
        <f>HYPERLINK("https://files.afu.se/Downloads/Transcripts/0%20-%20Government/USA%20-%20NASA%20Johnson/2011 12 23 - NASA Johnson - Weekly ISS Recap - Dec. 19-23, 2011_3hx3G25dSbY - transcript (automated).pdf","Transcript Link")</f>
        <v>Transcript Link</v>
      </c>
      <c r="M3104" s="2" t="str">
        <f>HYPERLINK("https://files.afu.se/Downloads/Transcripts/0%20-%20Government/USA%20-%20NASA%20Johnson/2011 12 23 - NASA Johnson - Weekly ISS Recap - Dec. 19-23, 2011_3hx3G25dSbY - transcript (automated).pdf","Transcript Link")</f>
        <v>Transcript Link</v>
      </c>
    </row>
    <row r="3105" ht="180" spans="1:13">
      <c r="A3105" s="1" t="s">
        <v>13596</v>
      </c>
      <c r="B3105" s="1" t="s">
        <v>13</v>
      </c>
      <c r="C3105" s="4" t="s">
        <v>13609</v>
      </c>
      <c r="D3105" s="1" t="s">
        <v>13610</v>
      </c>
      <c r="E3105" s="1" t="s">
        <v>13611</v>
      </c>
      <c r="F3105" s="4" t="s">
        <v>17</v>
      </c>
      <c r="G3105" s="1" t="s">
        <v>18</v>
      </c>
      <c r="H3105" s="1" t="s">
        <v>19</v>
      </c>
      <c r="I3105" s="1" t="s">
        <v>20</v>
      </c>
      <c r="J3105" s="1" t="s">
        <v>13612</v>
      </c>
      <c r="K3105" s="1" t="s">
        <v>22</v>
      </c>
      <c r="L3105" s="1" t="str">
        <f>HYPERLINK("https://files.afu.se/Downloads/Transcripts/0%20-%20Government/USA%20-%20NASA%20Johnson/2011 12 23 - NASA Johnson - Expedition 30 Docking_1z4Kj5YsYLY - transcript (automated).pdf","Transcript Link")</f>
        <v>Transcript Link</v>
      </c>
      <c r="M3105" s="2" t="str">
        <f>HYPERLINK("https://files.afu.se/Downloads/Transcripts/0%20-%20Government/USA%20-%20NASA%20Johnson/2011 12 23 - NASA Johnson - Expedition 30 Docking_1z4Kj5YsYLY - transcript (automated).pdf","Transcript Link")</f>
        <v>Transcript Link</v>
      </c>
    </row>
    <row r="3106" ht="180" spans="1:13">
      <c r="A3106" s="1" t="s">
        <v>13613</v>
      </c>
      <c r="B3106" s="1" t="s">
        <v>13</v>
      </c>
      <c r="C3106" s="4" t="s">
        <v>13614</v>
      </c>
      <c r="D3106" s="1" t="s">
        <v>13615</v>
      </c>
      <c r="E3106" s="1" t="s">
        <v>13616</v>
      </c>
      <c r="F3106" s="4" t="s">
        <v>17</v>
      </c>
      <c r="G3106" s="1" t="s">
        <v>18</v>
      </c>
      <c r="H3106" s="1" t="s">
        <v>19</v>
      </c>
      <c r="I3106" s="1" t="s">
        <v>20</v>
      </c>
      <c r="J3106" s="1" t="s">
        <v>13617</v>
      </c>
      <c r="K3106" s="1" t="s">
        <v>22</v>
      </c>
      <c r="L3106" s="1" t="str">
        <f>HYPERLINK("https://files.afu.se/Downloads/Transcripts/0%20-%20Government/USA%20-%20NASA%20Johnson/2011 12 22 - NASA Johnson - What Will Your Day Look Like _ZAId-Sf5m4U - transcript (automated).pdf","Transcript Link")</f>
        <v>Transcript Link</v>
      </c>
      <c r="M3106" s="2" t="str">
        <f>HYPERLINK("https://files.afu.se/Downloads/Transcripts/0%20-%20Government/USA%20-%20NASA%20Johnson/2011 12 22 - NASA Johnson - What Will Your Day Look Like _ZAId-Sf5m4U - transcript (automated).pdf","Transcript Link")</f>
        <v>Transcript Link</v>
      </c>
    </row>
    <row r="3107" ht="180" spans="1:13">
      <c r="A3107" s="1" t="s">
        <v>13613</v>
      </c>
      <c r="B3107" s="1" t="s">
        <v>13</v>
      </c>
      <c r="C3107" s="4" t="s">
        <v>13618</v>
      </c>
      <c r="D3107" s="1" t="s">
        <v>13619</v>
      </c>
      <c r="E3107" s="1" t="s">
        <v>13620</v>
      </c>
      <c r="F3107" s="4" t="s">
        <v>17</v>
      </c>
      <c r="G3107" s="1" t="s">
        <v>18</v>
      </c>
      <c r="H3107" s="1" t="s">
        <v>19</v>
      </c>
      <c r="I3107" s="1" t="s">
        <v>20</v>
      </c>
      <c r="J3107" s="1" t="s">
        <v>13621</v>
      </c>
      <c r="K3107" s="1" t="s">
        <v>22</v>
      </c>
      <c r="L3107" s="1" t="str">
        <f>HYPERLINK("https://files.afu.se/Downloads/Transcripts/0%20-%20Government/USA%20-%20NASA%20Johnson/2011 12 22 - NASA Johnson - Imagine the Possibilities_QqwTBUJiOCE - transcript (automated).pdf","Transcript Link")</f>
        <v>Transcript Link</v>
      </c>
      <c r="M3107" s="2" t="str">
        <f>HYPERLINK("https://files.afu.se/Downloads/Transcripts/0%20-%20Government/USA%20-%20NASA%20Johnson/2011 12 22 - NASA Johnson - Imagine the Possibilities_QqwTBUJiOCE - transcript (automated).pdf","Transcript Link")</f>
        <v>Transcript Link</v>
      </c>
    </row>
    <row r="3108" ht="195" spans="1:13">
      <c r="A3108" s="1" t="s">
        <v>13613</v>
      </c>
      <c r="B3108" s="1" t="s">
        <v>13</v>
      </c>
      <c r="C3108" s="4" t="s">
        <v>13622</v>
      </c>
      <c r="D3108" s="1" t="s">
        <v>13623</v>
      </c>
      <c r="E3108" s="1" t="s">
        <v>13624</v>
      </c>
      <c r="F3108" s="4" t="s">
        <v>17</v>
      </c>
      <c r="G3108" s="1" t="s">
        <v>18</v>
      </c>
      <c r="H3108" s="1" t="s">
        <v>19</v>
      </c>
      <c r="I3108" s="1" t="s">
        <v>20</v>
      </c>
      <c r="J3108" s="1" t="s">
        <v>13625</v>
      </c>
      <c r="K3108" s="1" t="s">
        <v>22</v>
      </c>
      <c r="L3108" s="1" t="str">
        <f>HYPERLINK("https://files.afu.se/Downloads/Transcripts/0%20-%20Government/USA%20-%20NASA%20Johnson/2011 12 22 - NASA Johnson - Space Station Commander Captures Unprecedented View of Comet_aoZIwtgEqKY - transcript (automated).pdf","Transcript Link")</f>
        <v>Transcript Link</v>
      </c>
      <c r="M3108" s="2" t="str">
        <f>HYPERLINK("https://files.afu.se/Downloads/Transcripts/0%20-%20Government/USA%20-%20NASA%20Johnson/2011 12 22 - NASA Johnson - Space Station Commander Captures Unprecedented View of Comet_aoZIwtgEqKY - transcript (automated).pdf","Transcript Link")</f>
        <v>Transcript Link</v>
      </c>
    </row>
    <row r="3109" ht="180" spans="1:13">
      <c r="A3109" s="1" t="s">
        <v>13613</v>
      </c>
      <c r="B3109" s="1" t="s">
        <v>13</v>
      </c>
      <c r="C3109" s="4" t="s">
        <v>13626</v>
      </c>
      <c r="D3109" s="1" t="s">
        <v>13627</v>
      </c>
      <c r="E3109" s="1" t="s">
        <v>13628</v>
      </c>
      <c r="F3109" s="4" t="s">
        <v>17</v>
      </c>
      <c r="G3109" s="1" t="s">
        <v>18</v>
      </c>
      <c r="H3109" s="1" t="s">
        <v>19</v>
      </c>
      <c r="I3109" s="1" t="s">
        <v>20</v>
      </c>
      <c r="J3109" s="1" t="s">
        <v>13629</v>
      </c>
      <c r="K3109" s="1" t="s">
        <v>22</v>
      </c>
      <c r="L3109" s="1" t="str">
        <f>HYPERLINK("https://files.afu.se/Downloads/Transcripts/0%20-%20Government/USA%20-%20NASA%20Johnson/2011 12 22 - NASA Johnson - ISS Update - Dec. 22, 2011_hAnJHSzHD1Q - transcript (automated).pdf","Transcript Link")</f>
        <v>Transcript Link</v>
      </c>
      <c r="M3109" s="2" t="str">
        <f>HYPERLINK("https://files.afu.se/Downloads/Transcripts/0%20-%20Government/USA%20-%20NASA%20Johnson/2011 12 22 - NASA Johnson - ISS Update - Dec. 22, 2011_hAnJHSzHD1Q - transcript (automated).pdf","Transcript Link")</f>
        <v>Transcript Link</v>
      </c>
    </row>
    <row r="3110" ht="180" spans="1:13">
      <c r="A3110" s="1" t="s">
        <v>13630</v>
      </c>
      <c r="B3110" s="1" t="s">
        <v>13</v>
      </c>
      <c r="C3110" s="4" t="s">
        <v>13631</v>
      </c>
      <c r="D3110" s="1" t="s">
        <v>13632</v>
      </c>
      <c r="E3110" s="1" t="s">
        <v>13633</v>
      </c>
      <c r="F3110" s="4" t="s">
        <v>17</v>
      </c>
      <c r="G3110" s="1" t="s">
        <v>18</v>
      </c>
      <c r="H3110" s="1" t="s">
        <v>19</v>
      </c>
      <c r="I3110" s="1" t="s">
        <v>20</v>
      </c>
      <c r="J3110" s="1" t="s">
        <v>13634</v>
      </c>
      <c r="K3110" s="1" t="s">
        <v>22</v>
      </c>
      <c r="L3110" s="1" t="str">
        <f>HYPERLINK("https://files.afu.se/Downloads/Transcripts/0%20-%20Government/USA%20-%20NASA%20Johnson/2011 12 21 - NASA Johnson - Interview With Astronaut Mike Fossum_NoX0GYwCdBE - transcript (automated).pdf","Transcript Link")</f>
        <v>Transcript Link</v>
      </c>
      <c r="M3110" s="2" t="str">
        <f>HYPERLINK("https://files.afu.se/Downloads/Transcripts/0%20-%20Government/USA%20-%20NASA%20Johnson/2011 12 21 - NASA Johnson - Interview With Astronaut Mike Fossum_NoX0GYwCdBE - transcript (automated).pdf","Transcript Link")</f>
        <v>Transcript Link</v>
      </c>
    </row>
    <row r="3111" ht="180" spans="1:13">
      <c r="A3111" s="1" t="s">
        <v>13630</v>
      </c>
      <c r="B3111" s="1" t="s">
        <v>13</v>
      </c>
      <c r="C3111" s="4" t="s">
        <v>13635</v>
      </c>
      <c r="D3111" s="1" t="s">
        <v>13636</v>
      </c>
      <c r="E3111" s="1" t="s">
        <v>13637</v>
      </c>
      <c r="F3111" s="4" t="s">
        <v>17</v>
      </c>
      <c r="G3111" s="1" t="s">
        <v>18</v>
      </c>
      <c r="H3111" s="1" t="s">
        <v>19</v>
      </c>
      <c r="I3111" s="1" t="s">
        <v>20</v>
      </c>
      <c r="J3111" s="1" t="s">
        <v>13638</v>
      </c>
      <c r="K3111" s="1" t="s">
        <v>22</v>
      </c>
      <c r="L3111" s="1" t="str">
        <f>HYPERLINK("https://files.afu.se/Downloads/Transcripts/0%20-%20Government/USA%20-%20NASA%20Johnson/2011 12 21 - NASA Johnson - Expedition 30 Pre-launch Preps and Launch_O49YHkVVm8c - transcript (automated).pdf","Transcript Link")</f>
        <v>Transcript Link</v>
      </c>
      <c r="M3111" s="2" t="str">
        <f>HYPERLINK("https://files.afu.se/Downloads/Transcripts/0%20-%20Government/USA%20-%20NASA%20Johnson/2011 12 21 - NASA Johnson - Expedition 30 Pre-launch Preps and Launch_O49YHkVVm8c - transcript (automated).pdf","Transcript Link")</f>
        <v>Transcript Link</v>
      </c>
    </row>
    <row r="3112" ht="180" spans="1:13">
      <c r="A3112" s="1" t="s">
        <v>13630</v>
      </c>
      <c r="B3112" s="1" t="s">
        <v>13</v>
      </c>
      <c r="C3112" s="4" t="s">
        <v>13639</v>
      </c>
      <c r="D3112" s="1" t="s">
        <v>13640</v>
      </c>
      <c r="E3112" s="1" t="s">
        <v>13641</v>
      </c>
      <c r="F3112" s="4" t="s">
        <v>17</v>
      </c>
      <c r="G3112" s="1" t="s">
        <v>18</v>
      </c>
      <c r="H3112" s="1" t="s">
        <v>19</v>
      </c>
      <c r="I3112" s="1" t="s">
        <v>20</v>
      </c>
      <c r="J3112" s="1" t="s">
        <v>13642</v>
      </c>
      <c r="K3112" s="1" t="s">
        <v>22</v>
      </c>
      <c r="L3112" s="1" t="str">
        <f>HYPERLINK("https://files.afu.se/Downloads/Transcripts/0%20-%20Government/USA%20-%20NASA%20Johnson/2011 12 21 - NASA Johnson - ISS Update - Dec. 21, 2011_hH2qZs7vH8g - transcript (automated).pdf","Transcript Link")</f>
        <v>Transcript Link</v>
      </c>
      <c r="M3112" s="2" t="str">
        <f>HYPERLINK("https://files.afu.se/Downloads/Transcripts/0%20-%20Government/USA%20-%20NASA%20Johnson/2011 12 21 - NASA Johnson - ISS Update - Dec. 21, 2011_hH2qZs7vH8g - transcript (automated).pdf","Transcript Link")</f>
        <v>Transcript Link</v>
      </c>
    </row>
    <row r="3113" ht="180" spans="1:13">
      <c r="A3113" s="1" t="s">
        <v>13630</v>
      </c>
      <c r="B3113" s="1" t="s">
        <v>13</v>
      </c>
      <c r="C3113" s="4" t="s">
        <v>13643</v>
      </c>
      <c r="D3113" s="1" t="s">
        <v>13644</v>
      </c>
      <c r="E3113" s="1" t="s">
        <v>13645</v>
      </c>
      <c r="F3113" s="4" t="s">
        <v>17</v>
      </c>
      <c r="G3113" s="1" t="s">
        <v>18</v>
      </c>
      <c r="H3113" s="1" t="s">
        <v>19</v>
      </c>
      <c r="I3113" s="1" t="s">
        <v>20</v>
      </c>
      <c r="J3113" s="1" t="s">
        <v>13646</v>
      </c>
      <c r="K3113" s="1" t="s">
        <v>22</v>
      </c>
      <c r="L3113" s="1" t="str">
        <f>HYPERLINK("https://files.afu.se/Downloads/Transcripts/0%20-%20Government/USA%20-%20NASA%20Johnson/2011 12 21 - NASA Johnson - New Expedition 30 Crew Members Launch to Station_RiD2uxMO12Q - transcript (automated).pdf","Transcript Link")</f>
        <v>Transcript Link</v>
      </c>
      <c r="M3113" s="2" t="str">
        <f>HYPERLINK("https://files.afu.se/Downloads/Transcripts/0%20-%20Government/USA%20-%20NASA%20Johnson/2011 12 21 - NASA Johnson - New Expedition 30 Crew Members Launch to Station_RiD2uxMO12Q - transcript (automated).pdf","Transcript Link")</f>
        <v>Transcript Link</v>
      </c>
    </row>
    <row r="3114" ht="180" spans="1:13">
      <c r="A3114" s="1" t="s">
        <v>13647</v>
      </c>
      <c r="B3114" s="1" t="s">
        <v>13</v>
      </c>
      <c r="C3114" s="4" t="s">
        <v>13648</v>
      </c>
      <c r="D3114" s="1" t="s">
        <v>13649</v>
      </c>
      <c r="E3114" s="1" t="s">
        <v>13650</v>
      </c>
      <c r="F3114" s="4" t="s">
        <v>17</v>
      </c>
      <c r="G3114" s="1" t="s">
        <v>18</v>
      </c>
      <c r="H3114" s="1" t="s">
        <v>19</v>
      </c>
      <c r="I3114" s="1" t="s">
        <v>20</v>
      </c>
      <c r="J3114" s="1" t="s">
        <v>13651</v>
      </c>
      <c r="K3114" s="1" t="s">
        <v>22</v>
      </c>
      <c r="L3114" s="1" t="str">
        <f>HYPERLINK("https://files.afu.se/Downloads/Transcripts/0%20-%20Government/USA%20-%20NASA%20Johnson/2011 12 20 - NASA Johnson - ISS Update - Dec. 20, 2011_Ijdu7-_NH0Y - transcript (automated).pdf","Transcript Link")</f>
        <v>Transcript Link</v>
      </c>
      <c r="M3114" s="2" t="str">
        <f>HYPERLINK("https://files.afu.se/Downloads/Transcripts/0%20-%20Government/USA%20-%20NASA%20Johnson/2011 12 20 - NASA Johnson - ISS Update - Dec. 20, 2011_Ijdu7-_NH0Y - transcript (automated).pdf","Transcript Link")</f>
        <v>Transcript Link</v>
      </c>
    </row>
    <row r="3115" ht="180" spans="1:13">
      <c r="A3115" s="1" t="s">
        <v>13652</v>
      </c>
      <c r="B3115" s="1" t="s">
        <v>13</v>
      </c>
      <c r="C3115" s="4" t="s">
        <v>13653</v>
      </c>
      <c r="D3115" s="1" t="s">
        <v>13654</v>
      </c>
      <c r="E3115" s="1" t="s">
        <v>13655</v>
      </c>
      <c r="F3115" s="4" t="s">
        <v>17</v>
      </c>
      <c r="G3115" s="1" t="s">
        <v>18</v>
      </c>
      <c r="H3115" s="1" t="s">
        <v>19</v>
      </c>
      <c r="I3115" s="1" t="s">
        <v>20</v>
      </c>
      <c r="J3115" s="1" t="s">
        <v>13656</v>
      </c>
      <c r="K3115" s="1" t="s">
        <v>22</v>
      </c>
      <c r="L3115" s="1" t="str">
        <f>HYPERLINK("https://files.afu.se/Downloads/Transcripts/0%20-%20Government/USA%20-%20NASA%20Johnson/2011 12 19 - NASA Johnson - ISS Update - Dec. 19, 2011_0bPJWcmQAwE - transcript (automated).pdf","Transcript Link")</f>
        <v>Transcript Link</v>
      </c>
      <c r="M3115" s="2" t="str">
        <f>HYPERLINK("https://files.afu.se/Downloads/Transcripts/0%20-%20Government/USA%20-%20NASA%20Johnson/2011 12 19 - NASA Johnson - ISS Update - Dec. 19, 2011_0bPJWcmQAwE - transcript (automated).pdf","Transcript Link")</f>
        <v>Transcript Link</v>
      </c>
    </row>
    <row r="3116" ht="180" spans="1:13">
      <c r="A3116" s="1" t="s">
        <v>13652</v>
      </c>
      <c r="B3116" s="1" t="s">
        <v>13</v>
      </c>
      <c r="C3116" s="4" t="s">
        <v>13657</v>
      </c>
      <c r="D3116" s="1" t="s">
        <v>13658</v>
      </c>
      <c r="E3116" s="1" t="s">
        <v>13659</v>
      </c>
      <c r="F3116" s="4" t="s">
        <v>17</v>
      </c>
      <c r="G3116" s="1" t="s">
        <v>18</v>
      </c>
      <c r="H3116" s="1" t="s">
        <v>19</v>
      </c>
      <c r="I3116" s="1" t="s">
        <v>20</v>
      </c>
      <c r="J3116" s="1" t="s">
        <v>13660</v>
      </c>
      <c r="K3116" s="1" t="s">
        <v>22</v>
      </c>
      <c r="L3116" s="1" t="str">
        <f>HYPERLINK("https://files.afu.se/Downloads/Transcripts/0%20-%20Government/USA%20-%20NASA%20Johnson/2011 12 19 - NASA Johnson - Expedition 30 Soyuz Moves to Launch Pad_uOQqkKECS5Y - transcript (automated).pdf","Transcript Link")</f>
        <v>Transcript Link</v>
      </c>
      <c r="M3116" s="2" t="str">
        <f>HYPERLINK("https://files.afu.se/Downloads/Transcripts/0%20-%20Government/USA%20-%20NASA%20Johnson/2011 12 19 - NASA Johnson - Expedition 30 Soyuz Moves to Launch Pad_uOQqkKECS5Y - transcript (automated).pdf","Transcript Link")</f>
        <v>Transcript Link</v>
      </c>
    </row>
    <row r="3117" ht="180" spans="1:13">
      <c r="A3117" s="1" t="s">
        <v>13661</v>
      </c>
      <c r="B3117" s="1" t="s">
        <v>13</v>
      </c>
      <c r="C3117" s="4" t="s">
        <v>13662</v>
      </c>
      <c r="D3117" s="1" t="s">
        <v>13663</v>
      </c>
      <c r="E3117" s="1" t="s">
        <v>13664</v>
      </c>
      <c r="F3117" s="4" t="s">
        <v>17</v>
      </c>
      <c r="G3117" s="1" t="s">
        <v>18</v>
      </c>
      <c r="H3117" s="1" t="s">
        <v>19</v>
      </c>
      <c r="I3117" s="1" t="s">
        <v>20</v>
      </c>
      <c r="J3117" s="1" t="s">
        <v>13665</v>
      </c>
      <c r="K3117" s="1" t="s">
        <v>22</v>
      </c>
      <c r="L3117" s="1" t="str">
        <f>HYPERLINK("https://files.afu.se/Downloads/Transcripts/0%20-%20Government/USA%20-%20NASA%20Johnson/2011 12 16 - NASA Johnson - Expedition 30 Prepares for Dec. 21 Launch_h82WfPfzahE - transcript (automated).pdf","Transcript Link")</f>
        <v>Transcript Link</v>
      </c>
      <c r="M3117" s="2" t="str">
        <f>HYPERLINK("https://files.afu.se/Downloads/Transcripts/0%20-%20Government/USA%20-%20NASA%20Johnson/2011 12 16 - NASA Johnson - Expedition 30 Prepares for Dec. 21 Launch_h82WfPfzahE - transcript (automated).pdf","Transcript Link")</f>
        <v>Transcript Link</v>
      </c>
    </row>
    <row r="3118" ht="180" spans="1:13">
      <c r="A3118" s="1" t="s">
        <v>13661</v>
      </c>
      <c r="B3118" s="1" t="s">
        <v>13</v>
      </c>
      <c r="C3118" s="4" t="s">
        <v>13666</v>
      </c>
      <c r="D3118" s="1" t="s">
        <v>13667</v>
      </c>
      <c r="E3118" s="1" t="s">
        <v>13668</v>
      </c>
      <c r="F3118" s="4" t="s">
        <v>17</v>
      </c>
      <c r="G3118" s="1" t="s">
        <v>18</v>
      </c>
      <c r="H3118" s="1" t="s">
        <v>19</v>
      </c>
      <c r="I3118" s="1" t="s">
        <v>20</v>
      </c>
      <c r="J3118" s="1" t="s">
        <v>13669</v>
      </c>
      <c r="K3118" s="1" t="s">
        <v>22</v>
      </c>
      <c r="L3118" s="1" t="str">
        <f>HYPERLINK("https://files.afu.se/Downloads/Transcripts/0%20-%20Government/USA%20-%20NASA%20Johnson/2011 12 16 - NASA Johnson - Mike Hopkins Interview_CpJYF2o9nBQ - transcript (automated).pdf","Transcript Link")</f>
        <v>Transcript Link</v>
      </c>
      <c r="M3118" s="2" t="str">
        <f>HYPERLINK("https://files.afu.se/Downloads/Transcripts/0%20-%20Government/USA%20-%20NASA%20Johnson/2011 12 16 - NASA Johnson - Mike Hopkins Interview_CpJYF2o9nBQ - transcript (automated).pdf","Transcript Link")</f>
        <v>Transcript Link</v>
      </c>
    </row>
    <row r="3119" ht="180" spans="1:13">
      <c r="A3119" s="1" t="s">
        <v>13661</v>
      </c>
      <c r="B3119" s="1" t="s">
        <v>13</v>
      </c>
      <c r="C3119" s="4" t="s">
        <v>13670</v>
      </c>
      <c r="D3119" s="1" t="s">
        <v>13671</v>
      </c>
      <c r="E3119" s="1" t="s">
        <v>13672</v>
      </c>
      <c r="F3119" s="4" t="s">
        <v>17</v>
      </c>
      <c r="G3119" s="1" t="s">
        <v>18</v>
      </c>
      <c r="H3119" s="1" t="s">
        <v>19</v>
      </c>
      <c r="I3119" s="1" t="s">
        <v>20</v>
      </c>
      <c r="J3119" s="1" t="s">
        <v>13673</v>
      </c>
      <c r="K3119" s="1" t="s">
        <v>22</v>
      </c>
      <c r="L3119" s="1" t="str">
        <f>HYPERLINK("https://files.afu.se/Downloads/Transcripts/0%20-%20Government/USA%20-%20NASA%20Johnson/2011 12 16 - NASA Johnson - ISS Update - Dec. 16, 2011__zhZ2v4Aq70 - transcript (automated).pdf","Transcript Link")</f>
        <v>Transcript Link</v>
      </c>
      <c r="M3119" s="2" t="str">
        <f>HYPERLINK("https://files.afu.se/Downloads/Transcripts/0%20-%20Government/USA%20-%20NASA%20Johnson/2011 12 16 - NASA Johnson - ISS Update - Dec. 16, 2011__zhZ2v4Aq70 - transcript (automated).pdf","Transcript Link")</f>
        <v>Transcript Link</v>
      </c>
    </row>
    <row r="3120" ht="180" spans="1:13">
      <c r="A3120" s="1" t="s">
        <v>13661</v>
      </c>
      <c r="B3120" s="1" t="s">
        <v>13</v>
      </c>
      <c r="C3120" s="4" t="s">
        <v>13674</v>
      </c>
      <c r="D3120" s="1" t="s">
        <v>13675</v>
      </c>
      <c r="E3120" s="1" t="s">
        <v>13676</v>
      </c>
      <c r="F3120" s="4" t="s">
        <v>17</v>
      </c>
      <c r="G3120" s="1" t="s">
        <v>18</v>
      </c>
      <c r="H3120" s="1" t="s">
        <v>19</v>
      </c>
      <c r="I3120" s="1" t="s">
        <v>20</v>
      </c>
      <c r="J3120" s="1" t="s">
        <v>13677</v>
      </c>
      <c r="K3120" s="1" t="s">
        <v>22</v>
      </c>
      <c r="L3120" s="1" t="str">
        <f>HYPERLINK("https://files.afu.se/Downloads/Transcripts/0%20-%20Government/USA%20-%20NASA%20Johnson/2011 12 16 - NASA Johnson - Station Commander Sends Holiday Greetings_MaXdoqq3Dzs - transcript (automated).pdf","Transcript Link")</f>
        <v>Transcript Link</v>
      </c>
      <c r="M3120" s="2" t="str">
        <f>HYPERLINK("https://files.afu.se/Downloads/Transcripts/0%20-%20Government/USA%20-%20NASA%20Johnson/2011 12 16 - NASA Johnson - Station Commander Sends Holiday Greetings_MaXdoqq3Dzs - transcript (automated).pdf","Transcript Link")</f>
        <v>Transcript Link</v>
      </c>
    </row>
    <row r="3121" ht="180" spans="1:13">
      <c r="A3121" s="1" t="s">
        <v>13678</v>
      </c>
      <c r="B3121" s="1" t="s">
        <v>13</v>
      </c>
      <c r="C3121" s="4" t="s">
        <v>13679</v>
      </c>
      <c r="D3121" s="1" t="s">
        <v>13680</v>
      </c>
      <c r="E3121" s="1" t="s">
        <v>13681</v>
      </c>
      <c r="F3121" s="4" t="s">
        <v>17</v>
      </c>
      <c r="G3121" s="1" t="s">
        <v>18</v>
      </c>
      <c r="H3121" s="1" t="s">
        <v>19</v>
      </c>
      <c r="I3121" s="1" t="s">
        <v>20</v>
      </c>
      <c r="J3121" s="1" t="s">
        <v>13682</v>
      </c>
      <c r="K3121" s="1" t="s">
        <v>22</v>
      </c>
      <c r="L3121" s="1" t="str">
        <f>HYPERLINK("https://files.afu.se/Downloads/Transcripts/0%20-%20Government/USA%20-%20NASA%20Johnson/2011 12 14 - NASA Johnson - ISS Update - Dec. 14, 2011_H5USGLITwaU - transcript (automated).pdf","Transcript Link")</f>
        <v>Transcript Link</v>
      </c>
      <c r="M3121" s="2" t="str">
        <f>HYPERLINK("https://files.afu.se/Downloads/Transcripts/0%20-%20Government/USA%20-%20NASA%20Johnson/2011 12 14 - NASA Johnson - ISS Update - Dec. 14, 2011_H5USGLITwaU - transcript (automated).pdf","Transcript Link")</f>
        <v>Transcript Link</v>
      </c>
    </row>
    <row r="3122" ht="180" spans="1:13">
      <c r="A3122" s="1" t="s">
        <v>13683</v>
      </c>
      <c r="B3122" s="1" t="s">
        <v>13</v>
      </c>
      <c r="C3122" s="4" t="s">
        <v>13684</v>
      </c>
      <c r="D3122" s="1" t="s">
        <v>13685</v>
      </c>
      <c r="E3122" s="1" t="s">
        <v>13686</v>
      </c>
      <c r="F3122" s="4" t="s">
        <v>17</v>
      </c>
      <c r="G3122" s="1" t="s">
        <v>18</v>
      </c>
      <c r="H3122" s="1" t="s">
        <v>19</v>
      </c>
      <c r="I3122" s="1" t="s">
        <v>20</v>
      </c>
      <c r="J3122" s="1" t="s">
        <v>13687</v>
      </c>
      <c r="K3122" s="1" t="s">
        <v>22</v>
      </c>
      <c r="L3122" s="1" t="str">
        <f>HYPERLINK("https://files.afu.se/Downloads/Transcripts/0%20-%20Government/USA%20-%20NASA%20Johnson/2011 12 13 - NASA Johnson - ISS Update - Dec. 13, 2011_FL4ZuAR_w2k - transcript (automated).pdf","Transcript Link")</f>
        <v>Transcript Link</v>
      </c>
      <c r="M3122" s="2" t="str">
        <f>HYPERLINK("https://files.afu.se/Downloads/Transcripts/0%20-%20Government/USA%20-%20NASA%20Johnson/2011 12 13 - NASA Johnson - ISS Update - Dec. 13, 2011_FL4ZuAR_w2k - transcript (automated).pdf","Transcript Link")</f>
        <v>Transcript Link</v>
      </c>
    </row>
    <row r="3123" ht="180" spans="1:13">
      <c r="A3123" s="1" t="s">
        <v>13688</v>
      </c>
      <c r="B3123" s="1" t="s">
        <v>13</v>
      </c>
      <c r="C3123" s="4" t="s">
        <v>13689</v>
      </c>
      <c r="D3123" s="1" t="s">
        <v>13690</v>
      </c>
      <c r="E3123" s="1" t="s">
        <v>13691</v>
      </c>
      <c r="F3123" s="4" t="s">
        <v>17</v>
      </c>
      <c r="G3123" s="1" t="s">
        <v>18</v>
      </c>
      <c r="H3123" s="1" t="s">
        <v>19</v>
      </c>
      <c r="I3123" s="1" t="s">
        <v>20</v>
      </c>
      <c r="J3123" s="1" t="s">
        <v>13692</v>
      </c>
      <c r="K3123" s="1" t="s">
        <v>22</v>
      </c>
      <c r="L3123" s="1" t="str">
        <f>HYPERLINK("https://files.afu.se/Downloads/Transcripts/0%20-%20Government/USA%20-%20NASA%20Johnson/2011 12 12 - NASA Johnson - ISS Update - Dec. 12, 2011_UIg2-B9ufDo - transcript (automated).pdf","Transcript Link")</f>
        <v>Transcript Link</v>
      </c>
      <c r="M3123" s="2" t="str">
        <f>HYPERLINK("https://files.afu.se/Downloads/Transcripts/0%20-%20Government/USA%20-%20NASA%20Johnson/2011 12 12 - NASA Johnson - ISS Update - Dec. 12, 2011_UIg2-B9ufDo - transcript (automated).pdf","Transcript Link")</f>
        <v>Transcript Link</v>
      </c>
    </row>
    <row r="3124" ht="180" spans="1:13">
      <c r="A3124" s="1" t="s">
        <v>13688</v>
      </c>
      <c r="B3124" s="1" t="s">
        <v>13</v>
      </c>
      <c r="C3124" s="4" t="s">
        <v>13693</v>
      </c>
      <c r="D3124" s="1" t="s">
        <v>13694</v>
      </c>
      <c r="E3124" s="1" t="s">
        <v>13695</v>
      </c>
      <c r="F3124" s="4" t="s">
        <v>17</v>
      </c>
      <c r="G3124" s="1" t="s">
        <v>18</v>
      </c>
      <c r="H3124" s="1" t="s">
        <v>19</v>
      </c>
      <c r="I3124" s="1" t="s">
        <v>20</v>
      </c>
      <c r="J3124" s="1" t="s">
        <v>13696</v>
      </c>
      <c r="K3124" s="1" t="s">
        <v>22</v>
      </c>
      <c r="L3124" s="1" t="str">
        <f>HYPERLINK("https://files.afu.se/Downloads/Transcripts/0%20-%20Government/USA%20-%20NASA%20Johnson/2011 12 12 - NASA Johnson - Jeanette Epps Interview_DAp1_ADRt-E - transcript (automated).pdf","Transcript Link")</f>
        <v>Transcript Link</v>
      </c>
      <c r="M3124" s="2" t="str">
        <f>HYPERLINK("https://files.afu.se/Downloads/Transcripts/0%20-%20Government/USA%20-%20NASA%20Johnson/2011 12 12 - NASA Johnson - Jeanette Epps Interview_DAp1_ADRt-E - transcript (automated).pdf","Transcript Link")</f>
        <v>Transcript Link</v>
      </c>
    </row>
    <row r="3125" ht="180" spans="1:13">
      <c r="A3125" s="1" t="s">
        <v>13697</v>
      </c>
      <c r="B3125" s="1" t="s">
        <v>13</v>
      </c>
      <c r="C3125" s="4" t="s">
        <v>13698</v>
      </c>
      <c r="D3125" s="1" t="s">
        <v>13699</v>
      </c>
      <c r="E3125" s="1" t="s">
        <v>13700</v>
      </c>
      <c r="F3125" s="4" t="s">
        <v>17</v>
      </c>
      <c r="G3125" s="1" t="s">
        <v>18</v>
      </c>
      <c r="H3125" s="1" t="s">
        <v>19</v>
      </c>
      <c r="I3125" s="1" t="s">
        <v>20</v>
      </c>
      <c r="J3125" s="1" t="s">
        <v>13701</v>
      </c>
      <c r="K3125" s="1" t="s">
        <v>22</v>
      </c>
      <c r="L3125" s="1" t="str">
        <f>HYPERLINK("https://files.afu.se/Downloads/Transcripts/0%20-%20Government/USA%20-%20NASA%20Johnson/2011 12 09 - NASA Johnson - Weekly ISS Recap - Dec. 5-9, 2011_kFDNzGbvbGg - transcript (automated).pdf","Transcript Link")</f>
        <v>Transcript Link</v>
      </c>
      <c r="M3125" s="2" t="str">
        <f>HYPERLINK("https://files.afu.se/Downloads/Transcripts/0%20-%20Government/USA%20-%20NASA%20Johnson/2011 12 09 - NASA Johnson - Weekly ISS Recap - Dec. 5-9, 2011_kFDNzGbvbGg - transcript (automated).pdf","Transcript Link")</f>
        <v>Transcript Link</v>
      </c>
    </row>
    <row r="3126" ht="180" spans="1:13">
      <c r="A3126" s="1" t="s">
        <v>13702</v>
      </c>
      <c r="B3126" s="1" t="s">
        <v>13</v>
      </c>
      <c r="C3126" s="4" t="s">
        <v>13703</v>
      </c>
      <c r="D3126" s="1" t="s">
        <v>13704</v>
      </c>
      <c r="E3126" s="1" t="s">
        <v>13705</v>
      </c>
      <c r="F3126" s="4" t="s">
        <v>17</v>
      </c>
      <c r="G3126" s="1" t="s">
        <v>18</v>
      </c>
      <c r="H3126" s="1" t="s">
        <v>19</v>
      </c>
      <c r="I3126" s="1" t="s">
        <v>20</v>
      </c>
      <c r="J3126" s="1" t="s">
        <v>13706</v>
      </c>
      <c r="K3126" s="1" t="s">
        <v>22</v>
      </c>
      <c r="L3126" s="1" t="str">
        <f>HYPERLINK("https://files.afu.se/Downloads/Transcripts/0%20-%20Government/USA%20-%20NASA%20Johnson/2011 12 08 - NASA Johnson - ISS Update - Dec. 8, 2011_cA6QzliwHks - transcript (automated).pdf","Transcript Link")</f>
        <v>Transcript Link</v>
      </c>
      <c r="M3126" s="2" t="str">
        <f>HYPERLINK("https://files.afu.se/Downloads/Transcripts/0%20-%20Government/USA%20-%20NASA%20Johnson/2011 12 08 - NASA Johnson - ISS Update - Dec. 8, 2011_cA6QzliwHks - transcript (automated).pdf","Transcript Link")</f>
        <v>Transcript Link</v>
      </c>
    </row>
    <row r="3127" ht="180" spans="1:13">
      <c r="A3127" s="1" t="s">
        <v>13702</v>
      </c>
      <c r="B3127" s="1" t="s">
        <v>13</v>
      </c>
      <c r="C3127" s="4" t="s">
        <v>13707</v>
      </c>
      <c r="D3127" s="1" t="s">
        <v>13708</v>
      </c>
      <c r="E3127" s="1" t="s">
        <v>13709</v>
      </c>
      <c r="F3127" s="4" t="s">
        <v>17</v>
      </c>
      <c r="G3127" s="1" t="s">
        <v>18</v>
      </c>
      <c r="H3127" s="1" t="s">
        <v>19</v>
      </c>
      <c r="I3127" s="1" t="s">
        <v>20</v>
      </c>
      <c r="J3127" s="1" t="s">
        <v>13710</v>
      </c>
      <c r="K3127" s="1" t="s">
        <v>22</v>
      </c>
      <c r="L3127" s="1" t="str">
        <f>HYPERLINK("https://files.afu.se/Downloads/Transcripts/0%20-%20Government/USA%20-%20NASA%20Johnson/2011 12 08 - NASA Johnson - Expedition 30 Departs for Launch Site_7JmJfl7_BDo - transcript (automated).pdf","Transcript Link")</f>
        <v>Transcript Link</v>
      </c>
      <c r="M3127" s="2" t="str">
        <f>HYPERLINK("https://files.afu.se/Downloads/Transcripts/0%20-%20Government/USA%20-%20NASA%20Johnson/2011 12 08 - NASA Johnson - Expedition 30 Departs for Launch Site_7JmJfl7_BDo - transcript (automated).pdf","Transcript Link")</f>
        <v>Transcript Link</v>
      </c>
    </row>
    <row r="3128" ht="180" spans="1:13">
      <c r="A3128" s="1" t="s">
        <v>13711</v>
      </c>
      <c r="B3128" s="1" t="s">
        <v>13</v>
      </c>
      <c r="C3128" s="4" t="s">
        <v>13712</v>
      </c>
      <c r="D3128" s="1" t="s">
        <v>13713</v>
      </c>
      <c r="E3128" s="1" t="s">
        <v>13714</v>
      </c>
      <c r="F3128" s="4" t="s">
        <v>17</v>
      </c>
      <c r="G3128" s="1" t="s">
        <v>18</v>
      </c>
      <c r="H3128" s="1" t="s">
        <v>19</v>
      </c>
      <c r="I3128" s="1" t="s">
        <v>20</v>
      </c>
      <c r="J3128" s="1" t="s">
        <v>13715</v>
      </c>
      <c r="K3128" s="1" t="s">
        <v>22</v>
      </c>
      <c r="L3128" s="1" t="str">
        <f>HYPERLINK("https://files.afu.se/Downloads/Transcripts/0%20-%20Government/USA%20-%20NASA%20Johnson/2011 12 07 - NASA Johnson - ISS Update - Dec. 7, 2011_F5MwZu7Sehc - transcript (automated).pdf","Transcript Link")</f>
        <v>Transcript Link</v>
      </c>
      <c r="M3128" s="2" t="str">
        <f>HYPERLINK("https://files.afu.se/Downloads/Transcripts/0%20-%20Government/USA%20-%20NASA%20Johnson/2011 12 07 - NASA Johnson - ISS Update - Dec. 7, 2011_F5MwZu7Sehc - transcript (automated).pdf","Transcript Link")</f>
        <v>Transcript Link</v>
      </c>
    </row>
    <row r="3129" ht="180" spans="1:13">
      <c r="A3129" s="1" t="s">
        <v>13716</v>
      </c>
      <c r="B3129" s="1" t="s">
        <v>13</v>
      </c>
      <c r="C3129" s="4" t="s">
        <v>13717</v>
      </c>
      <c r="D3129" s="1" t="s">
        <v>13718</v>
      </c>
      <c r="E3129" s="1" t="s">
        <v>13719</v>
      </c>
      <c r="F3129" s="4" t="s">
        <v>17</v>
      </c>
      <c r="G3129" s="1" t="s">
        <v>18</v>
      </c>
      <c r="H3129" s="1" t="s">
        <v>19</v>
      </c>
      <c r="I3129" s="1" t="s">
        <v>20</v>
      </c>
      <c r="J3129" s="1" t="s">
        <v>13720</v>
      </c>
      <c r="K3129" s="1" t="s">
        <v>22</v>
      </c>
      <c r="L3129" s="1" t="str">
        <f>HYPERLINK("https://files.afu.se/Downloads/Transcripts/0%20-%20Government/USA%20-%20NASA%20Johnson/2011 12 06 - NASA Johnson - ISS Update - Dec. 6, 2011_NKPKG5RbGuw - transcript (automated).pdf","Transcript Link")</f>
        <v>Transcript Link</v>
      </c>
      <c r="M3129" s="2" t="str">
        <f>HYPERLINK("https://files.afu.se/Downloads/Transcripts/0%20-%20Government/USA%20-%20NASA%20Johnson/2011 12 06 - NASA Johnson - ISS Update - Dec. 6, 2011_NKPKG5RbGuw - transcript (automated).pdf","Transcript Link")</f>
        <v>Transcript Link</v>
      </c>
    </row>
    <row r="3130" ht="180" spans="1:13">
      <c r="A3130" s="1" t="s">
        <v>13721</v>
      </c>
      <c r="B3130" s="1" t="s">
        <v>13</v>
      </c>
      <c r="C3130" s="4" t="s">
        <v>13722</v>
      </c>
      <c r="D3130" s="1" t="s">
        <v>13723</v>
      </c>
      <c r="E3130" s="1" t="s">
        <v>13724</v>
      </c>
      <c r="F3130" s="4" t="s">
        <v>17</v>
      </c>
      <c r="G3130" s="1" t="s">
        <v>18</v>
      </c>
      <c r="H3130" s="1" t="s">
        <v>19</v>
      </c>
      <c r="I3130" s="1" t="s">
        <v>20</v>
      </c>
      <c r="J3130" s="1" t="s">
        <v>13725</v>
      </c>
      <c r="K3130" s="1" t="s">
        <v>22</v>
      </c>
      <c r="L3130" s="1" t="str">
        <f>HYPERLINK("https://files.afu.se/Downloads/Transcripts/0%20-%20Government/USA%20-%20NASA%20Johnson/2011 12 05 - NASA Johnson - ISS Update - Dec. 5, 2011_v_LTCS1bjVI - transcript (automated).pdf","Transcript Link")</f>
        <v>Transcript Link</v>
      </c>
      <c r="M3130" s="2" t="str">
        <f>HYPERLINK("https://files.afu.se/Downloads/Transcripts/0%20-%20Government/USA%20-%20NASA%20Johnson/2011 12 05 - NASA Johnson - ISS Update - Dec. 5, 2011_v_LTCS1bjVI - transcript (automated).pdf","Transcript Link")</f>
        <v>Transcript Link</v>
      </c>
    </row>
    <row r="3131" ht="180" spans="1:13">
      <c r="A3131" s="1" t="s">
        <v>13726</v>
      </c>
      <c r="B3131" s="1" t="s">
        <v>13</v>
      </c>
      <c r="C3131" s="4" t="s">
        <v>13727</v>
      </c>
      <c r="D3131" s="1" t="s">
        <v>13728</v>
      </c>
      <c r="E3131" s="1" t="s">
        <v>13729</v>
      </c>
      <c r="F3131" s="4" t="s">
        <v>17</v>
      </c>
      <c r="G3131" s="1" t="s">
        <v>18</v>
      </c>
      <c r="H3131" s="1" t="s">
        <v>19</v>
      </c>
      <c r="I3131" s="1" t="s">
        <v>20</v>
      </c>
      <c r="J3131" s="1" t="s">
        <v>13730</v>
      </c>
      <c r="K3131" s="1" t="s">
        <v>22</v>
      </c>
      <c r="L3131" s="1" t="str">
        <f>HYPERLINK("https://files.afu.se/Downloads/Transcripts/0%20-%20Government/USA%20-%20NASA%20Johnson/2011 12 02 - NASA Johnson - Weekly ISS Recap - Nov. 28-Dec. 2, 2011_aqgtNcyLkEo - transcript (automated).pdf","Transcript Link")</f>
        <v>Transcript Link</v>
      </c>
      <c r="M3131" s="2" t="str">
        <f>HYPERLINK("https://files.afu.se/Downloads/Transcripts/0%20-%20Government/USA%20-%20NASA%20Johnson/2011 12 02 - NASA Johnson - Weekly ISS Recap - Nov. 28-Dec. 2, 2011_aqgtNcyLkEo - transcript (automated).pdf","Transcript Link")</f>
        <v>Transcript Link</v>
      </c>
    </row>
    <row r="3132" ht="180" spans="1:13">
      <c r="A3132" s="1" t="s">
        <v>13731</v>
      </c>
      <c r="B3132" s="1" t="s">
        <v>13</v>
      </c>
      <c r="C3132" s="4" t="s">
        <v>13732</v>
      </c>
      <c r="D3132" s="1" t="s">
        <v>13733</v>
      </c>
      <c r="E3132" s="1" t="s">
        <v>13734</v>
      </c>
      <c r="F3132" s="4" t="s">
        <v>17</v>
      </c>
      <c r="G3132" s="1" t="s">
        <v>18</v>
      </c>
      <c r="H3132" s="1" t="s">
        <v>19</v>
      </c>
      <c r="I3132" s="1" t="s">
        <v>20</v>
      </c>
      <c r="J3132" s="1" t="s">
        <v>13735</v>
      </c>
      <c r="K3132" s="1" t="s">
        <v>22</v>
      </c>
      <c r="L3132" s="1" t="str">
        <f>HYPERLINK("https://files.afu.se/Downloads/Transcripts/0%20-%20Government/USA%20-%20NASA%20Johnson/2011 12 01 - NASA Johnson - ISS Update - Dec. 1, 2011_GsN8OWIAO38 - transcript (automated).pdf","Transcript Link")</f>
        <v>Transcript Link</v>
      </c>
      <c r="M3132" s="2" t="str">
        <f>HYPERLINK("https://files.afu.se/Downloads/Transcripts/0%20-%20Government/USA%20-%20NASA%20Johnson/2011 12 01 - NASA Johnson - ISS Update - Dec. 1, 2011_GsN8OWIAO38 - transcript (automated).pdf","Transcript Link")</f>
        <v>Transcript Link</v>
      </c>
    </row>
    <row r="3133" ht="180" spans="1:13">
      <c r="A3133" s="1" t="s">
        <v>13736</v>
      </c>
      <c r="B3133" s="1" t="s">
        <v>13</v>
      </c>
      <c r="C3133" s="4" t="s">
        <v>13737</v>
      </c>
      <c r="D3133" s="1" t="s">
        <v>13738</v>
      </c>
      <c r="E3133" s="1" t="s">
        <v>13739</v>
      </c>
      <c r="F3133" s="4" t="s">
        <v>17</v>
      </c>
      <c r="G3133" s="1" t="s">
        <v>18</v>
      </c>
      <c r="H3133" s="1" t="s">
        <v>19</v>
      </c>
      <c r="I3133" s="1" t="s">
        <v>20</v>
      </c>
      <c r="J3133" s="1" t="s">
        <v>13740</v>
      </c>
      <c r="K3133" s="1" t="s">
        <v>22</v>
      </c>
      <c r="L3133" s="1" t="str">
        <f>HYPERLINK("https://files.afu.se/Downloads/Transcripts/0%20-%20Government/USA%20-%20NASA%20Johnson/2011 11 30 - NASA Johnson - ISS Update - Nov. 30, 2011_h3VvtEQnwZI - transcript (automated).pdf","Transcript Link")</f>
        <v>Transcript Link</v>
      </c>
      <c r="M3133" s="2" t="str">
        <f>HYPERLINK("https://files.afu.se/Downloads/Transcripts/0%20-%20Government/USA%20-%20NASA%20Johnson/2011 11 30 - NASA Johnson - ISS Update - Nov. 30, 2011_h3VvtEQnwZI - transcript (automated).pdf","Transcript Link")</f>
        <v>Transcript Link</v>
      </c>
    </row>
    <row r="3134" ht="180" spans="1:13">
      <c r="A3134" s="1" t="s">
        <v>13741</v>
      </c>
      <c r="B3134" s="1" t="s">
        <v>13</v>
      </c>
      <c r="C3134" s="4" t="s">
        <v>13742</v>
      </c>
      <c r="D3134" s="1" t="s">
        <v>13743</v>
      </c>
      <c r="E3134" s="1" t="s">
        <v>13744</v>
      </c>
      <c r="F3134" s="4" t="s">
        <v>17</v>
      </c>
      <c r="G3134" s="1" t="s">
        <v>18</v>
      </c>
      <c r="H3134" s="1" t="s">
        <v>19</v>
      </c>
      <c r="I3134" s="1" t="s">
        <v>20</v>
      </c>
      <c r="J3134" s="1" t="s">
        <v>13745</v>
      </c>
      <c r="K3134" s="1" t="s">
        <v>22</v>
      </c>
      <c r="L3134" s="1" t="str">
        <f>HYPERLINK("https://files.afu.se/Downloads/Transcripts/0%20-%20Government/USA%20-%20NASA%20Johnson/2011 11 29 - NASA Johnson - ISS Update - Nov. 29, 2011_xZq7FWSlhfE - transcript (automated).pdf","Transcript Link")</f>
        <v>Transcript Link</v>
      </c>
      <c r="M3134" s="2" t="str">
        <f>HYPERLINK("https://files.afu.se/Downloads/Transcripts/0%20-%20Government/USA%20-%20NASA%20Johnson/2011 11 29 - NASA Johnson - ISS Update - Nov. 29, 2011_xZq7FWSlhfE - transcript (automated).pdf","Transcript Link")</f>
        <v>Transcript Link</v>
      </c>
    </row>
    <row r="3135" ht="180" spans="1:13">
      <c r="A3135" s="1" t="s">
        <v>13741</v>
      </c>
      <c r="B3135" s="1" t="s">
        <v>13</v>
      </c>
      <c r="C3135" s="4" t="s">
        <v>13746</v>
      </c>
      <c r="D3135" s="1" t="s">
        <v>13747</v>
      </c>
      <c r="E3135" s="1" t="s">
        <v>13748</v>
      </c>
      <c r="F3135" s="4" t="s">
        <v>17</v>
      </c>
      <c r="G3135" s="1" t="s">
        <v>18</v>
      </c>
      <c r="H3135" s="1" t="s">
        <v>19</v>
      </c>
      <c r="I3135" s="1" t="s">
        <v>20</v>
      </c>
      <c r="J3135" s="1" t="s">
        <v>13749</v>
      </c>
      <c r="K3135" s="1" t="s">
        <v>22</v>
      </c>
      <c r="L3135" s="1" t="str">
        <f>HYPERLINK("https://files.afu.se/Downloads/Transcripts/0%20-%20Government/USA%20-%20NASA%20Johnson/2011 11 29 - NASA Johnson - Expedition 30 Ask the Crew_y2zoqq4_Uh4 - transcript (automated).pdf","Transcript Link")</f>
        <v>Transcript Link</v>
      </c>
      <c r="M3135" s="2" t="str">
        <f>HYPERLINK("https://files.afu.se/Downloads/Transcripts/0%20-%20Government/USA%20-%20NASA%20Johnson/2011 11 29 - NASA Johnson - Expedition 30 Ask the Crew_y2zoqq4_Uh4 - transcript (automated).pdf","Transcript Link")</f>
        <v>Transcript Link</v>
      </c>
    </row>
    <row r="3136" ht="180" spans="1:13">
      <c r="A3136" s="1" t="s">
        <v>13750</v>
      </c>
      <c r="B3136" s="1" t="s">
        <v>13</v>
      </c>
      <c r="C3136" s="4" t="s">
        <v>13751</v>
      </c>
      <c r="D3136" s="1" t="s">
        <v>13752</v>
      </c>
      <c r="E3136" s="1" t="s">
        <v>13753</v>
      </c>
      <c r="F3136" s="4" t="s">
        <v>17</v>
      </c>
      <c r="G3136" s="1" t="s">
        <v>18</v>
      </c>
      <c r="H3136" s="1" t="s">
        <v>19</v>
      </c>
      <c r="I3136" s="1" t="s">
        <v>20</v>
      </c>
      <c r="J3136" s="1" t="s">
        <v>13754</v>
      </c>
      <c r="K3136" s="1" t="s">
        <v>22</v>
      </c>
      <c r="L3136" s="1" t="str">
        <f>HYPERLINK("https://files.afu.se/Downloads/Transcripts/0%20-%20Government/USA%20-%20NASA%20Johnson/2011 11 28 - NASA Johnson - ISS Update - Nov. 28, 2011_mHI8RoltA4E - transcript (automated).pdf","Transcript Link")</f>
        <v>Transcript Link</v>
      </c>
      <c r="M3136" s="2" t="str">
        <f>HYPERLINK("https://files.afu.se/Downloads/Transcripts/0%20-%20Government/USA%20-%20NASA%20Johnson/2011 11 28 - NASA Johnson - ISS Update - Nov. 28, 2011_mHI8RoltA4E - transcript (automated).pdf","Transcript Link")</f>
        <v>Transcript Link</v>
      </c>
    </row>
    <row r="3137" ht="180" spans="1:13">
      <c r="A3137" s="1" t="s">
        <v>13755</v>
      </c>
      <c r="B3137" s="1" t="s">
        <v>13</v>
      </c>
      <c r="C3137" s="4" t="s">
        <v>13756</v>
      </c>
      <c r="D3137" s="1" t="s">
        <v>13757</v>
      </c>
      <c r="E3137" s="1" t="s">
        <v>13758</v>
      </c>
      <c r="F3137" s="4" t="s">
        <v>17</v>
      </c>
      <c r="G3137" s="1" t="s">
        <v>18</v>
      </c>
      <c r="H3137" s="1" t="s">
        <v>19</v>
      </c>
      <c r="I3137" s="1" t="s">
        <v>20</v>
      </c>
      <c r="J3137" s="1" t="s">
        <v>13759</v>
      </c>
      <c r="K3137" s="1" t="s">
        <v>22</v>
      </c>
      <c r="L3137" s="1" t="str">
        <f>HYPERLINK("https://files.afu.se/Downloads/Transcripts/0%20-%20Government/USA%20-%20NASA%20Johnson/2011 11 25 - NASA Johnson - Weekly ISS Recap - Nov. 21-Nov. 25, 2011_Qanwvvbe8bM - transcript (automated).pdf","Transcript Link")</f>
        <v>Transcript Link</v>
      </c>
      <c r="M3137" s="2" t="str">
        <f>HYPERLINK("https://files.afu.se/Downloads/Transcripts/0%20-%20Government/USA%20-%20NASA%20Johnson/2011 11 25 - NASA Johnson - Weekly ISS Recap - Nov. 21-Nov. 25, 2011_Qanwvvbe8bM - transcript (automated).pdf","Transcript Link")</f>
        <v>Transcript Link</v>
      </c>
    </row>
    <row r="3138" ht="180" spans="1:13">
      <c r="A3138" s="1" t="s">
        <v>13760</v>
      </c>
      <c r="B3138" s="1" t="s">
        <v>13</v>
      </c>
      <c r="C3138" s="4" t="s">
        <v>13761</v>
      </c>
      <c r="D3138" s="1" t="s">
        <v>13762</v>
      </c>
      <c r="E3138" s="1" t="s">
        <v>13763</v>
      </c>
      <c r="F3138" s="4" t="s">
        <v>17</v>
      </c>
      <c r="G3138" s="1" t="s">
        <v>18</v>
      </c>
      <c r="H3138" s="1" t="s">
        <v>19</v>
      </c>
      <c r="I3138" s="1" t="s">
        <v>20</v>
      </c>
      <c r="J3138" s="1" t="s">
        <v>13764</v>
      </c>
      <c r="K3138" s="1" t="s">
        <v>22</v>
      </c>
      <c r="L3138" s="1" t="str">
        <f>HYPERLINK("https://files.afu.se/Downloads/Transcripts/0%20-%20Government/USA%20-%20NASA%20Johnson/2011 11 23 - NASA Johnson - ISS Update - Nov. 23, 2011_WRSncTLMRZM - transcript (automated).pdf","Transcript Link")</f>
        <v>Transcript Link</v>
      </c>
      <c r="M3138" s="2" t="str">
        <f>HYPERLINK("https://files.afu.se/Downloads/Transcripts/0%20-%20Government/USA%20-%20NASA%20Johnson/2011 11 23 - NASA Johnson - ISS Update - Nov. 23, 2011_WRSncTLMRZM - transcript (automated).pdf","Transcript Link")</f>
        <v>Transcript Link</v>
      </c>
    </row>
    <row r="3139" ht="180" spans="1:13">
      <c r="A3139" s="1" t="s">
        <v>13765</v>
      </c>
      <c r="B3139" s="1" t="s">
        <v>13</v>
      </c>
      <c r="C3139" s="4" t="s">
        <v>13766</v>
      </c>
      <c r="D3139" s="1" t="s">
        <v>13767</v>
      </c>
      <c r="E3139" s="1" t="s">
        <v>13768</v>
      </c>
      <c r="F3139" s="4" t="s">
        <v>17</v>
      </c>
      <c r="G3139" s="1" t="s">
        <v>18</v>
      </c>
      <c r="H3139" s="1" t="s">
        <v>19</v>
      </c>
      <c r="I3139" s="1" t="s">
        <v>20</v>
      </c>
      <c r="J3139" s="1" t="s">
        <v>13769</v>
      </c>
      <c r="K3139" s="1" t="s">
        <v>22</v>
      </c>
      <c r="L3139" s="1" t="str">
        <f>HYPERLINK("https://files.afu.se/Downloads/Transcripts/0%20-%20Government/USA%20-%20NASA%20Johnson/2011 11 22 - NASA Johnson - Philadelphia Eagles Honor NASA Astronaut Chris Ferguson_k4s1IADXwUI - transcript (automated).pdf","Transcript Link")</f>
        <v>Transcript Link</v>
      </c>
      <c r="M3139" s="2" t="str">
        <f>HYPERLINK("https://files.afu.se/Downloads/Transcripts/0%20-%20Government/USA%20-%20NASA%20Johnson/2011 11 22 - NASA Johnson - Philadelphia Eagles Honor NASA Astronaut Chris Ferguson_k4s1IADXwUI - transcript (automated).pdf","Transcript Link")</f>
        <v>Transcript Link</v>
      </c>
    </row>
    <row r="3140" ht="180" spans="1:13">
      <c r="A3140" s="1" t="s">
        <v>13765</v>
      </c>
      <c r="B3140" s="1" t="s">
        <v>13</v>
      </c>
      <c r="C3140" s="4" t="s">
        <v>13770</v>
      </c>
      <c r="D3140" s="1" t="s">
        <v>13771</v>
      </c>
      <c r="E3140" s="1" t="s">
        <v>13772</v>
      </c>
      <c r="F3140" s="4" t="s">
        <v>17</v>
      </c>
      <c r="G3140" s="1" t="s">
        <v>18</v>
      </c>
      <c r="H3140" s="1" t="s">
        <v>19</v>
      </c>
      <c r="I3140" s="1" t="s">
        <v>20</v>
      </c>
      <c r="J3140" s="1" t="s">
        <v>13773</v>
      </c>
      <c r="K3140" s="1" t="s">
        <v>22</v>
      </c>
      <c r="L3140" s="1" t="str">
        <f>HYPERLINK("https://files.afu.se/Downloads/Transcripts/0%20-%20Government/USA%20-%20NASA%20Johnson/2011 11 22 - NASA Johnson - ISS Update - Nov. 22, 2011_21df24FXt_E - transcript (automated).pdf","Transcript Link")</f>
        <v>Transcript Link</v>
      </c>
      <c r="M3140" s="2" t="str">
        <f>HYPERLINK("https://files.afu.se/Downloads/Transcripts/0%20-%20Government/USA%20-%20NASA%20Johnson/2011 11 22 - NASA Johnson - ISS Update - Nov. 22, 2011_21df24FXt_E - transcript (automated).pdf","Transcript Link")</f>
        <v>Transcript Link</v>
      </c>
    </row>
    <row r="3141" ht="180" spans="1:13">
      <c r="A3141" s="1" t="s">
        <v>13765</v>
      </c>
      <c r="B3141" s="1" t="s">
        <v>13</v>
      </c>
      <c r="C3141" s="4" t="s">
        <v>13774</v>
      </c>
      <c r="D3141" s="1" t="s">
        <v>13775</v>
      </c>
      <c r="E3141" s="1" t="s">
        <v>13776</v>
      </c>
      <c r="F3141" s="4" t="s">
        <v>17</v>
      </c>
      <c r="G3141" s="1" t="s">
        <v>18</v>
      </c>
      <c r="H3141" s="1" t="s">
        <v>19</v>
      </c>
      <c r="I3141" s="1" t="s">
        <v>20</v>
      </c>
      <c r="J3141" s="1" t="s">
        <v>13777</v>
      </c>
      <c r="K3141" s="1" t="s">
        <v>22</v>
      </c>
      <c r="L3141" s="1" t="str">
        <f>HYPERLINK("https://files.afu.se/Downloads/Transcripts/0%20-%20Government/USA%20-%20NASA%20Johnson/2011 11 22 - NASA Johnson - Coming Back Down to Our Fragile Oasis_i8WTPOYqTzU - transcript (automated).pdf","Transcript Link")</f>
        <v>Transcript Link</v>
      </c>
      <c r="M3141" s="2" t="str">
        <f>HYPERLINK("https://files.afu.se/Downloads/Transcripts/0%20-%20Government/USA%20-%20NASA%20Johnson/2011 11 22 - NASA Johnson - Coming Back Down to Our Fragile Oasis_i8WTPOYqTzU - transcript (automated).pdf","Transcript Link")</f>
        <v>Transcript Link</v>
      </c>
    </row>
    <row r="3142" ht="180" spans="1:13">
      <c r="A3142" s="1" t="s">
        <v>13778</v>
      </c>
      <c r="B3142" s="1" t="s">
        <v>13</v>
      </c>
      <c r="C3142" s="4" t="s">
        <v>13779</v>
      </c>
      <c r="D3142" s="1" t="s">
        <v>13780</v>
      </c>
      <c r="E3142" s="1" t="s">
        <v>13781</v>
      </c>
      <c r="F3142" s="4" t="s">
        <v>17</v>
      </c>
      <c r="G3142" s="1" t="s">
        <v>18</v>
      </c>
      <c r="H3142" s="1" t="s">
        <v>19</v>
      </c>
      <c r="I3142" s="1" t="s">
        <v>20</v>
      </c>
      <c r="J3142" s="1" t="s">
        <v>13782</v>
      </c>
      <c r="K3142" s="1" t="s">
        <v>22</v>
      </c>
      <c r="L3142" s="1" t="str">
        <f>HYPERLINK("https://files.afu.se/Downloads/Transcripts/0%20-%20Government/USA%20-%20NASA%20Johnson/2011 11 21 - NASA Johnson - Expedition 29 Says Farewell and Undocks_pZtN85mHkLY - transcript (automated).pdf","Transcript Link")</f>
        <v>Transcript Link</v>
      </c>
      <c r="M3142" s="2" t="str">
        <f>HYPERLINK("https://files.afu.se/Downloads/Transcripts/0%20-%20Government/USA%20-%20NASA%20Johnson/2011 11 21 - NASA Johnson - Expedition 29 Says Farewell and Undocks_pZtN85mHkLY - transcript (automated).pdf","Transcript Link")</f>
        <v>Transcript Link</v>
      </c>
    </row>
    <row r="3143" ht="180" spans="1:13">
      <c r="A3143" s="1" t="s">
        <v>13778</v>
      </c>
      <c r="B3143" s="1" t="s">
        <v>13</v>
      </c>
      <c r="C3143" s="4" t="s">
        <v>13783</v>
      </c>
      <c r="D3143" s="1" t="s">
        <v>4392</v>
      </c>
      <c r="E3143" s="1" t="s">
        <v>13784</v>
      </c>
      <c r="F3143" s="4" t="s">
        <v>17</v>
      </c>
      <c r="G3143" s="1" t="s">
        <v>18</v>
      </c>
      <c r="H3143" s="1" t="s">
        <v>19</v>
      </c>
      <c r="I3143" s="1" t="s">
        <v>20</v>
      </c>
      <c r="J3143" s="1" t="s">
        <v>13785</v>
      </c>
      <c r="K3143" s="1" t="s">
        <v>22</v>
      </c>
      <c r="L3143" s="1" t="str">
        <f>HYPERLINK("https://files.afu.se/Downloads/Transcripts/0%20-%20Government/USA%20-%20NASA%20Johnson/2011 11 21 - NASA Johnson - Station Change of Command Ceremony_QubDudI0XVc - transcript (automated).pdf","Transcript Link")</f>
        <v>Transcript Link</v>
      </c>
      <c r="M3143" s="2" t="str">
        <f>HYPERLINK("https://files.afu.se/Downloads/Transcripts/0%20-%20Government/USA%20-%20NASA%20Johnson/2011 11 21 - NASA Johnson - Station Change of Command Ceremony_QubDudI0XVc - transcript (automated).pdf","Transcript Link")</f>
        <v>Transcript Link</v>
      </c>
    </row>
    <row r="3144" ht="180" spans="1:13">
      <c r="A3144" s="1" t="s">
        <v>13778</v>
      </c>
      <c r="B3144" s="1" t="s">
        <v>13</v>
      </c>
      <c r="C3144" s="4" t="s">
        <v>13786</v>
      </c>
      <c r="D3144" s="1" t="s">
        <v>13787</v>
      </c>
      <c r="E3144" s="1" t="s">
        <v>13788</v>
      </c>
      <c r="F3144" s="4" t="s">
        <v>17</v>
      </c>
      <c r="G3144" s="1" t="s">
        <v>18</v>
      </c>
      <c r="H3144" s="1" t="s">
        <v>19</v>
      </c>
      <c r="I3144" s="1" t="s">
        <v>20</v>
      </c>
      <c r="J3144" s="1" t="s">
        <v>13789</v>
      </c>
      <c r="K3144" s="1" t="s">
        <v>22</v>
      </c>
      <c r="L3144" s="1" t="str">
        <f>HYPERLINK("https://files.afu.se/Downloads/Transcripts/0%20-%20Government/USA%20-%20NASA%20Johnson/2011 11 21 - NASA Johnson - ISS Update - Nov. 21, 2011_WCpy0IUKt0Q - transcript (automated).pdf","Transcript Link")</f>
        <v>Transcript Link</v>
      </c>
      <c r="M3144" s="2" t="str">
        <f>HYPERLINK("https://files.afu.se/Downloads/Transcripts/0%20-%20Government/USA%20-%20NASA%20Johnson/2011 11 21 - NASA Johnson - ISS Update - Nov. 21, 2011_WCpy0IUKt0Q - transcript (automated).pdf","Transcript Link")</f>
        <v>Transcript Link</v>
      </c>
    </row>
    <row r="3145" ht="180" spans="1:13">
      <c r="A3145" s="1" t="s">
        <v>13790</v>
      </c>
      <c r="B3145" s="1" t="s">
        <v>13</v>
      </c>
      <c r="C3145" s="4" t="s">
        <v>13791</v>
      </c>
      <c r="D3145" s="1" t="s">
        <v>13792</v>
      </c>
      <c r="E3145" s="1" t="s">
        <v>13793</v>
      </c>
      <c r="F3145" s="4" t="s">
        <v>17</v>
      </c>
      <c r="G3145" s="1" t="s">
        <v>18</v>
      </c>
      <c r="H3145" s="1" t="s">
        <v>19</v>
      </c>
      <c r="I3145" s="1" t="s">
        <v>20</v>
      </c>
      <c r="J3145" s="1" t="s">
        <v>13794</v>
      </c>
      <c r="K3145" s="1" t="s">
        <v>22</v>
      </c>
      <c r="L3145" s="1" t="str">
        <f>HYPERLINK("https://files.afu.se/Downloads/Transcripts/0%20-%20Government/USA%20-%20NASA%20Johnson/2011 11 18 - NASA Johnson - Weekly ISS Recap - Nov. 14-Nov. 18, 2011_f-APIYEuAfQ - transcript (automated).pdf","Transcript Link")</f>
        <v>Transcript Link</v>
      </c>
      <c r="M3145" s="2" t="str">
        <f>HYPERLINK("https://files.afu.se/Downloads/Transcripts/0%20-%20Government/USA%20-%20NASA%20Johnson/2011 11 18 - NASA Johnson - Weekly ISS Recap - Nov. 14-Nov. 18, 2011_f-APIYEuAfQ - transcript (automated).pdf","Transcript Link")</f>
        <v>Transcript Link</v>
      </c>
    </row>
    <row r="3146" ht="180" spans="1:13">
      <c r="A3146" s="1" t="s">
        <v>13790</v>
      </c>
      <c r="B3146" s="1" t="s">
        <v>13</v>
      </c>
      <c r="C3146" s="4" t="s">
        <v>13795</v>
      </c>
      <c r="D3146" s="1" t="s">
        <v>13796</v>
      </c>
      <c r="E3146" s="1" t="s">
        <v>13797</v>
      </c>
      <c r="F3146" s="4" t="s">
        <v>17</v>
      </c>
      <c r="G3146" s="1" t="s">
        <v>18</v>
      </c>
      <c r="H3146" s="1" t="s">
        <v>19</v>
      </c>
      <c r="I3146" s="1" t="s">
        <v>20</v>
      </c>
      <c r="J3146" s="1" t="s">
        <v>13798</v>
      </c>
      <c r="K3146" s="1" t="s">
        <v>22</v>
      </c>
      <c r="L3146" s="1" t="str">
        <f>HYPERLINK("https://files.afu.se/Downloads/Transcripts/0%20-%20Government/USA%20-%20NASA%20Johnson/2011 11 18 - NASA Johnson - Aspire To Inspire  Women in Technology_23UliVfrjXA - transcript (automated).pdf","Transcript Link")</f>
        <v>Transcript Link</v>
      </c>
      <c r="M3146" s="2" t="str">
        <f>HYPERLINK("https://files.afu.se/Downloads/Transcripts/0%20-%20Government/USA%20-%20NASA%20Johnson/2011 11 18 - NASA Johnson - Aspire To Inspire  Women in Technology_23UliVfrjXA - transcript (automated).pdf","Transcript Link")</f>
        <v>Transcript Link</v>
      </c>
    </row>
    <row r="3147" ht="180" spans="1:13">
      <c r="A3147" s="1" t="s">
        <v>13790</v>
      </c>
      <c r="B3147" s="1" t="s">
        <v>13</v>
      </c>
      <c r="C3147" s="4" t="s">
        <v>13799</v>
      </c>
      <c r="D3147" s="1" t="s">
        <v>13800</v>
      </c>
      <c r="E3147" s="1" t="s">
        <v>13801</v>
      </c>
      <c r="F3147" s="4" t="s">
        <v>17</v>
      </c>
      <c r="G3147" s="1" t="s">
        <v>18</v>
      </c>
      <c r="H3147" s="1" t="s">
        <v>19</v>
      </c>
      <c r="I3147" s="1" t="s">
        <v>20</v>
      </c>
      <c r="J3147" s="1" t="s">
        <v>13802</v>
      </c>
      <c r="K3147" s="1" t="s">
        <v>22</v>
      </c>
      <c r="L3147" s="1" t="str">
        <f>HYPERLINK("https://files.afu.se/Downloads/Transcripts/0%20-%20Government/USA%20-%20NASA%20Johnson/2011 11 18 - NASA Johnson - Aspire To Inspire   Women in Science_qv-ZNyFVat4 - transcript (automated).pdf","Transcript Link")</f>
        <v>Transcript Link</v>
      </c>
      <c r="M3147" s="2" t="str">
        <f>HYPERLINK("https://files.afu.se/Downloads/Transcripts/0%20-%20Government/USA%20-%20NASA%20Johnson/2011 11 18 - NASA Johnson - Aspire To Inspire   Women in Science_qv-ZNyFVat4 - transcript (automated).pdf","Transcript Link")</f>
        <v>Transcript Link</v>
      </c>
    </row>
    <row r="3148" ht="180" spans="1:13">
      <c r="A3148" s="1" t="s">
        <v>13790</v>
      </c>
      <c r="B3148" s="1" t="s">
        <v>13</v>
      </c>
      <c r="C3148" s="4" t="s">
        <v>13803</v>
      </c>
      <c r="D3148" s="1" t="s">
        <v>13804</v>
      </c>
      <c r="E3148" s="1" t="s">
        <v>13805</v>
      </c>
      <c r="F3148" s="4" t="s">
        <v>17</v>
      </c>
      <c r="G3148" s="1" t="s">
        <v>18</v>
      </c>
      <c r="H3148" s="1" t="s">
        <v>19</v>
      </c>
      <c r="I3148" s="1" t="s">
        <v>20</v>
      </c>
      <c r="J3148" s="1" t="s">
        <v>13806</v>
      </c>
      <c r="K3148" s="1" t="s">
        <v>22</v>
      </c>
      <c r="L3148" s="1" t="str">
        <f>HYPERLINK("https://files.afu.se/Downloads/Transcripts/0%20-%20Government/USA%20-%20NASA%20Johnson/2011 11 18 - NASA Johnson - Thanksgiving Message from Station Crew_htoZwE8n--Q - transcript (automated).pdf","Transcript Link")</f>
        <v>Transcript Link</v>
      </c>
      <c r="M3148" s="2" t="str">
        <f>HYPERLINK("https://files.afu.se/Downloads/Transcripts/0%20-%20Government/USA%20-%20NASA%20Johnson/2011 11 18 - NASA Johnson - Thanksgiving Message from Station Crew_htoZwE8n--Q - transcript (automated).pdf","Transcript Link")</f>
        <v>Transcript Link</v>
      </c>
    </row>
    <row r="3149" ht="180" spans="1:13">
      <c r="A3149" s="1" t="s">
        <v>13790</v>
      </c>
      <c r="B3149" s="1" t="s">
        <v>13</v>
      </c>
      <c r="C3149" s="4" t="s">
        <v>13807</v>
      </c>
      <c r="D3149" s="1" t="s">
        <v>13808</v>
      </c>
      <c r="E3149" s="1" t="s">
        <v>13809</v>
      </c>
      <c r="F3149" s="4" t="s">
        <v>17</v>
      </c>
      <c r="G3149" s="1" t="s">
        <v>18</v>
      </c>
      <c r="H3149" s="1" t="s">
        <v>19</v>
      </c>
      <c r="I3149" s="1" t="s">
        <v>20</v>
      </c>
      <c r="J3149" s="1" t="s">
        <v>13810</v>
      </c>
      <c r="K3149" s="1" t="s">
        <v>22</v>
      </c>
      <c r="L3149" s="1" t="str">
        <f>HYPERLINK("https://files.afu.se/Downloads/Transcripts/0%20-%20Government/USA%20-%20NASA%20Johnson/2011 11 18 - NASA Johnson - Aspire To Inspire   Women in STEM_yuyEWbWRu5M - transcript (automated).pdf","Transcript Link")</f>
        <v>Transcript Link</v>
      </c>
      <c r="M3149" s="2" t="str">
        <f>HYPERLINK("https://files.afu.se/Downloads/Transcripts/0%20-%20Government/USA%20-%20NASA%20Johnson/2011 11 18 - NASA Johnson - Aspire To Inspire   Women in STEM_yuyEWbWRu5M - transcript (automated).pdf","Transcript Link")</f>
        <v>Transcript Link</v>
      </c>
    </row>
    <row r="3150" ht="180" spans="1:13">
      <c r="A3150" s="1" t="s">
        <v>13790</v>
      </c>
      <c r="B3150" s="1" t="s">
        <v>13</v>
      </c>
      <c r="C3150" s="4" t="s">
        <v>13811</v>
      </c>
      <c r="D3150" s="1" t="s">
        <v>13812</v>
      </c>
      <c r="E3150" s="1" t="s">
        <v>13813</v>
      </c>
      <c r="F3150" s="4" t="s">
        <v>17</v>
      </c>
      <c r="G3150" s="1" t="s">
        <v>18</v>
      </c>
      <c r="H3150" s="1" t="s">
        <v>19</v>
      </c>
      <c r="I3150" s="1" t="s">
        <v>20</v>
      </c>
      <c r="J3150" s="1" t="s">
        <v>13814</v>
      </c>
      <c r="K3150" s="1" t="s">
        <v>22</v>
      </c>
      <c r="L3150" s="1" t="str">
        <f>HYPERLINK("https://files.afu.se/Downloads/Transcripts/0%20-%20Government/USA%20-%20NASA%20Johnson/2011 11 18 - NASA Johnson - Aspire To Inspire  Women in Mathematics_5LWtMqGbjtA - transcript (automated).pdf","Transcript Link")</f>
        <v>Transcript Link</v>
      </c>
      <c r="M3150" s="2" t="str">
        <f>HYPERLINK("https://files.afu.se/Downloads/Transcripts/0%20-%20Government/USA%20-%20NASA%20Johnson/2011 11 18 - NASA Johnson - Aspire To Inspire  Women in Mathematics_5LWtMqGbjtA - transcript (automated).pdf","Transcript Link")</f>
        <v>Transcript Link</v>
      </c>
    </row>
    <row r="3151" ht="180" spans="1:13">
      <c r="A3151" s="1" t="s">
        <v>13790</v>
      </c>
      <c r="B3151" s="1" t="s">
        <v>13</v>
      </c>
      <c r="C3151" s="4" t="s">
        <v>13815</v>
      </c>
      <c r="D3151" s="1" t="s">
        <v>13816</v>
      </c>
      <c r="E3151" s="1" t="s">
        <v>13817</v>
      </c>
      <c r="F3151" s="4" t="s">
        <v>17</v>
      </c>
      <c r="G3151" s="1" t="s">
        <v>18</v>
      </c>
      <c r="H3151" s="1" t="s">
        <v>19</v>
      </c>
      <c r="I3151" s="1" t="s">
        <v>20</v>
      </c>
      <c r="J3151" s="1" t="s">
        <v>13818</v>
      </c>
      <c r="K3151" s="1" t="s">
        <v>22</v>
      </c>
      <c r="L3151" s="1" t="str">
        <f>HYPERLINK("https://files.afu.se/Downloads/Transcripts/0%20-%20Government/USA%20-%20NASA%20Johnson/2011 11 18 - NASA Johnson - Aspire To Inspire   Women in Engineering_QhunCY-8L9Q - transcript (automated).pdf","Transcript Link")</f>
        <v>Transcript Link</v>
      </c>
      <c r="M3151" s="2" t="str">
        <f>HYPERLINK("https://files.afu.se/Downloads/Transcripts/0%20-%20Government/USA%20-%20NASA%20Johnson/2011 11 18 - NASA Johnson - Aspire To Inspire   Women in Engineering_QhunCY-8L9Q - transcript (automated).pdf","Transcript Link")</f>
        <v>Transcript Link</v>
      </c>
    </row>
    <row r="3152" ht="180" spans="1:13">
      <c r="A3152" s="1" t="s">
        <v>13819</v>
      </c>
      <c r="B3152" s="1" t="s">
        <v>13</v>
      </c>
      <c r="C3152" s="4" t="s">
        <v>13820</v>
      </c>
      <c r="D3152" s="1" t="s">
        <v>13821</v>
      </c>
      <c r="E3152" s="1" t="s">
        <v>13822</v>
      </c>
      <c r="F3152" s="4" t="s">
        <v>17</v>
      </c>
      <c r="G3152" s="1" t="s">
        <v>18</v>
      </c>
      <c r="H3152" s="1" t="s">
        <v>19</v>
      </c>
      <c r="I3152" s="1" t="s">
        <v>20</v>
      </c>
      <c r="J3152" s="1" t="s">
        <v>13823</v>
      </c>
      <c r="K3152" s="1" t="s">
        <v>22</v>
      </c>
      <c r="L3152" s="1" t="str">
        <f>HYPERLINK("https://files.afu.se/Downloads/Transcripts/0%20-%20Government/USA%20-%20NASA%20Johnson/2011 11 17 - NASA Johnson - ISS Update - Nov. 17, 2011_ZoRFCPDcU1o - transcript (automated).pdf","Transcript Link")</f>
        <v>Transcript Link</v>
      </c>
      <c r="M3152" s="2" t="str">
        <f>HYPERLINK("https://files.afu.se/Downloads/Transcripts/0%20-%20Government/USA%20-%20NASA%20Johnson/2011 11 17 - NASA Johnson - ISS Update - Nov. 17, 2011_ZoRFCPDcU1o - transcript (automated).pdf","Transcript Link")</f>
        <v>Transcript Link</v>
      </c>
    </row>
    <row r="3153" ht="180" spans="1:13">
      <c r="A3153" s="1" t="s">
        <v>13824</v>
      </c>
      <c r="B3153" s="1" t="s">
        <v>13</v>
      </c>
      <c r="C3153" s="4" t="s">
        <v>13825</v>
      </c>
      <c r="D3153" s="1" t="s">
        <v>13826</v>
      </c>
      <c r="E3153" s="1" t="s">
        <v>13827</v>
      </c>
      <c r="F3153" s="4" t="s">
        <v>17</v>
      </c>
      <c r="G3153" s="1" t="s">
        <v>18</v>
      </c>
      <c r="H3153" s="1" t="s">
        <v>19</v>
      </c>
      <c r="I3153" s="1" t="s">
        <v>20</v>
      </c>
      <c r="J3153" s="1" t="s">
        <v>13828</v>
      </c>
      <c r="K3153" s="1" t="s">
        <v>22</v>
      </c>
      <c r="L3153" s="1" t="str">
        <f>HYPERLINK("https://files.afu.se/Downloads/Transcripts/0%20-%20Government/USA%20-%20NASA%20Johnson/2011 11 16 - NASA Johnson - ISS Update - Nov. 16, 2011_IC4gU69QAD0 - transcript (automated).pdf","Transcript Link")</f>
        <v>Transcript Link</v>
      </c>
      <c r="M3153" s="2" t="str">
        <f>HYPERLINK("https://files.afu.se/Downloads/Transcripts/0%20-%20Government/USA%20-%20NASA%20Johnson/2011 11 16 - NASA Johnson - ISS Update - Nov. 16, 2011_IC4gU69QAD0 - transcript (automated).pdf","Transcript Link")</f>
        <v>Transcript Link</v>
      </c>
    </row>
    <row r="3154" ht="180" spans="1:13">
      <c r="A3154" s="1" t="s">
        <v>13824</v>
      </c>
      <c r="B3154" s="1" t="s">
        <v>13</v>
      </c>
      <c r="C3154" s="4" t="s">
        <v>13829</v>
      </c>
      <c r="D3154" s="1" t="s">
        <v>13830</v>
      </c>
      <c r="E3154" s="1" t="s">
        <v>13831</v>
      </c>
      <c r="F3154" s="4" t="s">
        <v>17</v>
      </c>
      <c r="G3154" s="1" t="s">
        <v>18</v>
      </c>
      <c r="H3154" s="1" t="s">
        <v>19</v>
      </c>
      <c r="I3154" s="1" t="s">
        <v>20</v>
      </c>
      <c r="J3154" s="1" t="s">
        <v>13832</v>
      </c>
      <c r="K3154" s="1" t="s">
        <v>22</v>
      </c>
      <c r="L3154" s="1" t="str">
        <f>HYPERLINK("https://files.afu.se/Downloads/Transcripts/0%20-%20Government/USA%20-%20NASA%20Johnson/2011 11 16 - NASA Johnson - Expedition 29 Welcomes Three New Crewmates_u5UjyQh44tw - transcript (automated).pdf","Transcript Link")</f>
        <v>Transcript Link</v>
      </c>
      <c r="M3154" s="2" t="str">
        <f>HYPERLINK("https://files.afu.se/Downloads/Transcripts/0%20-%20Government/USA%20-%20NASA%20Johnson/2011 11 16 - NASA Johnson - Expedition 29 Welcomes Three New Crewmates_u5UjyQh44tw - transcript (automated).pdf","Transcript Link")</f>
        <v>Transcript Link</v>
      </c>
    </row>
    <row r="3155" ht="180" spans="1:13">
      <c r="A3155" s="1" t="s">
        <v>13833</v>
      </c>
      <c r="B3155" s="1" t="s">
        <v>13</v>
      </c>
      <c r="C3155" s="4" t="s">
        <v>13834</v>
      </c>
      <c r="D3155" s="1" t="s">
        <v>13835</v>
      </c>
      <c r="E3155" s="1" t="s">
        <v>13836</v>
      </c>
      <c r="F3155" s="4" t="s">
        <v>17</v>
      </c>
      <c r="G3155" s="1" t="s">
        <v>18</v>
      </c>
      <c r="H3155" s="1" t="s">
        <v>19</v>
      </c>
      <c r="I3155" s="1" t="s">
        <v>20</v>
      </c>
      <c r="J3155" s="1" t="s">
        <v>13837</v>
      </c>
      <c r="K3155" s="1" t="s">
        <v>22</v>
      </c>
      <c r="L3155" s="1" t="str">
        <f>HYPERLINK("https://files.afu.se/Downloads/Transcripts/0%20-%20Government/USA%20-%20NASA%20Johnson/2011 11 15 - NASA Johnson - Join NASA  The Sky is NOT the Limit_8Preb1cb8wY - transcript (automated).pdf","Transcript Link")</f>
        <v>Transcript Link</v>
      </c>
      <c r="M3155" s="2" t="str">
        <f>HYPERLINK("https://files.afu.se/Downloads/Transcripts/0%20-%20Government/USA%20-%20NASA%20Johnson/2011 11 15 - NASA Johnson - Join NASA  The Sky is NOT the Limit_8Preb1cb8wY - transcript (automated).pdf","Transcript Link")</f>
        <v>Transcript Link</v>
      </c>
    </row>
    <row r="3156" ht="180" spans="1:13">
      <c r="A3156" s="1" t="s">
        <v>13833</v>
      </c>
      <c r="B3156" s="1" t="s">
        <v>13</v>
      </c>
      <c r="C3156" s="4" t="s">
        <v>13838</v>
      </c>
      <c r="D3156" s="1" t="s">
        <v>13839</v>
      </c>
      <c r="E3156" s="1" t="s">
        <v>13840</v>
      </c>
      <c r="F3156" s="4" t="s">
        <v>17</v>
      </c>
      <c r="G3156" s="1" t="s">
        <v>18</v>
      </c>
      <c r="H3156" s="1" t="s">
        <v>19</v>
      </c>
      <c r="I3156" s="1" t="s">
        <v>20</v>
      </c>
      <c r="J3156" s="1" t="s">
        <v>13841</v>
      </c>
      <c r="K3156" s="1" t="s">
        <v>22</v>
      </c>
      <c r="L3156" s="1" t="str">
        <f>HYPERLINK("https://files.afu.se/Downloads/Transcripts/0%20-%20Government/USA%20-%20NASA%20Johnson/2011 11 15 - NASA Johnson - NASA is not Cancelled_WbYAX1lXotE - transcript (automated).pdf","Transcript Link")</f>
        <v>Transcript Link</v>
      </c>
      <c r="M3156" s="2" t="str">
        <f>HYPERLINK("https://files.afu.se/Downloads/Transcripts/0%20-%20Government/USA%20-%20NASA%20Johnson/2011 11 15 - NASA Johnson - NASA is not Cancelled_WbYAX1lXotE - transcript (automated).pdf","Transcript Link")</f>
        <v>Transcript Link</v>
      </c>
    </row>
    <row r="3157" ht="180" spans="1:13">
      <c r="A3157" s="1" t="s">
        <v>13833</v>
      </c>
      <c r="B3157" s="1" t="s">
        <v>13</v>
      </c>
      <c r="C3157" s="4" t="s">
        <v>13842</v>
      </c>
      <c r="D3157" s="1" t="s">
        <v>13843</v>
      </c>
      <c r="E3157" s="1" t="s">
        <v>13844</v>
      </c>
      <c r="F3157" s="4" t="s">
        <v>17</v>
      </c>
      <c r="G3157" s="1" t="s">
        <v>18</v>
      </c>
      <c r="H3157" s="1" t="s">
        <v>19</v>
      </c>
      <c r="I3157" s="1" t="s">
        <v>20</v>
      </c>
      <c r="J3157" s="1" t="s">
        <v>13845</v>
      </c>
      <c r="K3157" s="1" t="s">
        <v>22</v>
      </c>
      <c r="L3157" s="1" t="str">
        <f>HYPERLINK("https://files.afu.se/Downloads/Transcripts/0%20-%20Government/USA%20-%20NASA%20Johnson/2011 11 15 - NASA Johnson - ISS Update - Nov. 15, 2011_yTWDQFmso6Y - transcript (automated).pdf","Transcript Link")</f>
        <v>Transcript Link</v>
      </c>
      <c r="M3157" s="2" t="str">
        <f>HYPERLINK("https://files.afu.se/Downloads/Transcripts/0%20-%20Government/USA%20-%20NASA%20Johnson/2011 11 15 - NASA Johnson - ISS Update - Nov. 15, 2011_yTWDQFmso6Y - transcript (automated).pdf","Transcript Link")</f>
        <v>Transcript Link</v>
      </c>
    </row>
    <row r="3158" ht="180" spans="1:13">
      <c r="A3158" s="1" t="s">
        <v>13846</v>
      </c>
      <c r="B3158" s="1" t="s">
        <v>13</v>
      </c>
      <c r="C3158" s="4" t="s">
        <v>13847</v>
      </c>
      <c r="D3158" s="1" t="s">
        <v>13848</v>
      </c>
      <c r="E3158" s="1" t="s">
        <v>13849</v>
      </c>
      <c r="F3158" s="4" t="s">
        <v>17</v>
      </c>
      <c r="G3158" s="1" t="s">
        <v>18</v>
      </c>
      <c r="H3158" s="1" t="s">
        <v>19</v>
      </c>
      <c r="I3158" s="1" t="s">
        <v>20</v>
      </c>
      <c r="J3158" s="1" t="s">
        <v>13850</v>
      </c>
      <c r="K3158" s="1" t="s">
        <v>22</v>
      </c>
      <c r="L3158" s="1" t="str">
        <f>HYPERLINK("https://files.afu.se/Downloads/Transcripts/0%20-%20Government/USA%20-%20NASA%20Johnson/2011 11 14 - NASA Johnson - ISS Update - Nov. 14, 2011_C-263gf6kbA - transcript (automated).pdf","Transcript Link")</f>
        <v>Transcript Link</v>
      </c>
      <c r="M3158" s="2" t="str">
        <f>HYPERLINK("https://files.afu.se/Downloads/Transcripts/0%20-%20Government/USA%20-%20NASA%20Johnson/2011 11 14 - NASA Johnson - ISS Update - Nov. 14, 2011_C-263gf6kbA - transcript (automated).pdf","Transcript Link")</f>
        <v>Transcript Link</v>
      </c>
    </row>
    <row r="3159" ht="180" spans="1:13">
      <c r="A3159" s="1" t="s">
        <v>13846</v>
      </c>
      <c r="B3159" s="1" t="s">
        <v>13</v>
      </c>
      <c r="C3159" s="4" t="s">
        <v>13851</v>
      </c>
      <c r="D3159" s="1" t="s">
        <v>13852</v>
      </c>
      <c r="E3159" s="1" t="s">
        <v>13853</v>
      </c>
      <c r="F3159" s="4" t="s">
        <v>17</v>
      </c>
      <c r="G3159" s="1" t="s">
        <v>18</v>
      </c>
      <c r="H3159" s="1" t="s">
        <v>19</v>
      </c>
      <c r="I3159" s="1" t="s">
        <v>20</v>
      </c>
      <c r="J3159" s="1" t="s">
        <v>13854</v>
      </c>
      <c r="K3159" s="1" t="s">
        <v>22</v>
      </c>
      <c r="L3159" s="1" t="str">
        <f>HYPERLINK("https://files.afu.se/Downloads/Transcripts/0%20-%20Government/USA%20-%20NASA%20Johnson/2011 11 14 - NASA Johnson - Expedition 29 Launch_s_BeSndIuG0 - transcript (automated).pdf","Transcript Link")</f>
        <v>Transcript Link</v>
      </c>
      <c r="M3159" s="2" t="str">
        <f>HYPERLINK("https://files.afu.se/Downloads/Transcripts/0%20-%20Government/USA%20-%20NASA%20Johnson/2011 11 14 - NASA Johnson - Expedition 29 Launch_s_BeSndIuG0 - transcript (automated).pdf","Transcript Link")</f>
        <v>Transcript Link</v>
      </c>
    </row>
    <row r="3160" ht="180" spans="1:13">
      <c r="A3160" s="1" t="s">
        <v>13855</v>
      </c>
      <c r="B3160" s="1" t="s">
        <v>13</v>
      </c>
      <c r="C3160" s="4" t="s">
        <v>13856</v>
      </c>
      <c r="D3160" s="1" t="s">
        <v>13857</v>
      </c>
      <c r="E3160" s="1" t="s">
        <v>13858</v>
      </c>
      <c r="F3160" s="4" t="s">
        <v>17</v>
      </c>
      <c r="G3160" s="1" t="s">
        <v>18</v>
      </c>
      <c r="H3160" s="1" t="s">
        <v>19</v>
      </c>
      <c r="I3160" s="1" t="s">
        <v>20</v>
      </c>
      <c r="J3160" s="1" t="s">
        <v>13859</v>
      </c>
      <c r="K3160" s="1" t="s">
        <v>22</v>
      </c>
      <c r="L3160" s="1" t="str">
        <f>HYPERLINK("https://files.afu.se/Downloads/Transcripts/0%20-%20Government/USA%20-%20NASA%20Johnson/2011 11 10 - NASA Johnson - ISS Update - Nov. 10, 2011_iq4YaTqGcf4 - transcript (automated).pdf","Transcript Link")</f>
        <v>Transcript Link</v>
      </c>
      <c r="M3160" s="2" t="str">
        <f>HYPERLINK("https://files.afu.se/Downloads/Transcripts/0%20-%20Government/USA%20-%20NASA%20Johnson/2011 11 10 - NASA Johnson - ISS Update - Nov. 10, 2011_iq4YaTqGcf4 - transcript (automated).pdf","Transcript Link")</f>
        <v>Transcript Link</v>
      </c>
    </row>
    <row r="3161" ht="180" spans="1:13">
      <c r="A3161" s="1" t="s">
        <v>13860</v>
      </c>
      <c r="B3161" s="1" t="s">
        <v>13</v>
      </c>
      <c r="C3161" s="4" t="s">
        <v>13861</v>
      </c>
      <c r="D3161" s="1" t="s">
        <v>13862</v>
      </c>
      <c r="E3161" s="1" t="s">
        <v>13863</v>
      </c>
      <c r="F3161" s="4" t="s">
        <v>17</v>
      </c>
      <c r="G3161" s="1" t="s">
        <v>18</v>
      </c>
      <c r="H3161" s="1" t="s">
        <v>19</v>
      </c>
      <c r="I3161" s="1" t="s">
        <v>20</v>
      </c>
      <c r="J3161" s="1" t="s">
        <v>13864</v>
      </c>
      <c r="K3161" s="1" t="s">
        <v>22</v>
      </c>
      <c r="L3161" s="1" t="str">
        <f>HYPERLINK("https://files.afu.se/Downloads/Transcripts/0%20-%20Government/USA%20-%20NASA%20Johnson/2011 11 09 - NASA Johnson - Exploration Flight Test-1 Animation_glKR892dYrQ - transcript (automated).pdf","Transcript Link")</f>
        <v>Transcript Link</v>
      </c>
      <c r="M3161" s="2" t="str">
        <f>HYPERLINK("https://files.afu.se/Downloads/Transcripts/0%20-%20Government/USA%20-%20NASA%20Johnson/2011 11 09 - NASA Johnson - Exploration Flight Test-1 Animation_glKR892dYrQ - transcript (automated).pdf","Transcript Link")</f>
        <v>Transcript Link</v>
      </c>
    </row>
    <row r="3162" ht="180" spans="1:13">
      <c r="A3162" s="1" t="s">
        <v>13865</v>
      </c>
      <c r="B3162" s="1" t="s">
        <v>13</v>
      </c>
      <c r="C3162" s="4" t="s">
        <v>13866</v>
      </c>
      <c r="D3162" s="1" t="s">
        <v>13867</v>
      </c>
      <c r="E3162" s="1" t="s">
        <v>13868</v>
      </c>
      <c r="F3162" s="4" t="s">
        <v>17</v>
      </c>
      <c r="G3162" s="1" t="s">
        <v>18</v>
      </c>
      <c r="H3162" s="1" t="s">
        <v>19</v>
      </c>
      <c r="I3162" s="1" t="s">
        <v>20</v>
      </c>
      <c r="J3162" s="1" t="s">
        <v>13869</v>
      </c>
      <c r="K3162" s="1" t="s">
        <v>22</v>
      </c>
      <c r="L3162" s="1" t="str">
        <f>HYPERLINK("https://files.afu.se/Downloads/Transcripts/0%20-%20Government/USA%20-%20NASA%20Johnson/2011 11 08 - NASA Johnson - ISS Update - Nov. 8, 2011_Jz56V4mapyE - transcript (automated).pdf","Transcript Link")</f>
        <v>Transcript Link</v>
      </c>
      <c r="M3162" s="2" t="str">
        <f>HYPERLINK("https://files.afu.se/Downloads/Transcripts/0%20-%20Government/USA%20-%20NASA%20Johnson/2011 11 08 - NASA Johnson - ISS Update - Nov. 8, 2011_Jz56V4mapyE - transcript (automated).pdf","Transcript Link")</f>
        <v>Transcript Link</v>
      </c>
    </row>
    <row r="3163" ht="180" spans="1:13">
      <c r="A3163" s="1" t="s">
        <v>13870</v>
      </c>
      <c r="B3163" s="1" t="s">
        <v>13</v>
      </c>
      <c r="C3163" s="4" t="s">
        <v>13871</v>
      </c>
      <c r="D3163" s="1" t="s">
        <v>13872</v>
      </c>
      <c r="E3163" s="1" t="s">
        <v>13873</v>
      </c>
      <c r="F3163" s="4" t="s">
        <v>17</v>
      </c>
      <c r="G3163" s="1" t="s">
        <v>18</v>
      </c>
      <c r="H3163" s="1" t="s">
        <v>19</v>
      </c>
      <c r="I3163" s="1" t="s">
        <v>20</v>
      </c>
      <c r="J3163" s="1" t="s">
        <v>13874</v>
      </c>
      <c r="K3163" s="1" t="s">
        <v>22</v>
      </c>
      <c r="L3163" s="1" t="str">
        <f>HYPERLINK("https://files.afu.se/Downloads/Transcripts/0%20-%20Government/USA%20-%20NASA%20Johnson/2011 11 07 - NASA Johnson - ISS Update - Nov. 7, 2011_XfbOx3oalH0 - transcript (automated).pdf","Transcript Link")</f>
        <v>Transcript Link</v>
      </c>
      <c r="M3163" s="2" t="str">
        <f>HYPERLINK("https://files.afu.se/Downloads/Transcripts/0%20-%20Government/USA%20-%20NASA%20Johnson/2011 11 07 - NASA Johnson - ISS Update - Nov. 7, 2011_XfbOx3oalH0 - transcript (automated).pdf","Transcript Link")</f>
        <v>Transcript Link</v>
      </c>
    </row>
    <row r="3164" ht="180" spans="1:13">
      <c r="A3164" s="1" t="s">
        <v>13875</v>
      </c>
      <c r="B3164" s="1" t="s">
        <v>13</v>
      </c>
      <c r="C3164" s="4" t="s">
        <v>13876</v>
      </c>
      <c r="D3164" s="1" t="s">
        <v>13877</v>
      </c>
      <c r="E3164" s="1" t="s">
        <v>13878</v>
      </c>
      <c r="F3164" s="4" t="s">
        <v>17</v>
      </c>
      <c r="G3164" s="1" t="s">
        <v>18</v>
      </c>
      <c r="H3164" s="1" t="s">
        <v>19</v>
      </c>
      <c r="I3164" s="1" t="s">
        <v>20</v>
      </c>
      <c r="J3164" s="1" t="s">
        <v>13879</v>
      </c>
      <c r="K3164" s="1" t="s">
        <v>22</v>
      </c>
      <c r="L3164" s="1" t="str">
        <f>HYPERLINK("https://files.afu.se/Downloads/Transcripts/0%20-%20Government/USA%20-%20NASA%20Johnson/2011 11 04 - NASA Johnson - Weekly ISS Recap - Oct. 31-Nov. 4, 2011_NC3-zqZ_2QA - transcript (automated).pdf","Transcript Link")</f>
        <v>Transcript Link</v>
      </c>
      <c r="M3164" s="2" t="str">
        <f>HYPERLINK("https://files.afu.se/Downloads/Transcripts/0%20-%20Government/USA%20-%20NASA%20Johnson/2011 11 04 - NASA Johnson - Weekly ISS Recap - Oct. 31-Nov. 4, 2011_NC3-zqZ_2QA - transcript (automated).pdf","Transcript Link")</f>
        <v>Transcript Link</v>
      </c>
    </row>
    <row r="3165" ht="180" spans="1:13">
      <c r="A3165" s="1" t="s">
        <v>13880</v>
      </c>
      <c r="B3165" s="1" t="s">
        <v>13</v>
      </c>
      <c r="C3165" s="4" t="s">
        <v>13881</v>
      </c>
      <c r="D3165" s="1" t="s">
        <v>13882</v>
      </c>
      <c r="E3165" s="1" t="s">
        <v>13883</v>
      </c>
      <c r="F3165" s="4" t="s">
        <v>17</v>
      </c>
      <c r="G3165" s="1" t="s">
        <v>18</v>
      </c>
      <c r="H3165" s="1" t="s">
        <v>19</v>
      </c>
      <c r="I3165" s="1" t="s">
        <v>20</v>
      </c>
      <c r="J3165" s="1" t="s">
        <v>13884</v>
      </c>
      <c r="K3165" s="1" t="s">
        <v>22</v>
      </c>
      <c r="L3165" s="1" t="str">
        <f>HYPERLINK("https://files.afu.se/Downloads/Transcripts/0%20-%20Government/USA%20-%20NASA%20Johnson/2011 11 03 - NASA Johnson - ISS Update - Nov. 3, 2011_Olopl-2tIB8 - transcript (automated).pdf","Transcript Link")</f>
        <v>Transcript Link</v>
      </c>
      <c r="M3165" s="2" t="str">
        <f>HYPERLINK("https://files.afu.se/Downloads/Transcripts/0%20-%20Government/USA%20-%20NASA%20Johnson/2011 11 03 - NASA Johnson - ISS Update - Nov. 3, 2011_Olopl-2tIB8 - transcript (automated).pdf","Transcript Link")</f>
        <v>Transcript Link</v>
      </c>
    </row>
    <row r="3166" ht="180" spans="1:13">
      <c r="A3166" s="1" t="s">
        <v>13885</v>
      </c>
      <c r="B3166" s="1" t="s">
        <v>13</v>
      </c>
      <c r="C3166" s="4" t="s">
        <v>13886</v>
      </c>
      <c r="D3166" s="1" t="s">
        <v>13887</v>
      </c>
      <c r="E3166" s="1" t="s">
        <v>13888</v>
      </c>
      <c r="F3166" s="4" t="s">
        <v>17</v>
      </c>
      <c r="G3166" s="1" t="s">
        <v>18</v>
      </c>
      <c r="H3166" s="1" t="s">
        <v>19</v>
      </c>
      <c r="I3166" s="1" t="s">
        <v>20</v>
      </c>
      <c r="J3166" s="1" t="s">
        <v>13889</v>
      </c>
      <c r="K3166" s="1" t="s">
        <v>22</v>
      </c>
      <c r="L3166" s="1" t="str">
        <f>HYPERLINK("https://files.afu.se/Downloads/Transcripts/0%20-%20Government/USA%20-%20NASA%20Johnson/2011 11 02 - NASA Johnson - ISS Update - Nov. 2, 2011_DUgOPnmUySo - transcript (automated).pdf","Transcript Link")</f>
        <v>Transcript Link</v>
      </c>
      <c r="M3166" s="2" t="str">
        <f>HYPERLINK("https://files.afu.se/Downloads/Transcripts/0%20-%20Government/USA%20-%20NASA%20Johnson/2011 11 02 - NASA Johnson - ISS Update - Nov. 2, 2011_DUgOPnmUySo - transcript (automated).pdf","Transcript Link")</f>
        <v>Transcript Link</v>
      </c>
    </row>
    <row r="3167" ht="180" spans="1:13">
      <c r="A3167" s="1" t="s">
        <v>13890</v>
      </c>
      <c r="B3167" s="1" t="s">
        <v>13</v>
      </c>
      <c r="C3167" s="4" t="s">
        <v>13891</v>
      </c>
      <c r="D3167" s="1" t="s">
        <v>13892</v>
      </c>
      <c r="E3167" s="1" t="s">
        <v>13893</v>
      </c>
      <c r="F3167" s="4" t="s">
        <v>17</v>
      </c>
      <c r="G3167" s="1" t="s">
        <v>18</v>
      </c>
      <c r="H3167" s="1" t="s">
        <v>19</v>
      </c>
      <c r="I3167" s="1" t="s">
        <v>20</v>
      </c>
      <c r="J3167" s="1" t="s">
        <v>13894</v>
      </c>
      <c r="K3167" s="1" t="s">
        <v>22</v>
      </c>
      <c r="L3167" s="1" t="str">
        <f>HYPERLINK("https://files.afu.se/Downloads/Transcripts/0%20-%20Government/USA%20-%20NASA%20Johnson/2011 11 01 - NASA Johnson - ISS Update - Nov. 1, 2011_aN87yKcqZyE - transcript (automated).pdf","Transcript Link")</f>
        <v>Transcript Link</v>
      </c>
      <c r="M3167" s="2" t="str">
        <f>HYPERLINK("https://files.afu.se/Downloads/Transcripts/0%20-%20Government/USA%20-%20NASA%20Johnson/2011 11 01 - NASA Johnson - ISS Update - Nov. 1, 2011_aN87yKcqZyE - transcript (automated).pdf","Transcript Link")</f>
        <v>Transcript Link</v>
      </c>
    </row>
    <row r="3168" ht="180" spans="1:13">
      <c r="A3168" s="1" t="s">
        <v>13895</v>
      </c>
      <c r="B3168" s="1" t="s">
        <v>13</v>
      </c>
      <c r="C3168" s="4" t="s">
        <v>13896</v>
      </c>
      <c r="D3168" s="1" t="s">
        <v>13897</v>
      </c>
      <c r="E3168" s="1" t="s">
        <v>13898</v>
      </c>
      <c r="F3168" s="4" t="s">
        <v>17</v>
      </c>
      <c r="G3168" s="1" t="s">
        <v>18</v>
      </c>
      <c r="H3168" s="1" t="s">
        <v>19</v>
      </c>
      <c r="I3168" s="1" t="s">
        <v>20</v>
      </c>
      <c r="J3168" s="1" t="s">
        <v>13899</v>
      </c>
      <c r="K3168" s="1" t="s">
        <v>22</v>
      </c>
      <c r="L3168" s="1" t="str">
        <f>HYPERLINK("https://files.afu.se/Downloads/Transcripts/0%20-%20Government/USA%20-%20NASA%20Johnson/2011 10 31 - NASA Johnson - Station Commander Connects With Texas A&amp;M_3uVNN82Wyz4 - transcript (automated).pdf","Transcript Link")</f>
        <v>Transcript Link</v>
      </c>
      <c r="M3168" s="2" t="str">
        <f>HYPERLINK("https://files.afu.se/Downloads/Transcripts/0%20-%20Government/USA%20-%20NASA%20Johnson/2011 10 31 - NASA Johnson - Station Commander Connects With Texas A&amp;M_3uVNN82Wyz4 - transcript (automated).pdf","Transcript Link")</f>
        <v>Transcript Link</v>
      </c>
    </row>
    <row r="3169" ht="180" spans="1:13">
      <c r="A3169" s="1" t="s">
        <v>13895</v>
      </c>
      <c r="B3169" s="1" t="s">
        <v>13</v>
      </c>
      <c r="C3169" s="4" t="s">
        <v>13900</v>
      </c>
      <c r="D3169" s="1" t="s">
        <v>13901</v>
      </c>
      <c r="E3169" s="1" t="s">
        <v>13902</v>
      </c>
      <c r="F3169" s="4" t="s">
        <v>17</v>
      </c>
      <c r="G3169" s="1" t="s">
        <v>18</v>
      </c>
      <c r="H3169" s="1" t="s">
        <v>19</v>
      </c>
      <c r="I3169" s="1" t="s">
        <v>20</v>
      </c>
      <c r="J3169" s="1" t="s">
        <v>13903</v>
      </c>
      <c r="K3169" s="1" t="s">
        <v>22</v>
      </c>
      <c r="L3169" s="1" t="str">
        <f>HYPERLINK("https://files.afu.se/Downloads/Transcripts/0%20-%20Government/USA%20-%20NASA%20Johnson/2011 10 31 - NASA Johnson - ISS Update - Oct. 31, 2011_0ae2h8Qu66Y - transcript (automated).pdf","Transcript Link")</f>
        <v>Transcript Link</v>
      </c>
      <c r="M3169" s="2" t="str">
        <f>HYPERLINK("https://files.afu.se/Downloads/Transcripts/0%20-%20Government/USA%20-%20NASA%20Johnson/2011 10 31 - NASA Johnson - ISS Update - Oct. 31, 2011_0ae2h8Qu66Y - transcript (automated).pdf","Transcript Link")</f>
        <v>Transcript Link</v>
      </c>
    </row>
    <row r="3170" ht="180" spans="1:13">
      <c r="A3170" s="1" t="s">
        <v>13904</v>
      </c>
      <c r="B3170" s="1" t="s">
        <v>13</v>
      </c>
      <c r="C3170" s="4" t="s">
        <v>13905</v>
      </c>
      <c r="D3170" s="1" t="s">
        <v>13906</v>
      </c>
      <c r="E3170" s="1" t="s">
        <v>13907</v>
      </c>
      <c r="F3170" s="4" t="s">
        <v>17</v>
      </c>
      <c r="G3170" s="1" t="s">
        <v>18</v>
      </c>
      <c r="H3170" s="1" t="s">
        <v>19</v>
      </c>
      <c r="I3170" s="1" t="s">
        <v>20</v>
      </c>
      <c r="J3170" s="1" t="s">
        <v>13908</v>
      </c>
      <c r="K3170" s="1" t="s">
        <v>22</v>
      </c>
      <c r="L3170" s="1" t="str">
        <f>HYPERLINK("https://files.afu.se/Downloads/Transcripts/0%20-%20Government/USA%20-%20NASA%20Johnson/2011 10 28 - NASA Johnson - Weekly ISS Recap - Oct. 24-28, 2011_aQMwLQZR0FM - transcript (automated).pdf","Transcript Link")</f>
        <v>Transcript Link</v>
      </c>
      <c r="M3170" s="2" t="str">
        <f>HYPERLINK("https://files.afu.se/Downloads/Transcripts/0%20-%20Government/USA%20-%20NASA%20Johnson/2011 10 28 - NASA Johnson - Weekly ISS Recap - Oct. 24-28, 2011_aQMwLQZR0FM - transcript (automated).pdf","Transcript Link")</f>
        <v>Transcript Link</v>
      </c>
    </row>
    <row r="3171" ht="180" spans="1:13">
      <c r="A3171" s="1" t="s">
        <v>13904</v>
      </c>
      <c r="B3171" s="1" t="s">
        <v>13</v>
      </c>
      <c r="C3171" s="4" t="s">
        <v>13909</v>
      </c>
      <c r="D3171" s="1" t="s">
        <v>13910</v>
      </c>
      <c r="E3171" s="1" t="s">
        <v>13911</v>
      </c>
      <c r="F3171" s="4" t="s">
        <v>17</v>
      </c>
      <c r="G3171" s="1" t="s">
        <v>18</v>
      </c>
      <c r="H3171" s="1" t="s">
        <v>19</v>
      </c>
      <c r="I3171" s="1" t="s">
        <v>20</v>
      </c>
      <c r="J3171" s="1" t="s">
        <v>13912</v>
      </c>
      <c r="K3171" s="1" t="s">
        <v>22</v>
      </c>
      <c r="L3171" s="1" t="str">
        <f>HYPERLINK("https://files.afu.se/Downloads/Transcripts/0%20-%20Government/USA%20-%20NASA%20Johnson/2011 10 28 - NASA Johnson - Station Commander Congratulates New Flight Directors_ezL6x5-_eg4 - transcript (automated).pdf","Transcript Link")</f>
        <v>Transcript Link</v>
      </c>
      <c r="M3171" s="2" t="str">
        <f>HYPERLINK("https://files.afu.se/Downloads/Transcripts/0%20-%20Government/USA%20-%20NASA%20Johnson/2011 10 28 - NASA Johnson - Station Commander Congratulates New Flight Directors_ezL6x5-_eg4 - transcript (automated).pdf","Transcript Link")</f>
        <v>Transcript Link</v>
      </c>
    </row>
    <row r="3172" ht="180" spans="1:13">
      <c r="A3172" s="1" t="s">
        <v>13913</v>
      </c>
      <c r="B3172" s="1" t="s">
        <v>13</v>
      </c>
      <c r="C3172" s="4" t="s">
        <v>13914</v>
      </c>
      <c r="D3172" s="1" t="s">
        <v>13915</v>
      </c>
      <c r="E3172" s="1" t="s">
        <v>13916</v>
      </c>
      <c r="F3172" s="4" t="s">
        <v>17</v>
      </c>
      <c r="G3172" s="1" t="s">
        <v>18</v>
      </c>
      <c r="H3172" s="1" t="s">
        <v>19</v>
      </c>
      <c r="I3172" s="1" t="s">
        <v>20</v>
      </c>
      <c r="J3172" s="1" t="s">
        <v>13917</v>
      </c>
      <c r="K3172" s="1" t="s">
        <v>22</v>
      </c>
      <c r="L3172" s="1" t="str">
        <f>HYPERLINK("https://files.afu.se/Downloads/Transcripts/0%20-%20Government/USA%20-%20NASA%20Johnson/2011 10 27 - NASA Johnson - ISS Update - Oct. 27, 2011_D-W6c_jQex8 - transcript (automated).pdf","Transcript Link")</f>
        <v>Transcript Link</v>
      </c>
      <c r="M3172" s="2" t="str">
        <f>HYPERLINK("https://files.afu.se/Downloads/Transcripts/0%20-%20Government/USA%20-%20NASA%20Johnson/2011 10 27 - NASA Johnson - ISS Update - Oct. 27, 2011_D-W6c_jQex8 - transcript (automated).pdf","Transcript Link")</f>
        <v>Transcript Link</v>
      </c>
    </row>
    <row r="3173" ht="180" spans="1:13">
      <c r="A3173" s="1" t="s">
        <v>13913</v>
      </c>
      <c r="B3173" s="1" t="s">
        <v>13</v>
      </c>
      <c r="C3173" s="4" t="s">
        <v>13918</v>
      </c>
      <c r="D3173" s="1" t="s">
        <v>13919</v>
      </c>
      <c r="E3173" s="1" t="s">
        <v>13920</v>
      </c>
      <c r="F3173" s="4" t="s">
        <v>17</v>
      </c>
      <c r="G3173" s="1" t="s">
        <v>18</v>
      </c>
      <c r="H3173" s="1" t="s">
        <v>19</v>
      </c>
      <c r="I3173" s="1" t="s">
        <v>20</v>
      </c>
      <c r="J3173" s="1" t="s">
        <v>13921</v>
      </c>
      <c r="K3173" s="1" t="s">
        <v>22</v>
      </c>
      <c r="L3173" s="1" t="str">
        <f>HYPERLINK("https://files.afu.se/Downloads/Transcripts/0%20-%20Government/USA%20-%20NASA%20Johnson/2011 10 27 - NASA Johnson - Space Station Reboost  The Inside Story_cmHamp0IIyE - transcript (automated).pdf","Transcript Link")</f>
        <v>Transcript Link</v>
      </c>
      <c r="M3173" s="2" t="str">
        <f>HYPERLINK("https://files.afu.se/Downloads/Transcripts/0%20-%20Government/USA%20-%20NASA%20Johnson/2011 10 27 - NASA Johnson - Space Station Reboost  The Inside Story_cmHamp0IIyE - transcript (automated).pdf","Transcript Link")</f>
        <v>Transcript Link</v>
      </c>
    </row>
    <row r="3174" ht="180" spans="1:13">
      <c r="A3174" s="1" t="s">
        <v>13922</v>
      </c>
      <c r="B3174" s="1" t="s">
        <v>13</v>
      </c>
      <c r="C3174" s="4" t="s">
        <v>13923</v>
      </c>
      <c r="D3174" s="1" t="s">
        <v>13924</v>
      </c>
      <c r="E3174" s="1" t="s">
        <v>13925</v>
      </c>
      <c r="F3174" s="4" t="s">
        <v>17</v>
      </c>
      <c r="G3174" s="1" t="s">
        <v>18</v>
      </c>
      <c r="H3174" s="1" t="s">
        <v>19</v>
      </c>
      <c r="I3174" s="1" t="s">
        <v>20</v>
      </c>
      <c r="J3174" s="1" t="s">
        <v>13926</v>
      </c>
      <c r="K3174" s="1" t="s">
        <v>22</v>
      </c>
      <c r="L3174" s="1" t="str">
        <f>HYPERLINK("https://files.afu.se/Downloads/Transcripts/0%20-%20Government/USA%20-%20NASA%20Johnson/2011 10 26 - NASA Johnson - Space Station Cameras Capture New Views of Hurricane Rina_cAHB5WEzlD0 - transcript (automated).pdf","Transcript Link")</f>
        <v>Transcript Link</v>
      </c>
      <c r="M3174" s="2" t="str">
        <f>HYPERLINK("https://files.afu.se/Downloads/Transcripts/0%20-%20Government/USA%20-%20NASA%20Johnson/2011 10 26 - NASA Johnson - Space Station Cameras Capture New Views of Hurricane Rina_cAHB5WEzlD0 - transcript (automated).pdf","Transcript Link")</f>
        <v>Transcript Link</v>
      </c>
    </row>
    <row r="3175" ht="180" spans="1:13">
      <c r="A3175" s="1" t="s">
        <v>13922</v>
      </c>
      <c r="B3175" s="1" t="s">
        <v>13</v>
      </c>
      <c r="C3175" s="4" t="s">
        <v>13927</v>
      </c>
      <c r="D3175" s="1" t="s">
        <v>13928</v>
      </c>
      <c r="E3175" s="1" t="s">
        <v>13929</v>
      </c>
      <c r="F3175" s="4" t="s">
        <v>17</v>
      </c>
      <c r="G3175" s="1" t="s">
        <v>18</v>
      </c>
      <c r="H3175" s="1" t="s">
        <v>19</v>
      </c>
      <c r="I3175" s="1" t="s">
        <v>20</v>
      </c>
      <c r="J3175" s="1" t="s">
        <v>13930</v>
      </c>
      <c r="K3175" s="1" t="s">
        <v>22</v>
      </c>
      <c r="L3175" s="1" t="str">
        <f>HYPERLINK("https://files.afu.se/Downloads/Transcripts/0%20-%20Government/USA%20-%20NASA%20Johnson/2011 10 26 - NASA Johnson - ISS Update - Oct. 26, 2011_xkmyhixBHyE - transcript (automated).pdf","Transcript Link")</f>
        <v>Transcript Link</v>
      </c>
      <c r="M3175" s="2" t="str">
        <f>HYPERLINK("https://files.afu.se/Downloads/Transcripts/0%20-%20Government/USA%20-%20NASA%20Johnson/2011 10 26 - NASA Johnson - ISS Update - Oct. 26, 2011_xkmyhixBHyE - transcript (automated).pdf","Transcript Link")</f>
        <v>Transcript Link</v>
      </c>
    </row>
    <row r="3176" ht="180" spans="1:13">
      <c r="A3176" s="1" t="s">
        <v>13922</v>
      </c>
      <c r="B3176" s="1" t="s">
        <v>13</v>
      </c>
      <c r="C3176" s="4" t="s">
        <v>13931</v>
      </c>
      <c r="D3176" s="1" t="s">
        <v>13932</v>
      </c>
      <c r="E3176" s="1" t="s">
        <v>13933</v>
      </c>
      <c r="F3176" s="4" t="s">
        <v>17</v>
      </c>
      <c r="G3176" s="1" t="s">
        <v>18</v>
      </c>
      <c r="H3176" s="1" t="s">
        <v>19</v>
      </c>
      <c r="I3176" s="1" t="s">
        <v>20</v>
      </c>
      <c r="J3176" s="1" t="s">
        <v>13934</v>
      </c>
      <c r="K3176" s="1" t="s">
        <v>22</v>
      </c>
      <c r="L3176" s="1" t="str">
        <f>HYPERLINK("https://files.afu.se/Downloads/Transcripts/0%20-%20Government/USA%20-%20NASA%20Johnson/2011 10 26 - NASA Johnson - ZZ Top's Dusty Hill Talks to Expedition 29_eu0Mgn0TKA8 - transcript (automated).pdf","Transcript Link")</f>
        <v>Transcript Link</v>
      </c>
      <c r="M3176" s="2" t="str">
        <f>HYPERLINK("https://files.afu.se/Downloads/Transcripts/0%20-%20Government/USA%20-%20NASA%20Johnson/2011 10 26 - NASA Johnson - ZZ Top's Dusty Hill Talks to Expedition 29_eu0Mgn0TKA8 - transcript (automated).pdf","Transcript Link")</f>
        <v>Transcript Link</v>
      </c>
    </row>
    <row r="3177" ht="180" spans="1:13">
      <c r="A3177" s="1" t="s">
        <v>13935</v>
      </c>
      <c r="B3177" s="1" t="s">
        <v>13</v>
      </c>
      <c r="C3177" s="4" t="s">
        <v>13936</v>
      </c>
      <c r="D3177" s="1" t="s">
        <v>13937</v>
      </c>
      <c r="E3177" s="1" t="s">
        <v>13938</v>
      </c>
      <c r="F3177" s="4" t="s">
        <v>17</v>
      </c>
      <c r="G3177" s="1" t="s">
        <v>18</v>
      </c>
      <c r="H3177" s="1" t="s">
        <v>19</v>
      </c>
      <c r="I3177" s="1" t="s">
        <v>20</v>
      </c>
      <c r="J3177" s="1" t="s">
        <v>13939</v>
      </c>
      <c r="K3177" s="1" t="s">
        <v>22</v>
      </c>
      <c r="L3177" s="1" t="str">
        <f>HYPERLINK("https://files.afu.se/Downloads/Transcripts/0%20-%20Government/USA%20-%20NASA%20Johnson/2011 10 25 - NASA Johnson - Station Cameras Capture Late Season Hurricane_P4N1EX8i1CU - transcript (automated).pdf","Transcript Link")</f>
        <v>Transcript Link</v>
      </c>
      <c r="M3177" s="2" t="str">
        <f>HYPERLINK("https://files.afu.se/Downloads/Transcripts/0%20-%20Government/USA%20-%20NASA%20Johnson/2011 10 25 - NASA Johnson - Station Cameras Capture Late Season Hurricane_P4N1EX8i1CU - transcript (automated).pdf","Transcript Link")</f>
        <v>Transcript Link</v>
      </c>
    </row>
    <row r="3178" ht="180" spans="1:13">
      <c r="A3178" s="1" t="s">
        <v>13935</v>
      </c>
      <c r="B3178" s="1" t="s">
        <v>13</v>
      </c>
      <c r="C3178" s="4" t="s">
        <v>13940</v>
      </c>
      <c r="D3178" s="1" t="s">
        <v>13941</v>
      </c>
      <c r="E3178" s="1" t="s">
        <v>13942</v>
      </c>
      <c r="F3178" s="4" t="s">
        <v>17</v>
      </c>
      <c r="G3178" s="1" t="s">
        <v>18</v>
      </c>
      <c r="H3178" s="1" t="s">
        <v>19</v>
      </c>
      <c r="I3178" s="1" t="s">
        <v>20</v>
      </c>
      <c r="J3178" s="1" t="s">
        <v>13943</v>
      </c>
      <c r="K3178" s="1" t="s">
        <v>22</v>
      </c>
      <c r="L3178" s="1" t="str">
        <f>HYPERLINK("https://files.afu.se/Downloads/Transcripts/0%20-%20Government/USA%20-%20NASA%20Johnson/2011 10 25 - NASA Johnson - ISS Update - Oct. 25, 2011 ISS Update - Oct. 24, 2011_0JVP7laAxx0 - transcript (automated).pdf","Transcript Link")</f>
        <v>Transcript Link</v>
      </c>
      <c r="M3178" s="2" t="str">
        <f>HYPERLINK("https://files.afu.se/Downloads/Transcripts/0%20-%20Government/USA%20-%20NASA%20Johnson/2011 10 25 - NASA Johnson - ISS Update - Oct. 25, 2011 ISS Update - Oct. 24, 2011_0JVP7laAxx0 - transcript (automated).pdf","Transcript Link")</f>
        <v>Transcript Link</v>
      </c>
    </row>
    <row r="3179" ht="180" spans="1:13">
      <c r="A3179" s="1" t="s">
        <v>13944</v>
      </c>
      <c r="B3179" s="1" t="s">
        <v>13</v>
      </c>
      <c r="C3179" s="4" t="s">
        <v>13945</v>
      </c>
      <c r="D3179" s="1" t="s">
        <v>13946</v>
      </c>
      <c r="E3179" s="1" t="s">
        <v>13947</v>
      </c>
      <c r="F3179" s="4" t="s">
        <v>17</v>
      </c>
      <c r="G3179" s="1" t="s">
        <v>18</v>
      </c>
      <c r="H3179" s="1" t="s">
        <v>19</v>
      </c>
      <c r="I3179" s="1" t="s">
        <v>20</v>
      </c>
      <c r="J3179" s="1" t="s">
        <v>13948</v>
      </c>
      <c r="K3179" s="1" t="s">
        <v>22</v>
      </c>
      <c r="L3179" s="1" t="str">
        <f>HYPERLINK("https://files.afu.se/Downloads/Transcripts/0%20-%20Government/USA%20-%20NASA%20Johnson/2011 10 24 - NASA Johnson - Day Pass through Western United States_uXnr1biU5hc - transcript (automated).pdf","Transcript Link")</f>
        <v>Transcript Link</v>
      </c>
      <c r="M3179" s="2" t="str">
        <f>HYPERLINK("https://files.afu.se/Downloads/Transcripts/0%20-%20Government/USA%20-%20NASA%20Johnson/2011 10 24 - NASA Johnson - Day Pass through Western United States_uXnr1biU5hc - transcript (automated).pdf","Transcript Link")</f>
        <v>Transcript Link</v>
      </c>
    </row>
    <row r="3180" ht="180" spans="1:13">
      <c r="A3180" s="1" t="s">
        <v>13944</v>
      </c>
      <c r="B3180" s="1" t="s">
        <v>13</v>
      </c>
      <c r="C3180" s="4" t="s">
        <v>13949</v>
      </c>
      <c r="D3180" s="1" t="s">
        <v>13950</v>
      </c>
      <c r="E3180" s="1" t="s">
        <v>13951</v>
      </c>
      <c r="F3180" s="4" t="s">
        <v>17</v>
      </c>
      <c r="G3180" s="1" t="s">
        <v>18</v>
      </c>
      <c r="H3180" s="1" t="s">
        <v>19</v>
      </c>
      <c r="I3180" s="1" t="s">
        <v>20</v>
      </c>
      <c r="J3180" s="1" t="s">
        <v>13952</v>
      </c>
      <c r="K3180" s="1" t="s">
        <v>22</v>
      </c>
      <c r="L3180" s="1" t="str">
        <f>HYPERLINK("https://files.afu.se/Downloads/Transcripts/0%20-%20Government/USA%20-%20NASA%20Johnson/2011 10 24 - NASA Johnson - Night Pass over Central Africa and the Middle East_KrEvxcrqBUI - transcript (automated).pdf","Transcript Link")</f>
        <v>Transcript Link</v>
      </c>
      <c r="M3180" s="2" t="str">
        <f>HYPERLINK("https://files.afu.se/Downloads/Transcripts/0%20-%20Government/USA%20-%20NASA%20Johnson/2011 10 24 - NASA Johnson - Night Pass over Central Africa and the Middle East_KrEvxcrqBUI - transcript (automated).pdf","Transcript Link")</f>
        <v>Transcript Link</v>
      </c>
    </row>
    <row r="3181" ht="180" spans="1:13">
      <c r="A3181" s="1" t="s">
        <v>13944</v>
      </c>
      <c r="B3181" s="1" t="s">
        <v>13</v>
      </c>
      <c r="C3181" s="4" t="s">
        <v>13953</v>
      </c>
      <c r="D3181" s="1" t="s">
        <v>13954</v>
      </c>
      <c r="E3181" s="1" t="s">
        <v>13955</v>
      </c>
      <c r="F3181" s="4" t="s">
        <v>17</v>
      </c>
      <c r="G3181" s="1" t="s">
        <v>18</v>
      </c>
      <c r="H3181" s="1" t="s">
        <v>19</v>
      </c>
      <c r="I3181" s="1" t="s">
        <v>20</v>
      </c>
      <c r="J3181" s="1" t="s">
        <v>13956</v>
      </c>
      <c r="K3181" s="1" t="s">
        <v>22</v>
      </c>
      <c r="L3181" s="1" t="str">
        <f>HYPERLINK("https://files.afu.se/Downloads/Transcripts/0%20-%20Government/USA%20-%20NASA%20Johnson/2011 10 24 - NASA Johnson - Night Pass over Malaysia_5-8u1vsM3fs - transcript (automated).pdf","Transcript Link")</f>
        <v>Transcript Link</v>
      </c>
      <c r="M3181" s="2" t="str">
        <f>HYPERLINK("https://files.afu.se/Downloads/Transcripts/0%20-%20Government/USA%20-%20NASA%20Johnson/2011 10 24 - NASA Johnson - Night Pass over Malaysia_5-8u1vsM3fs - transcript (automated).pdf","Transcript Link")</f>
        <v>Transcript Link</v>
      </c>
    </row>
    <row r="3182" ht="180" spans="1:13">
      <c r="A3182" s="1" t="s">
        <v>13944</v>
      </c>
      <c r="B3182" s="1" t="s">
        <v>13</v>
      </c>
      <c r="C3182" s="4" t="s">
        <v>13957</v>
      </c>
      <c r="D3182" s="1" t="s">
        <v>13958</v>
      </c>
      <c r="E3182" s="1" t="s">
        <v>13959</v>
      </c>
      <c r="F3182" s="4" t="s">
        <v>17</v>
      </c>
      <c r="G3182" s="1" t="s">
        <v>18</v>
      </c>
      <c r="H3182" s="1" t="s">
        <v>19</v>
      </c>
      <c r="I3182" s="1" t="s">
        <v>20</v>
      </c>
      <c r="J3182" s="1" t="s">
        <v>13960</v>
      </c>
      <c r="K3182" s="1" t="s">
        <v>22</v>
      </c>
      <c r="L3182" s="1" t="str">
        <f>HYPERLINK("https://files.afu.se/Downloads/Transcripts/0%20-%20Government/USA%20-%20NASA%20Johnson/2011 10 24 - NASA Johnson - Night views over the Mediterranean Sea_E4eRsi0mFVA - transcript (automated).pdf","Transcript Link")</f>
        <v>Transcript Link</v>
      </c>
      <c r="M3182" s="2" t="str">
        <f>HYPERLINK("https://files.afu.se/Downloads/Transcripts/0%20-%20Government/USA%20-%20NASA%20Johnson/2011 10 24 - NASA Johnson - Night views over the Mediterranean Sea_E4eRsi0mFVA - transcript (automated).pdf","Transcript Link")</f>
        <v>Transcript Link</v>
      </c>
    </row>
    <row r="3183" ht="180" spans="1:13">
      <c r="A3183" s="1" t="s">
        <v>13944</v>
      </c>
      <c r="B3183" s="1" t="s">
        <v>13</v>
      </c>
      <c r="C3183" s="4" t="s">
        <v>13961</v>
      </c>
      <c r="D3183" s="1" t="s">
        <v>13962</v>
      </c>
      <c r="E3183" s="1" t="s">
        <v>13963</v>
      </c>
      <c r="F3183" s="4" t="s">
        <v>17</v>
      </c>
      <c r="G3183" s="1" t="s">
        <v>18</v>
      </c>
      <c r="H3183" s="1" t="s">
        <v>19</v>
      </c>
      <c r="I3183" s="1" t="s">
        <v>20</v>
      </c>
      <c r="J3183" s="1" t="s">
        <v>13964</v>
      </c>
      <c r="K3183" s="1" t="s">
        <v>22</v>
      </c>
      <c r="L3183" s="1" t="str">
        <f>HYPERLINK("https://files.afu.se/Downloads/Transcripts/0%20-%20Government/USA%20-%20NASA%20Johnson/2011 10 24 - NASA Johnson - Halfway Across the World_MxBvdLiLV1o - transcript (automated).pdf","Transcript Link")</f>
        <v>Transcript Link</v>
      </c>
      <c r="M3183" s="2" t="str">
        <f>HYPERLINK("https://files.afu.se/Downloads/Transcripts/0%20-%20Government/USA%20-%20NASA%20Johnson/2011 10 24 - NASA Johnson - Halfway Across the World_MxBvdLiLV1o - transcript (automated).pdf","Transcript Link")</f>
        <v>Transcript Link</v>
      </c>
    </row>
    <row r="3184" ht="180" spans="1:13">
      <c r="A3184" s="1" t="s">
        <v>13944</v>
      </c>
      <c r="B3184" s="1" t="s">
        <v>13</v>
      </c>
      <c r="C3184" s="4" t="s">
        <v>13965</v>
      </c>
      <c r="D3184" s="1" t="s">
        <v>13966</v>
      </c>
      <c r="E3184" s="1" t="s">
        <v>13967</v>
      </c>
      <c r="F3184" s="4" t="s">
        <v>17</v>
      </c>
      <c r="G3184" s="1" t="s">
        <v>18</v>
      </c>
      <c r="H3184" s="1" t="s">
        <v>19</v>
      </c>
      <c r="I3184" s="1" t="s">
        <v>20</v>
      </c>
      <c r="J3184" s="1" t="s">
        <v>13968</v>
      </c>
      <c r="K3184" s="1" t="s">
        <v>22</v>
      </c>
      <c r="L3184" s="1" t="str">
        <f>HYPERLINK("https://files.afu.se/Downloads/Transcripts/0%20-%20Government/USA%20-%20NASA%20Johnson/2011 10 24 - NASA Johnson - Pass over Southeastern Asia_7OszRMkK2Q0 - transcript (automated).pdf","Transcript Link")</f>
        <v>Transcript Link</v>
      </c>
      <c r="M3184" s="2" t="str">
        <f>HYPERLINK("https://files.afu.se/Downloads/Transcripts/0%20-%20Government/USA%20-%20NASA%20Johnson/2011 10 24 - NASA Johnson - Pass over Southeastern Asia_7OszRMkK2Q0 - transcript (automated).pdf","Transcript Link")</f>
        <v>Transcript Link</v>
      </c>
    </row>
    <row r="3185" ht="180" spans="1:13">
      <c r="A3185" s="1" t="s">
        <v>13944</v>
      </c>
      <c r="B3185" s="1" t="s">
        <v>13</v>
      </c>
      <c r="C3185" s="4" t="s">
        <v>13969</v>
      </c>
      <c r="D3185" s="1" t="s">
        <v>13970</v>
      </c>
      <c r="E3185" s="1" t="s">
        <v>13971</v>
      </c>
      <c r="F3185" s="4" t="s">
        <v>17</v>
      </c>
      <c r="G3185" s="1" t="s">
        <v>18</v>
      </c>
      <c r="H3185" s="1" t="s">
        <v>19</v>
      </c>
      <c r="I3185" s="1" t="s">
        <v>20</v>
      </c>
      <c r="J3185" s="1" t="s">
        <v>13972</v>
      </c>
      <c r="K3185" s="1" t="s">
        <v>22</v>
      </c>
      <c r="L3185" s="1" t="str">
        <f>HYPERLINK("https://files.afu.se/Downloads/Transcripts/0%20-%20Government/USA%20-%20NASA%20Johnson/2011 10 24 - NASA Johnson - Evening Pass over the Sahara Desert and the Middle East_zvqH8K7x2dM - transcript (automated).pdf","Transcript Link")</f>
        <v>Transcript Link</v>
      </c>
      <c r="M3185" s="2" t="str">
        <f>HYPERLINK("https://files.afu.se/Downloads/Transcripts/0%20-%20Government/USA%20-%20NASA%20Johnson/2011 10 24 - NASA Johnson - Evening Pass over the Sahara Desert and the Middle East_zvqH8K7x2dM - transcript (automated).pdf","Transcript Link")</f>
        <v>Transcript Link</v>
      </c>
    </row>
    <row r="3186" ht="180" spans="1:13">
      <c r="A3186" s="1" t="s">
        <v>13944</v>
      </c>
      <c r="B3186" s="1" t="s">
        <v>13</v>
      </c>
      <c r="C3186" s="4" t="s">
        <v>13973</v>
      </c>
      <c r="D3186" s="1" t="s">
        <v>13974</v>
      </c>
      <c r="E3186" s="1" t="s">
        <v>13975</v>
      </c>
      <c r="F3186" s="4" t="s">
        <v>17</v>
      </c>
      <c r="G3186" s="1" t="s">
        <v>18</v>
      </c>
      <c r="H3186" s="1" t="s">
        <v>19</v>
      </c>
      <c r="I3186" s="1" t="s">
        <v>20</v>
      </c>
      <c r="J3186" s="1" t="s">
        <v>13976</v>
      </c>
      <c r="K3186" s="1" t="s">
        <v>22</v>
      </c>
      <c r="L3186" s="1" t="str">
        <f>HYPERLINK("https://files.afu.se/Downloads/Transcripts/0%20-%20Government/USA%20-%20NASA%20Johnson/2011 10 24 - NASA Johnson - Day Pass Down the Red Sea_hrI8mqeY3f0 - transcript (automated).pdf","Transcript Link")</f>
        <v>Transcript Link</v>
      </c>
      <c r="M3186" s="2" t="str">
        <f>HYPERLINK("https://files.afu.se/Downloads/Transcripts/0%20-%20Government/USA%20-%20NASA%20Johnson/2011 10 24 - NASA Johnson - Day Pass Down the Red Sea_hrI8mqeY3f0 - transcript (automated).pdf","Transcript Link")</f>
        <v>Transcript Link</v>
      </c>
    </row>
    <row r="3187" ht="180" spans="1:13">
      <c r="A3187" s="1" t="s">
        <v>13944</v>
      </c>
      <c r="B3187" s="1" t="s">
        <v>13</v>
      </c>
      <c r="C3187" s="4" t="s">
        <v>13977</v>
      </c>
      <c r="D3187" s="1" t="s">
        <v>13978</v>
      </c>
      <c r="E3187" s="1" t="s">
        <v>13979</v>
      </c>
      <c r="F3187" s="4" t="s">
        <v>17</v>
      </c>
      <c r="G3187" s="1" t="s">
        <v>18</v>
      </c>
      <c r="H3187" s="1" t="s">
        <v>19</v>
      </c>
      <c r="I3187" s="1" t="s">
        <v>20</v>
      </c>
      <c r="J3187" s="1" t="s">
        <v>13980</v>
      </c>
      <c r="K3187" s="1" t="s">
        <v>22</v>
      </c>
      <c r="L3187" s="1" t="str">
        <f>HYPERLINK("https://files.afu.se/Downloads/Transcripts/0%20-%20Government/USA%20-%20NASA%20Johnson/2011 10 24 - NASA Johnson - ISS Update - Oct. 24, 2011_MbruHIt_oR4 - transcript (automated).pdf","Transcript Link")</f>
        <v>Transcript Link</v>
      </c>
      <c r="M3187" s="2" t="str">
        <f>HYPERLINK("https://files.afu.se/Downloads/Transcripts/0%20-%20Government/USA%20-%20NASA%20Johnson/2011 10 24 - NASA Johnson - ISS Update - Oct. 24, 2011_MbruHIt_oR4 - transcript (automated).pdf","Transcript Link")</f>
        <v>Transcript Link</v>
      </c>
    </row>
    <row r="3188" ht="180" spans="1:13">
      <c r="A3188" s="1" t="s">
        <v>13981</v>
      </c>
      <c r="B3188" s="1" t="s">
        <v>13</v>
      </c>
      <c r="C3188" s="4" t="s">
        <v>13982</v>
      </c>
      <c r="D3188" s="1" t="s">
        <v>13983</v>
      </c>
      <c r="E3188" s="1" t="s">
        <v>13984</v>
      </c>
      <c r="F3188" s="4" t="s">
        <v>17</v>
      </c>
      <c r="G3188" s="1" t="s">
        <v>18</v>
      </c>
      <c r="H3188" s="1" t="s">
        <v>19</v>
      </c>
      <c r="I3188" s="1" t="s">
        <v>20</v>
      </c>
      <c r="J3188" s="1" t="s">
        <v>13985</v>
      </c>
      <c r="K3188" s="1" t="s">
        <v>22</v>
      </c>
      <c r="L3188" s="1" t="str">
        <f>HYPERLINK("https://files.afu.se/Downloads/Transcripts/0%20-%20Government/USA%20-%20NASA%20Johnson/2011 10 21 - NASA Johnson - Weekly ISS Recap - Oct. 17-21, 2011_yAYqf5E6qIY - transcript (automated).pdf","Transcript Link")</f>
        <v>Transcript Link</v>
      </c>
      <c r="M3188" s="2" t="str">
        <f>HYPERLINK("https://files.afu.se/Downloads/Transcripts/0%20-%20Government/USA%20-%20NASA%20Johnson/2011 10 21 - NASA Johnson - Weekly ISS Recap - Oct. 17-21, 2011_yAYqf5E6qIY - transcript (automated).pdf","Transcript Link")</f>
        <v>Transcript Link</v>
      </c>
    </row>
    <row r="3189" ht="180" spans="1:13">
      <c r="A3189" s="1" t="s">
        <v>13986</v>
      </c>
      <c r="B3189" s="1" t="s">
        <v>13</v>
      </c>
      <c r="C3189" s="4" t="s">
        <v>13987</v>
      </c>
      <c r="D3189" s="1" t="s">
        <v>13988</v>
      </c>
      <c r="E3189" s="1" t="s">
        <v>13989</v>
      </c>
      <c r="F3189" s="4" t="s">
        <v>17</v>
      </c>
      <c r="G3189" s="1" t="s">
        <v>18</v>
      </c>
      <c r="H3189" s="1" t="s">
        <v>19</v>
      </c>
      <c r="I3189" s="1" t="s">
        <v>20</v>
      </c>
      <c r="J3189" s="1" t="s">
        <v>13990</v>
      </c>
      <c r="K3189" s="1" t="s">
        <v>22</v>
      </c>
      <c r="L3189" s="1" t="str">
        <f>HYPERLINK("https://files.afu.se/Downloads/Transcripts/0%20-%20Government/USA%20-%20NASA%20Johnson/2011 10 20 - NASA Johnson - ISS Update - Oct. 20, 2011_a5c_eTwAn0o - transcript (automated).pdf","Transcript Link")</f>
        <v>Transcript Link</v>
      </c>
      <c r="M3189" s="2" t="str">
        <f>HYPERLINK("https://files.afu.se/Downloads/Transcripts/0%20-%20Government/USA%20-%20NASA%20Johnson/2011 10 20 - NASA Johnson - ISS Update - Oct. 20, 2011_a5c_eTwAn0o - transcript (automated).pdf","Transcript Link")</f>
        <v>Transcript Link</v>
      </c>
    </row>
    <row r="3190" ht="180" spans="1:13">
      <c r="A3190" s="1" t="s">
        <v>13991</v>
      </c>
      <c r="B3190" s="1" t="s">
        <v>13</v>
      </c>
      <c r="C3190" s="4" t="s">
        <v>13992</v>
      </c>
      <c r="D3190" s="1" t="s">
        <v>13993</v>
      </c>
      <c r="E3190" s="1" t="s">
        <v>13994</v>
      </c>
      <c r="F3190" s="4" t="s">
        <v>17</v>
      </c>
      <c r="G3190" s="1" t="s">
        <v>18</v>
      </c>
      <c r="H3190" s="1" t="s">
        <v>19</v>
      </c>
      <c r="I3190" s="1" t="s">
        <v>20</v>
      </c>
      <c r="J3190" s="1" t="s">
        <v>13995</v>
      </c>
      <c r="K3190" s="1" t="s">
        <v>22</v>
      </c>
      <c r="L3190" s="1" t="str">
        <f>HYPERLINK("https://files.afu.se/Downloads/Transcripts/0%20-%20Government/USA%20-%20NASA%20Johnson/2011 10 19 - NASA Johnson - ISS Update - Oct. 19, 2011_4iVaqZGti-A - transcript (automated).pdf","Transcript Link")</f>
        <v>Transcript Link</v>
      </c>
      <c r="M3190" s="2" t="str">
        <f>HYPERLINK("https://files.afu.se/Downloads/Transcripts/0%20-%20Government/USA%20-%20NASA%20Johnson/2011 10 19 - NASA Johnson - ISS Update - Oct. 19, 2011_4iVaqZGti-A - transcript (automated).pdf","Transcript Link")</f>
        <v>Transcript Link</v>
      </c>
    </row>
    <row r="3191" ht="180" spans="1:13">
      <c r="A3191" s="1" t="s">
        <v>13996</v>
      </c>
      <c r="B3191" s="1" t="s">
        <v>13</v>
      </c>
      <c r="C3191" s="4" t="s">
        <v>13997</v>
      </c>
      <c r="D3191" s="1" t="s">
        <v>13998</v>
      </c>
      <c r="E3191" s="1" t="s">
        <v>13999</v>
      </c>
      <c r="F3191" s="4" t="s">
        <v>17</v>
      </c>
      <c r="G3191" s="1" t="s">
        <v>18</v>
      </c>
      <c r="H3191" s="1" t="s">
        <v>19</v>
      </c>
      <c r="I3191" s="1" t="s">
        <v>20</v>
      </c>
      <c r="J3191" s="1" t="s">
        <v>14000</v>
      </c>
      <c r="K3191" s="1" t="s">
        <v>22</v>
      </c>
      <c r="L3191" s="1" t="str">
        <f>HYPERLINK("https://files.afu.se/Downloads/Transcripts/0%20-%20Government/USA%20-%20NASA%20Johnson/2011 10 18 - NASA Johnson - ISS Update - Oct. 18, 2011_0CUDg0FxuJk - transcript (automated).pdf","Transcript Link")</f>
        <v>Transcript Link</v>
      </c>
      <c r="M3191" s="2" t="str">
        <f>HYPERLINK("https://files.afu.se/Downloads/Transcripts/0%20-%20Government/USA%20-%20NASA%20Johnson/2011 10 18 - NASA Johnson - ISS Update - Oct. 18, 2011_0CUDg0FxuJk - transcript (automated).pdf","Transcript Link")</f>
        <v>Transcript Link</v>
      </c>
    </row>
    <row r="3192" ht="180" spans="1:13">
      <c r="A3192" s="1" t="s">
        <v>13996</v>
      </c>
      <c r="B3192" s="1" t="s">
        <v>13</v>
      </c>
      <c r="C3192" s="4" t="s">
        <v>14001</v>
      </c>
      <c r="D3192" s="1" t="s">
        <v>14002</v>
      </c>
      <c r="E3192" s="1" t="s">
        <v>14003</v>
      </c>
      <c r="F3192" s="4" t="s">
        <v>17</v>
      </c>
      <c r="G3192" s="1" t="s">
        <v>18</v>
      </c>
      <c r="H3192" s="1" t="s">
        <v>19</v>
      </c>
      <c r="I3192" s="1" t="s">
        <v>20</v>
      </c>
      <c r="J3192" s="1" t="s">
        <v>14004</v>
      </c>
      <c r="K3192" s="1" t="s">
        <v>22</v>
      </c>
      <c r="L3192" s="1" t="str">
        <f>HYPERLINK("https://files.afu.se/Downloads/Transcripts/0%20-%20Government/USA%20-%20NASA%20Johnson/2011 10 18 - NASA Johnson - Peter Frampton Talks to Station Crew_C2njqePX4eY - transcript (automated).pdf","Transcript Link")</f>
        <v>Transcript Link</v>
      </c>
      <c r="M3192" s="2" t="str">
        <f>HYPERLINK("https://files.afu.se/Downloads/Transcripts/0%20-%20Government/USA%20-%20NASA%20Johnson/2011 10 18 - NASA Johnson - Peter Frampton Talks to Station Crew_C2njqePX4eY - transcript (automated).pdf","Transcript Link")</f>
        <v>Transcript Link</v>
      </c>
    </row>
    <row r="3193" ht="180" spans="1:13">
      <c r="A3193" s="1" t="s">
        <v>14005</v>
      </c>
      <c r="B3193" s="1" t="s">
        <v>13</v>
      </c>
      <c r="C3193" s="4" t="s">
        <v>14006</v>
      </c>
      <c r="D3193" s="1" t="s">
        <v>14007</v>
      </c>
      <c r="E3193" s="1" t="s">
        <v>14008</v>
      </c>
      <c r="F3193" s="4" t="s">
        <v>17</v>
      </c>
      <c r="G3193" s="1" t="s">
        <v>18</v>
      </c>
      <c r="H3193" s="1" t="s">
        <v>19</v>
      </c>
      <c r="I3193" s="1" t="s">
        <v>20</v>
      </c>
      <c r="J3193" s="1" t="s">
        <v>14009</v>
      </c>
      <c r="K3193" s="1" t="s">
        <v>22</v>
      </c>
      <c r="L3193" s="1" t="str">
        <f>HYPERLINK("https://files.afu.se/Downloads/Transcripts/0%20-%20Government/USA%20-%20NASA%20Johnson/2011 10 17 - NASA Johnson - Kids in Micro-g  Pepper Oil Surprise_IDE7X_K8gT8 - transcript (automated).pdf","Transcript Link")</f>
        <v>Transcript Link</v>
      </c>
      <c r="M3193" s="2" t="str">
        <f>HYPERLINK("https://files.afu.se/Downloads/Transcripts/0%20-%20Government/USA%20-%20NASA%20Johnson/2011 10 17 - NASA Johnson - Kids in Micro-g  Pepper Oil Surprise_IDE7X_K8gT8 - transcript (automated).pdf","Transcript Link")</f>
        <v>Transcript Link</v>
      </c>
    </row>
    <row r="3194" ht="180" spans="1:13">
      <c r="A3194" s="1" t="s">
        <v>14005</v>
      </c>
      <c r="B3194" s="1" t="s">
        <v>13</v>
      </c>
      <c r="C3194" s="4" t="s">
        <v>14010</v>
      </c>
      <c r="D3194" s="1" t="s">
        <v>14011</v>
      </c>
      <c r="E3194" s="1" t="s">
        <v>14012</v>
      </c>
      <c r="F3194" s="4" t="s">
        <v>17</v>
      </c>
      <c r="G3194" s="1" t="s">
        <v>18</v>
      </c>
      <c r="H3194" s="1" t="s">
        <v>19</v>
      </c>
      <c r="I3194" s="1" t="s">
        <v>20</v>
      </c>
      <c r="J3194" s="1" t="s">
        <v>14013</v>
      </c>
      <c r="K3194" s="1" t="s">
        <v>22</v>
      </c>
      <c r="L3194" s="1" t="str">
        <f>HYPERLINK("https://files.afu.se/Downloads/Transcripts/0%20-%20Government/USA%20-%20NASA%20Johnson/2011 10 17 - NASA Johnson - Kids in Micro-g  Pondering the Pendulum_4GvDoczaGDI - transcript (automated).pdf","Transcript Link")</f>
        <v>Transcript Link</v>
      </c>
      <c r="M3194" s="2" t="str">
        <f>HYPERLINK("https://files.afu.se/Downloads/Transcripts/0%20-%20Government/USA%20-%20NASA%20Johnson/2011 10 17 - NASA Johnson - Kids in Micro-g  Pondering the Pendulum_4GvDoczaGDI - transcript (automated).pdf","Transcript Link")</f>
        <v>Transcript Link</v>
      </c>
    </row>
    <row r="3195" ht="180" spans="1:13">
      <c r="A3195" s="1" t="s">
        <v>14005</v>
      </c>
      <c r="B3195" s="1" t="s">
        <v>13</v>
      </c>
      <c r="C3195" s="4" t="s">
        <v>14014</v>
      </c>
      <c r="D3195" s="1" t="s">
        <v>14015</v>
      </c>
      <c r="E3195" s="1" t="s">
        <v>14016</v>
      </c>
      <c r="F3195" s="4" t="s">
        <v>17</v>
      </c>
      <c r="G3195" s="1" t="s">
        <v>18</v>
      </c>
      <c r="H3195" s="1" t="s">
        <v>19</v>
      </c>
      <c r="I3195" s="1" t="s">
        <v>20</v>
      </c>
      <c r="J3195" s="1" t="s">
        <v>14017</v>
      </c>
      <c r="K3195" s="1" t="s">
        <v>22</v>
      </c>
      <c r="L3195" s="1" t="str">
        <f>HYPERLINK("https://files.afu.se/Downloads/Transcripts/0%20-%20Government/USA%20-%20NASA%20Johnson/2011 10 17 - NASA Johnson - Kids in Micro-g  Attracting Water Drops_i1oR8FsJP7I - transcript (automated).pdf","Transcript Link")</f>
        <v>Transcript Link</v>
      </c>
      <c r="M3195" s="2" t="str">
        <f>HYPERLINK("https://files.afu.se/Downloads/Transcripts/0%20-%20Government/USA%20-%20NASA%20Johnson/2011 10 17 - NASA Johnson - Kids in Micro-g  Attracting Water Drops_i1oR8FsJP7I - transcript (automated).pdf","Transcript Link")</f>
        <v>Transcript Link</v>
      </c>
    </row>
    <row r="3196" ht="180" spans="1:13">
      <c r="A3196" s="1" t="s">
        <v>14005</v>
      </c>
      <c r="B3196" s="1" t="s">
        <v>13</v>
      </c>
      <c r="C3196" s="4" t="s">
        <v>14018</v>
      </c>
      <c r="D3196" s="1" t="s">
        <v>14019</v>
      </c>
      <c r="E3196" s="1" t="s">
        <v>14020</v>
      </c>
      <c r="F3196" s="4" t="s">
        <v>17</v>
      </c>
      <c r="G3196" s="1" t="s">
        <v>18</v>
      </c>
      <c r="H3196" s="1" t="s">
        <v>19</v>
      </c>
      <c r="I3196" s="1" t="s">
        <v>20</v>
      </c>
      <c r="J3196" s="1" t="s">
        <v>14021</v>
      </c>
      <c r="K3196" s="1" t="s">
        <v>22</v>
      </c>
      <c r="L3196" s="1" t="str">
        <f>HYPERLINK("https://files.afu.se/Downloads/Transcripts/0%20-%20Government/USA%20-%20NASA%20Johnson/2011 10 17 - NASA Johnson - ISS Update - Oct. 17, 2011_1UCRJ17Kshc - transcript (automated).pdf","Transcript Link")</f>
        <v>Transcript Link</v>
      </c>
      <c r="M3196" s="2" t="str">
        <f>HYPERLINK("https://files.afu.se/Downloads/Transcripts/0%20-%20Government/USA%20-%20NASA%20Johnson/2011 10 17 - NASA Johnson - ISS Update - Oct. 17, 2011_1UCRJ17Kshc - transcript (automated).pdf","Transcript Link")</f>
        <v>Transcript Link</v>
      </c>
    </row>
    <row r="3197" ht="180" spans="1:13">
      <c r="A3197" s="1" t="s">
        <v>14022</v>
      </c>
      <c r="B3197" s="1" t="s">
        <v>13</v>
      </c>
      <c r="C3197" s="4" t="s">
        <v>14023</v>
      </c>
      <c r="D3197" s="1" t="s">
        <v>14024</v>
      </c>
      <c r="E3197" s="1" t="s">
        <v>14025</v>
      </c>
      <c r="F3197" s="4" t="s">
        <v>17</v>
      </c>
      <c r="G3197" s="1" t="s">
        <v>18</v>
      </c>
      <c r="H3197" s="1" t="s">
        <v>19</v>
      </c>
      <c r="I3197" s="1" t="s">
        <v>20</v>
      </c>
      <c r="J3197" s="1" t="s">
        <v>14026</v>
      </c>
      <c r="K3197" s="1" t="s">
        <v>22</v>
      </c>
      <c r="L3197" s="1" t="str">
        <f>HYPERLINK("https://files.afu.se/Downloads/Transcripts/0%20-%20Government/USA%20-%20NASA%20Johnson/2011 10 14 - NASA Johnson - Weekly ISS Update - Oct. 10-14, 2011_X9fXS4-WlWE - transcript (automated).pdf","Transcript Link")</f>
        <v>Transcript Link</v>
      </c>
      <c r="M3197" s="2" t="str">
        <f>HYPERLINK("https://files.afu.se/Downloads/Transcripts/0%20-%20Government/USA%20-%20NASA%20Johnson/2011 10 14 - NASA Johnson - Weekly ISS Update - Oct. 10-14, 2011_X9fXS4-WlWE - transcript (automated).pdf","Transcript Link")</f>
        <v>Transcript Link</v>
      </c>
    </row>
    <row r="3198" ht="180" spans="1:13">
      <c r="A3198" s="1" t="s">
        <v>14022</v>
      </c>
      <c r="B3198" s="1" t="s">
        <v>13</v>
      </c>
      <c r="C3198" s="4" t="s">
        <v>14027</v>
      </c>
      <c r="D3198" s="1" t="s">
        <v>14028</v>
      </c>
      <c r="E3198" s="1" t="s">
        <v>14029</v>
      </c>
      <c r="F3198" s="4" t="s">
        <v>17</v>
      </c>
      <c r="G3198" s="1" t="s">
        <v>18</v>
      </c>
      <c r="H3198" s="1" t="s">
        <v>19</v>
      </c>
      <c r="I3198" s="1" t="s">
        <v>20</v>
      </c>
      <c r="J3198" s="1" t="s">
        <v>14030</v>
      </c>
      <c r="K3198" s="1" t="s">
        <v>22</v>
      </c>
      <c r="L3198" s="1" t="str">
        <f>HYPERLINK("https://files.afu.se/Downloads/Transcripts/0%20-%20Government/USA%20-%20NASA%20Johnson/2011 10 14 - NASA Johnson - ISS Update - Oct. 14, 2011_QTcJGJkx-r4 - transcript (automated).pdf","Transcript Link")</f>
        <v>Transcript Link</v>
      </c>
      <c r="M3198" s="2" t="str">
        <f>HYPERLINK("https://files.afu.se/Downloads/Transcripts/0%20-%20Government/USA%20-%20NASA%20Johnson/2011 10 14 - NASA Johnson - ISS Update - Oct. 14, 2011_QTcJGJkx-r4 - transcript (automated).pdf","Transcript Link")</f>
        <v>Transcript Link</v>
      </c>
    </row>
    <row r="3199" ht="180" spans="1:13">
      <c r="A3199" s="1" t="s">
        <v>14031</v>
      </c>
      <c r="B3199" s="1" t="s">
        <v>13</v>
      </c>
      <c r="C3199" s="4" t="s">
        <v>14032</v>
      </c>
      <c r="D3199" s="1" t="s">
        <v>14033</v>
      </c>
      <c r="E3199" s="1" t="s">
        <v>14034</v>
      </c>
      <c r="F3199" s="4" t="s">
        <v>17</v>
      </c>
      <c r="G3199" s="1" t="s">
        <v>18</v>
      </c>
      <c r="H3199" s="1" t="s">
        <v>19</v>
      </c>
      <c r="I3199" s="1" t="s">
        <v>20</v>
      </c>
      <c r="J3199" s="1" t="s">
        <v>14035</v>
      </c>
      <c r="K3199" s="1" t="s">
        <v>22</v>
      </c>
      <c r="L3199" s="1" t="str">
        <f>HYPERLINK("https://files.afu.se/Downloads/Transcripts/0%20-%20Government/USA%20-%20NASA%20Johnson/2011 10 13 - NASA Johnson - ISS Update - Oct. 13, 2011_nnEzjiX9tcQ - transcript (automated).pdf","Transcript Link")</f>
        <v>Transcript Link</v>
      </c>
      <c r="M3199" s="2" t="str">
        <f>HYPERLINK("https://files.afu.se/Downloads/Transcripts/0%20-%20Government/USA%20-%20NASA%20Johnson/2011 10 13 - NASA Johnson - ISS Update - Oct. 13, 2011_nnEzjiX9tcQ - transcript (automated).pdf","Transcript Link")</f>
        <v>Transcript Link</v>
      </c>
    </row>
    <row r="3200" ht="180" spans="1:13">
      <c r="A3200" s="1" t="s">
        <v>14036</v>
      </c>
      <c r="B3200" s="1" t="s">
        <v>13</v>
      </c>
      <c r="C3200" s="4" t="s">
        <v>14037</v>
      </c>
      <c r="D3200" s="1" t="s">
        <v>14038</v>
      </c>
      <c r="E3200" s="1" t="s">
        <v>14039</v>
      </c>
      <c r="F3200" s="4" t="s">
        <v>17</v>
      </c>
      <c r="G3200" s="1" t="s">
        <v>18</v>
      </c>
      <c r="H3200" s="1" t="s">
        <v>19</v>
      </c>
      <c r="I3200" s="1" t="s">
        <v>20</v>
      </c>
      <c r="J3200" s="1" t="s">
        <v>14040</v>
      </c>
      <c r="K3200" s="1" t="s">
        <v>22</v>
      </c>
      <c r="L3200" s="1" t="str">
        <f>HYPERLINK("https://files.afu.se/Downloads/Transcripts/0%20-%20Government/USA%20-%20NASA%20Johnson/2011 10 12 - NASA Johnson - ISS Update - Oct. 12, 2011_85VF5gsGFCQ - transcript (automated).pdf","Transcript Link")</f>
        <v>Transcript Link</v>
      </c>
      <c r="M3200" s="2" t="str">
        <f>HYPERLINK("https://files.afu.se/Downloads/Transcripts/0%20-%20Government/USA%20-%20NASA%20Johnson/2011 10 12 - NASA Johnson - ISS Update - Oct. 12, 2011_85VF5gsGFCQ - transcript (automated).pdf","Transcript Link")</f>
        <v>Transcript Link</v>
      </c>
    </row>
    <row r="3201" ht="180" spans="1:13">
      <c r="A3201" s="1" t="s">
        <v>14041</v>
      </c>
      <c r="B3201" s="1" t="s">
        <v>13</v>
      </c>
      <c r="C3201" s="4" t="s">
        <v>14042</v>
      </c>
      <c r="D3201" s="1" t="s">
        <v>14043</v>
      </c>
      <c r="E3201" s="1" t="s">
        <v>14044</v>
      </c>
      <c r="F3201" s="4" t="s">
        <v>17</v>
      </c>
      <c r="G3201" s="1" t="s">
        <v>18</v>
      </c>
      <c r="H3201" s="1" t="s">
        <v>19</v>
      </c>
      <c r="I3201" s="1" t="s">
        <v>20</v>
      </c>
      <c r="J3201" s="1" t="s">
        <v>14045</v>
      </c>
      <c r="K3201" s="1" t="s">
        <v>22</v>
      </c>
      <c r="L3201" s="1" t="str">
        <f>HYPERLINK("https://files.afu.se/Downloads/Transcripts/0%20-%20Government/USA%20-%20NASA%20Johnson/2011 10 11 - NASA Johnson - ISS Update - Oct. 11, 2011_ipz5C4FHHcw - transcript (automated).pdf","Transcript Link")</f>
        <v>Transcript Link</v>
      </c>
      <c r="M3201" s="2" t="str">
        <f>HYPERLINK("https://files.afu.se/Downloads/Transcripts/0%20-%20Government/USA%20-%20NASA%20Johnson/2011 10 11 - NASA Johnson - ISS Update - Oct. 11, 2011_ipz5C4FHHcw - transcript (automated).pdf","Transcript Link")</f>
        <v>Transcript Link</v>
      </c>
    </row>
    <row r="3202" ht="180" spans="1:13">
      <c r="A3202" s="1" t="s">
        <v>14046</v>
      </c>
      <c r="B3202" s="1" t="s">
        <v>13</v>
      </c>
      <c r="C3202" s="4" t="s">
        <v>14047</v>
      </c>
      <c r="D3202" s="1" t="s">
        <v>14048</v>
      </c>
      <c r="E3202" s="1" t="s">
        <v>14049</v>
      </c>
      <c r="F3202" s="4" t="s">
        <v>17</v>
      </c>
      <c r="G3202" s="1" t="s">
        <v>18</v>
      </c>
      <c r="H3202" s="1" t="s">
        <v>19</v>
      </c>
      <c r="I3202" s="1" t="s">
        <v>20</v>
      </c>
      <c r="J3202" s="1" t="s">
        <v>14050</v>
      </c>
      <c r="K3202" s="1" t="s">
        <v>22</v>
      </c>
      <c r="L3202" s="1" t="str">
        <f>HYPERLINK("https://files.afu.se/Downloads/Transcripts/0%20-%20Government/USA%20-%20NASA%20Johnson/2011 10 07 - NASA Johnson - ISS Update - Oct. 7, 2011_YsrCwBWxvr0 - transcript (automated).pdf","Transcript Link")</f>
        <v>Transcript Link</v>
      </c>
      <c r="M3202" s="2" t="str">
        <f>HYPERLINK("https://files.afu.se/Downloads/Transcripts/0%20-%20Government/USA%20-%20NASA%20Johnson/2011 10 07 - NASA Johnson - ISS Update - Oct. 7, 2011_YsrCwBWxvr0 - transcript (automated).pdf","Transcript Link")</f>
        <v>Transcript Link</v>
      </c>
    </row>
    <row r="3203" ht="180" spans="1:13">
      <c r="A3203" s="1" t="s">
        <v>14051</v>
      </c>
      <c r="B3203" s="1" t="s">
        <v>13</v>
      </c>
      <c r="C3203" s="4" t="s">
        <v>14052</v>
      </c>
      <c r="D3203" s="1" t="s">
        <v>14053</v>
      </c>
      <c r="E3203" s="1" t="s">
        <v>14054</v>
      </c>
      <c r="F3203" s="4" t="s">
        <v>17</v>
      </c>
      <c r="G3203" s="1" t="s">
        <v>18</v>
      </c>
      <c r="H3203" s="1" t="s">
        <v>19</v>
      </c>
      <c r="I3203" s="1" t="s">
        <v>20</v>
      </c>
      <c r="J3203" s="1" t="s">
        <v>14055</v>
      </c>
      <c r="K3203" s="1" t="s">
        <v>22</v>
      </c>
      <c r="L3203" s="1" t="str">
        <f>HYPERLINK("https://files.afu.se/Downloads/Transcripts/0%20-%20Government/USA%20-%20NASA%20Johnson/2011 10 06 - NASA Johnson - ISS Update - Oct. 6, 2011__NEW3_yqQLc - transcript (automated).pdf","Transcript Link")</f>
        <v>Transcript Link</v>
      </c>
      <c r="M3203" s="2" t="str">
        <f>HYPERLINK("https://files.afu.se/Downloads/Transcripts/0%20-%20Government/USA%20-%20NASA%20Johnson/2011 10 06 - NASA Johnson - ISS Update - Oct. 6, 2011__NEW3_yqQLc - transcript (automated).pdf","Transcript Link")</f>
        <v>Transcript Link</v>
      </c>
    </row>
    <row r="3204" ht="180" spans="1:13">
      <c r="A3204" s="1" t="s">
        <v>14051</v>
      </c>
      <c r="B3204" s="1" t="s">
        <v>13</v>
      </c>
      <c r="C3204" s="4" t="s">
        <v>14056</v>
      </c>
      <c r="D3204" s="1" t="s">
        <v>14057</v>
      </c>
      <c r="E3204" s="1" t="s">
        <v>14058</v>
      </c>
      <c r="F3204" s="4" t="s">
        <v>17</v>
      </c>
      <c r="G3204" s="1" t="s">
        <v>18</v>
      </c>
      <c r="H3204" s="1" t="s">
        <v>19</v>
      </c>
      <c r="I3204" s="1" t="s">
        <v>20</v>
      </c>
      <c r="J3204" s="1" t="s">
        <v>14059</v>
      </c>
      <c r="K3204" s="1" t="s">
        <v>22</v>
      </c>
      <c r="L3204" s="1" t="str">
        <f>HYPERLINK("https://files.afu.se/Downloads/Transcripts/0%20-%20Government/USA%20-%20NASA%20Johnson/2011 10 06 - NASA Johnson - Orion Futures_P82-HZQPimY - transcript (automated).pdf","Transcript Link")</f>
        <v>Transcript Link</v>
      </c>
      <c r="M3204" s="2" t="str">
        <f>HYPERLINK("https://files.afu.se/Downloads/Transcripts/0%20-%20Government/USA%20-%20NASA%20Johnson/2011 10 06 - NASA Johnson - Orion Futures_P82-HZQPimY - transcript (automated).pdf","Transcript Link")</f>
        <v>Transcript Link</v>
      </c>
    </row>
    <row r="3205" ht="180" spans="1:13">
      <c r="A3205" s="1" t="s">
        <v>14060</v>
      </c>
      <c r="B3205" s="1" t="s">
        <v>13</v>
      </c>
      <c r="C3205" s="4" t="s">
        <v>14061</v>
      </c>
      <c r="D3205" s="1" t="s">
        <v>14062</v>
      </c>
      <c r="E3205" s="1" t="s">
        <v>14063</v>
      </c>
      <c r="F3205" s="4" t="s">
        <v>17</v>
      </c>
      <c r="G3205" s="1" t="s">
        <v>18</v>
      </c>
      <c r="H3205" s="1" t="s">
        <v>19</v>
      </c>
      <c r="I3205" s="1" t="s">
        <v>20</v>
      </c>
      <c r="J3205" s="1" t="s">
        <v>14064</v>
      </c>
      <c r="K3205" s="1" t="s">
        <v>22</v>
      </c>
      <c r="L3205" s="1" t="str">
        <f>HYPERLINK("https://files.afu.se/Downloads/Transcripts/0%20-%20Government/USA%20-%20NASA%20Johnson/2011 10 04 - NASA Johnson - ISS Update - Oct. 4, 2011_uRXiK-MilD4 - transcript (automated).pdf","Transcript Link")</f>
        <v>Transcript Link</v>
      </c>
      <c r="M3205" s="2" t="str">
        <f>HYPERLINK("https://files.afu.se/Downloads/Transcripts/0%20-%20Government/USA%20-%20NASA%20Johnson/2011 10 04 - NASA Johnson - ISS Update - Oct. 4, 2011_uRXiK-MilD4 - transcript (automated).pdf","Transcript Link")</f>
        <v>Transcript Link</v>
      </c>
    </row>
    <row r="3206" ht="180" spans="1:13">
      <c r="A3206" s="1" t="s">
        <v>14065</v>
      </c>
      <c r="B3206" s="1" t="s">
        <v>13</v>
      </c>
      <c r="C3206" s="4" t="s">
        <v>14066</v>
      </c>
      <c r="D3206" s="1" t="s">
        <v>14067</v>
      </c>
      <c r="E3206" s="1" t="s">
        <v>14068</v>
      </c>
      <c r="F3206" s="4" t="s">
        <v>17</v>
      </c>
      <c r="G3206" s="1" t="s">
        <v>18</v>
      </c>
      <c r="H3206" s="1" t="s">
        <v>19</v>
      </c>
      <c r="I3206" s="1" t="s">
        <v>20</v>
      </c>
      <c r="J3206" s="1" t="s">
        <v>14069</v>
      </c>
      <c r="K3206" s="1" t="s">
        <v>22</v>
      </c>
      <c r="L3206" s="1" t="str">
        <f>HYPERLINK("https://files.afu.se/Downloads/Transcripts/0%20-%20Government/USA%20-%20NASA%20Johnson/2011 10 03 - NASA Johnson - ISS Update - Oct. 3, 2011_iyu5nr29k_0 - transcript (automated).pdf","Transcript Link")</f>
        <v>Transcript Link</v>
      </c>
      <c r="M3206" s="2" t="str">
        <f>HYPERLINK("https://files.afu.se/Downloads/Transcripts/0%20-%20Government/USA%20-%20NASA%20Johnson/2011 10 03 - NASA Johnson - ISS Update - Oct. 3, 2011_iyu5nr29k_0 - transcript (automated).pdf","Transcript Link")</f>
        <v>Transcript Link</v>
      </c>
    </row>
    <row r="3207" ht="180" spans="1:13">
      <c r="A3207" s="1" t="s">
        <v>14070</v>
      </c>
      <c r="B3207" s="1" t="s">
        <v>13</v>
      </c>
      <c r="C3207" s="4" t="s">
        <v>14071</v>
      </c>
      <c r="D3207" s="1" t="s">
        <v>14072</v>
      </c>
      <c r="E3207" s="1" t="s">
        <v>14073</v>
      </c>
      <c r="F3207" s="4" t="s">
        <v>17</v>
      </c>
      <c r="G3207" s="1" t="s">
        <v>18</v>
      </c>
      <c r="H3207" s="1" t="s">
        <v>19</v>
      </c>
      <c r="I3207" s="1" t="s">
        <v>20</v>
      </c>
      <c r="J3207" s="1" t="s">
        <v>14074</v>
      </c>
      <c r="K3207" s="1" t="s">
        <v>22</v>
      </c>
      <c r="L3207" s="1" t="str">
        <f>HYPERLINK("https://files.afu.se/Downloads/Transcripts/0%20-%20Government/USA%20-%20NASA%20Johnson/2011 09 30 - NASA Johnson - ISS Update - Sept. 30, 2011_YFdWEcPocl8 - transcript (automated).pdf","Transcript Link")</f>
        <v>Transcript Link</v>
      </c>
      <c r="M3207" s="2" t="str">
        <f>HYPERLINK("https://files.afu.se/Downloads/Transcripts/0%20-%20Government/USA%20-%20NASA%20Johnson/2011 09 30 - NASA Johnson - ISS Update - Sept. 30, 2011_YFdWEcPocl8 - transcript (automated).pdf","Transcript Link")</f>
        <v>Transcript Link</v>
      </c>
    </row>
    <row r="3208" ht="180" spans="1:13">
      <c r="A3208" s="1" t="s">
        <v>14075</v>
      </c>
      <c r="B3208" s="1" t="s">
        <v>13</v>
      </c>
      <c r="C3208" s="4" t="s">
        <v>14076</v>
      </c>
      <c r="D3208" s="1" t="s">
        <v>14077</v>
      </c>
      <c r="E3208" s="1" t="s">
        <v>14078</v>
      </c>
      <c r="F3208" s="4" t="s">
        <v>17</v>
      </c>
      <c r="G3208" s="1" t="s">
        <v>18</v>
      </c>
      <c r="H3208" s="1" t="s">
        <v>19</v>
      </c>
      <c r="I3208" s="1" t="s">
        <v>20</v>
      </c>
      <c r="J3208" s="1" t="s">
        <v>14079</v>
      </c>
      <c r="K3208" s="1" t="s">
        <v>22</v>
      </c>
      <c r="L3208" s="1" t="str">
        <f>HYPERLINK("https://files.afu.se/Downloads/Transcripts/0%20-%20Government/USA%20-%20NASA%20Johnson/2011 09 29 - NASA Johnson - Expedition 29 Crew Profile (Part 1)_nc6wPVritfk - transcript (automated).pdf","Transcript Link")</f>
        <v>Transcript Link</v>
      </c>
      <c r="M3208" s="2" t="str">
        <f>HYPERLINK("https://files.afu.se/Downloads/Transcripts/0%20-%20Government/USA%20-%20NASA%20Johnson/2011 09 29 - NASA Johnson - Expedition 29 Crew Profile (Part 1)_nc6wPVritfk - transcript (automated).pdf","Transcript Link")</f>
        <v>Transcript Link</v>
      </c>
    </row>
    <row r="3209" ht="180" spans="1:13">
      <c r="A3209" s="1" t="s">
        <v>14075</v>
      </c>
      <c r="B3209" s="1" t="s">
        <v>13</v>
      </c>
      <c r="C3209" s="4" t="s">
        <v>14080</v>
      </c>
      <c r="D3209" s="1" t="s">
        <v>14081</v>
      </c>
      <c r="E3209" s="1" t="s">
        <v>14082</v>
      </c>
      <c r="F3209" s="4" t="s">
        <v>17</v>
      </c>
      <c r="G3209" s="1" t="s">
        <v>18</v>
      </c>
      <c r="H3209" s="1" t="s">
        <v>19</v>
      </c>
      <c r="I3209" s="1" t="s">
        <v>20</v>
      </c>
      <c r="J3209" s="1" t="s">
        <v>14083</v>
      </c>
      <c r="K3209" s="1" t="s">
        <v>22</v>
      </c>
      <c r="L3209" s="1" t="str">
        <f>HYPERLINK("https://files.afu.se/Downloads/Transcripts/0%20-%20Government/USA%20-%20NASA%20Johnson/2011 09 29 - NASA Johnson - ISS Update - Sept. 29, 2011_gkqE-gzehug - transcript (automated).pdf","Transcript Link")</f>
        <v>Transcript Link</v>
      </c>
      <c r="M3209" s="2" t="str">
        <f>HYPERLINK("https://files.afu.se/Downloads/Transcripts/0%20-%20Government/USA%20-%20NASA%20Johnson/2011 09 29 - NASA Johnson - ISS Update - Sept. 29, 2011_gkqE-gzehug - transcript (automated).pdf","Transcript Link")</f>
        <v>Transcript Link</v>
      </c>
    </row>
    <row r="3210" ht="180" spans="1:13">
      <c r="A3210" s="1" t="s">
        <v>14075</v>
      </c>
      <c r="B3210" s="1" t="s">
        <v>13</v>
      </c>
      <c r="C3210" s="4" t="s">
        <v>14084</v>
      </c>
      <c r="D3210" s="1" t="s">
        <v>14085</v>
      </c>
      <c r="E3210" s="1" t="s">
        <v>14086</v>
      </c>
      <c r="F3210" s="4" t="s">
        <v>17</v>
      </c>
      <c r="G3210" s="1" t="s">
        <v>18</v>
      </c>
      <c r="H3210" s="1" t="s">
        <v>19</v>
      </c>
      <c r="I3210" s="1" t="s">
        <v>20</v>
      </c>
      <c r="J3210" s="1" t="s">
        <v>14087</v>
      </c>
      <c r="K3210" s="1" t="s">
        <v>22</v>
      </c>
      <c r="L3210" s="1" t="str">
        <f>HYPERLINK("https://files.afu.se/Downloads/Transcripts/0%20-%20Government/USA%20-%20NASA%20Johnson/2011 09 29 - NASA Johnson - NASA Administrator Charlie Bolden Visits Johnson Space Center_8_Rd88i9nTc - transcript (automated).pdf","Transcript Link")</f>
        <v>Transcript Link</v>
      </c>
      <c r="M3210" s="2" t="str">
        <f>HYPERLINK("https://files.afu.se/Downloads/Transcripts/0%20-%20Government/USA%20-%20NASA%20Johnson/2011 09 29 - NASA Johnson - NASA Administrator Charlie Bolden Visits Johnson Space Center_8_Rd88i9nTc - transcript (automated).pdf","Transcript Link")</f>
        <v>Transcript Link</v>
      </c>
    </row>
    <row r="3211" ht="180" spans="1:13">
      <c r="A3211" s="1" t="s">
        <v>14075</v>
      </c>
      <c r="B3211" s="1" t="s">
        <v>13</v>
      </c>
      <c r="C3211" s="4" t="s">
        <v>14088</v>
      </c>
      <c r="D3211" s="1" t="s">
        <v>14089</v>
      </c>
      <c r="E3211" s="1" t="s">
        <v>14090</v>
      </c>
      <c r="F3211" s="4" t="s">
        <v>17</v>
      </c>
      <c r="G3211" s="1" t="s">
        <v>18</v>
      </c>
      <c r="H3211" s="1" t="s">
        <v>19</v>
      </c>
      <c r="I3211" s="1" t="s">
        <v>20</v>
      </c>
      <c r="J3211" s="1" t="s">
        <v>14091</v>
      </c>
      <c r="K3211" s="1" t="s">
        <v>22</v>
      </c>
      <c r="L3211" s="1" t="str">
        <f>HYPERLINK("https://files.afu.se/Downloads/Transcripts/0%20-%20Government/USA%20-%20NASA%20Johnson/2011 09 29 - NASA Johnson - Expedition 29 Crew Profile (Part 2)_cywqwYCumK0 - transcript (automated).pdf","Transcript Link")</f>
        <v>Transcript Link</v>
      </c>
      <c r="M3211" s="2" t="str">
        <f>HYPERLINK("https://files.afu.se/Downloads/Transcripts/0%20-%20Government/USA%20-%20NASA%20Johnson/2011 09 29 - NASA Johnson - Expedition 29 Crew Profile (Part 2)_cywqwYCumK0 - transcript (automated).pdf","Transcript Link")</f>
        <v>Transcript Link</v>
      </c>
    </row>
    <row r="3212" ht="180" spans="1:13">
      <c r="A3212" s="1" t="s">
        <v>14092</v>
      </c>
      <c r="B3212" s="1" t="s">
        <v>13</v>
      </c>
      <c r="C3212" s="4" t="s">
        <v>14093</v>
      </c>
      <c r="D3212" s="1" t="s">
        <v>14094</v>
      </c>
      <c r="E3212" s="1" t="s">
        <v>14095</v>
      </c>
      <c r="F3212" s="4" t="s">
        <v>17</v>
      </c>
      <c r="G3212" s="1" t="s">
        <v>18</v>
      </c>
      <c r="H3212" s="1" t="s">
        <v>19</v>
      </c>
      <c r="I3212" s="1" t="s">
        <v>20</v>
      </c>
      <c r="J3212" s="1" t="s">
        <v>14096</v>
      </c>
      <c r="K3212" s="1" t="s">
        <v>22</v>
      </c>
      <c r="L3212" s="1" t="str">
        <f>HYPERLINK("https://files.afu.se/Downloads/Transcripts/0%20-%20Government/USA%20-%20NASA%20Johnson/2011 09 28 - NASA Johnson - Plants In Space_KkvH48f5a00 - transcript (automated).pdf","Transcript Link")</f>
        <v>Transcript Link</v>
      </c>
      <c r="M3212" s="2" t="str">
        <f>HYPERLINK("https://files.afu.se/Downloads/Transcripts/0%20-%20Government/USA%20-%20NASA%20Johnson/2011 09 28 - NASA Johnson - Plants In Space_KkvH48f5a00 - transcript (automated).pdf","Transcript Link")</f>
        <v>Transcript Link</v>
      </c>
    </row>
    <row r="3213" ht="180" spans="1:13">
      <c r="A3213" s="1" t="s">
        <v>14092</v>
      </c>
      <c r="B3213" s="1" t="s">
        <v>13</v>
      </c>
      <c r="C3213" s="4" t="s">
        <v>14097</v>
      </c>
      <c r="D3213" s="1" t="s">
        <v>14098</v>
      </c>
      <c r="E3213" s="1" t="s">
        <v>14099</v>
      </c>
      <c r="F3213" s="4" t="s">
        <v>17</v>
      </c>
      <c r="G3213" s="1" t="s">
        <v>18</v>
      </c>
      <c r="H3213" s="1" t="s">
        <v>19</v>
      </c>
      <c r="I3213" s="1" t="s">
        <v>20</v>
      </c>
      <c r="J3213" s="1" t="s">
        <v>14100</v>
      </c>
      <c r="K3213" s="1" t="s">
        <v>22</v>
      </c>
      <c r="L3213" s="1" t="str">
        <f>HYPERLINK("https://files.afu.se/Downloads/Transcripts/0%20-%20Government/USA%20-%20NASA%20Johnson/2011 09 28 - NASA Johnson - ISS Update - Sept. 28, 2011_Lc4hSYGr0m8 - transcript (automated).pdf","Transcript Link")</f>
        <v>Transcript Link</v>
      </c>
      <c r="M3213" s="2" t="str">
        <f>HYPERLINK("https://files.afu.se/Downloads/Transcripts/0%20-%20Government/USA%20-%20NASA%20Johnson/2011 09 28 - NASA Johnson - ISS Update - Sept. 28, 2011_Lc4hSYGr0m8 - transcript (automated).pdf","Transcript Link")</f>
        <v>Transcript Link</v>
      </c>
    </row>
    <row r="3214" ht="180" spans="1:13">
      <c r="A3214" s="1" t="s">
        <v>14101</v>
      </c>
      <c r="B3214" s="1" t="s">
        <v>13</v>
      </c>
      <c r="C3214" s="4" t="s">
        <v>14102</v>
      </c>
      <c r="D3214" s="1" t="s">
        <v>14103</v>
      </c>
      <c r="E3214" s="1" t="s">
        <v>14104</v>
      </c>
      <c r="F3214" s="4" t="s">
        <v>17</v>
      </c>
      <c r="G3214" s="1" t="s">
        <v>18</v>
      </c>
      <c r="H3214" s="1" t="s">
        <v>19</v>
      </c>
      <c r="I3214" s="1" t="s">
        <v>20</v>
      </c>
      <c r="J3214" s="1" t="s">
        <v>14105</v>
      </c>
      <c r="K3214" s="1" t="s">
        <v>22</v>
      </c>
      <c r="L3214" s="1" t="str">
        <f>HYPERLINK("https://files.afu.se/Downloads/Transcripts/0%20-%20Government/USA%20-%20NASA%20Johnson/2011 09 27 - NASA Johnson - ISS Update - Sept. 27, 2011_Ug23fU1Kdo0 - transcript (automated).pdf","Transcript Link")</f>
        <v>Transcript Link</v>
      </c>
      <c r="M3214" s="2" t="str">
        <f>HYPERLINK("https://files.afu.se/Downloads/Transcripts/0%20-%20Government/USA%20-%20NASA%20Johnson/2011 09 27 - NASA Johnson - ISS Update - Sept. 27, 2011_Ug23fU1Kdo0 - transcript (automated).pdf","Transcript Link")</f>
        <v>Transcript Link</v>
      </c>
    </row>
    <row r="3215" ht="180" spans="1:13">
      <c r="A3215" s="1" t="s">
        <v>14106</v>
      </c>
      <c r="B3215" s="1" t="s">
        <v>13</v>
      </c>
      <c r="C3215" s="4" t="s">
        <v>14107</v>
      </c>
      <c r="D3215" s="1" t="s">
        <v>14108</v>
      </c>
      <c r="E3215" s="1" t="s">
        <v>14109</v>
      </c>
      <c r="F3215" s="4" t="s">
        <v>17</v>
      </c>
      <c r="G3215" s="1" t="s">
        <v>18</v>
      </c>
      <c r="H3215" s="1" t="s">
        <v>19</v>
      </c>
      <c r="I3215" s="1" t="s">
        <v>20</v>
      </c>
      <c r="J3215" s="1" t="s">
        <v>14110</v>
      </c>
      <c r="K3215" s="1" t="s">
        <v>22</v>
      </c>
      <c r="L3215" s="1" t="str">
        <f>HYPERLINK("https://files.afu.se/Downloads/Transcripts/0%20-%20Government/USA%20-%20NASA%20Johnson/2011 09 26 - NASA Johnson - Expedition 29 30 Mission Overview_3Ia6WSMHYCw - transcript (automated).pdf","Transcript Link")</f>
        <v>Transcript Link</v>
      </c>
      <c r="M3215" s="2" t="str">
        <f>HYPERLINK("https://files.afu.se/Downloads/Transcripts/0%20-%20Government/USA%20-%20NASA%20Johnson/2011 09 26 - NASA Johnson - Expedition 29 30 Mission Overview_3Ia6WSMHYCw - transcript (automated).pdf","Transcript Link")</f>
        <v>Transcript Link</v>
      </c>
    </row>
    <row r="3216" ht="180" spans="1:13">
      <c r="A3216" s="1" t="s">
        <v>14106</v>
      </c>
      <c r="B3216" s="1" t="s">
        <v>13</v>
      </c>
      <c r="C3216" s="4" t="s">
        <v>14111</v>
      </c>
      <c r="D3216" s="1" t="s">
        <v>14112</v>
      </c>
      <c r="E3216" s="1" t="s">
        <v>14113</v>
      </c>
      <c r="F3216" s="4" t="s">
        <v>17</v>
      </c>
      <c r="G3216" s="1" t="s">
        <v>18</v>
      </c>
      <c r="H3216" s="1" t="s">
        <v>19</v>
      </c>
      <c r="I3216" s="1" t="s">
        <v>20</v>
      </c>
      <c r="J3216" s="1" t="s">
        <v>14114</v>
      </c>
      <c r="K3216" s="1" t="s">
        <v>22</v>
      </c>
      <c r="L3216" s="1" t="str">
        <f>HYPERLINK("https://files.afu.se/Downloads/Transcripts/0%20-%20Government/USA%20-%20NASA%20Johnson/2011 09 26 - NASA Johnson - ISS Update - Sept. 26, 2011_AyRGHhFF-bA - transcript (automated).pdf","Transcript Link")</f>
        <v>Transcript Link</v>
      </c>
      <c r="M3216" s="2" t="str">
        <f>HYPERLINK("https://files.afu.se/Downloads/Transcripts/0%20-%20Government/USA%20-%20NASA%20Johnson/2011 09 26 - NASA Johnson - ISS Update - Sept. 26, 2011_AyRGHhFF-bA - transcript (automated).pdf","Transcript Link")</f>
        <v>Transcript Link</v>
      </c>
    </row>
    <row r="3217" ht="180" spans="1:13">
      <c r="A3217" s="1" t="s">
        <v>14115</v>
      </c>
      <c r="B3217" s="1" t="s">
        <v>13</v>
      </c>
      <c r="C3217" s="4" t="s">
        <v>14116</v>
      </c>
      <c r="D3217" s="1" t="s">
        <v>14117</v>
      </c>
      <c r="E3217" s="1" t="s">
        <v>14118</v>
      </c>
      <c r="F3217" s="4" t="s">
        <v>17</v>
      </c>
      <c r="G3217" s="1" t="s">
        <v>18</v>
      </c>
      <c r="H3217" s="1" t="s">
        <v>19</v>
      </c>
      <c r="I3217" s="1" t="s">
        <v>20</v>
      </c>
      <c r="J3217" s="1" t="s">
        <v>14119</v>
      </c>
      <c r="K3217" s="1" t="s">
        <v>22</v>
      </c>
      <c r="L3217" s="1" t="str">
        <f>HYPERLINK("https://files.afu.se/Downloads/Transcripts/0%20-%20Government/USA%20-%20NASA%20Johnson/2011 09 23 - NASA Johnson - ISS Update - Sept. 23, 2011_sffla8Akq9w - transcript (automated).pdf","Transcript Link")</f>
        <v>Transcript Link</v>
      </c>
      <c r="M3217" s="2" t="str">
        <f>HYPERLINK("https://files.afu.se/Downloads/Transcripts/0%20-%20Government/USA%20-%20NASA%20Johnson/2011 09 23 - NASA Johnson - ISS Update - Sept. 23, 2011_sffla8Akq9w - transcript (automated).pdf","Transcript Link")</f>
        <v>Transcript Link</v>
      </c>
    </row>
    <row r="3218" ht="180" spans="1:13">
      <c r="A3218" s="1" t="s">
        <v>14120</v>
      </c>
      <c r="B3218" s="1" t="s">
        <v>13</v>
      </c>
      <c r="C3218" s="4" t="s">
        <v>14121</v>
      </c>
      <c r="D3218" s="1" t="s">
        <v>14122</v>
      </c>
      <c r="E3218" s="1" t="s">
        <v>14123</v>
      </c>
      <c r="F3218" s="4" t="s">
        <v>17</v>
      </c>
      <c r="G3218" s="1" t="s">
        <v>18</v>
      </c>
      <c r="H3218" s="1" t="s">
        <v>19</v>
      </c>
      <c r="I3218" s="1" t="s">
        <v>20</v>
      </c>
      <c r="J3218" s="1" t="s">
        <v>14124</v>
      </c>
      <c r="K3218" s="1" t="s">
        <v>22</v>
      </c>
      <c r="L3218" s="1" t="str">
        <f>HYPERLINK("https://files.afu.se/Downloads/Transcripts/0%20-%20Government/USA%20-%20NASA%20Johnson/2011 09 22 - NASA Johnson - Tropical Storm Lee Time Lapse__chpcVf-uEs - transcript (automated).pdf","Transcript Link")</f>
        <v>Transcript Link</v>
      </c>
      <c r="M3218" s="2" t="str">
        <f>HYPERLINK("https://files.afu.se/Downloads/Transcripts/0%20-%20Government/USA%20-%20NASA%20Johnson/2011 09 22 - NASA Johnson - Tropical Storm Lee Time Lapse__chpcVf-uEs - transcript (automated).pdf","Transcript Link")</f>
        <v>Transcript Link</v>
      </c>
    </row>
    <row r="3219" ht="180" spans="1:13">
      <c r="A3219" s="1" t="s">
        <v>14120</v>
      </c>
      <c r="B3219" s="1" t="s">
        <v>13</v>
      </c>
      <c r="C3219" s="4" t="s">
        <v>14125</v>
      </c>
      <c r="D3219" s="1" t="s">
        <v>14126</v>
      </c>
      <c r="E3219" s="1" t="s">
        <v>14127</v>
      </c>
      <c r="F3219" s="4" t="s">
        <v>17</v>
      </c>
      <c r="G3219" s="1" t="s">
        <v>18</v>
      </c>
      <c r="H3219" s="1" t="s">
        <v>19</v>
      </c>
      <c r="I3219" s="1" t="s">
        <v>20</v>
      </c>
      <c r="J3219" s="1" t="s">
        <v>14128</v>
      </c>
      <c r="K3219" s="1" t="s">
        <v>22</v>
      </c>
      <c r="L3219" s="1" t="str">
        <f>HYPERLINK("https://files.afu.se/Downloads/Transcripts/0%20-%20Government/USA%20-%20NASA%20Johnson/2011 09 22 - NASA Johnson - Southern California to Hudson Bay_jMzwyr0qNZI - transcript (automated).pdf","Transcript Link")</f>
        <v>Transcript Link</v>
      </c>
      <c r="M3219" s="2" t="str">
        <f>HYPERLINK("https://files.afu.se/Downloads/Transcripts/0%20-%20Government/USA%20-%20NASA%20Johnson/2011 09 22 - NASA Johnson - Southern California to Hudson Bay_jMzwyr0qNZI - transcript (automated).pdf","Transcript Link")</f>
        <v>Transcript Link</v>
      </c>
    </row>
    <row r="3220" ht="180" spans="1:13">
      <c r="A3220" s="1" t="s">
        <v>14120</v>
      </c>
      <c r="B3220" s="1" t="s">
        <v>13</v>
      </c>
      <c r="C3220" s="4" t="s">
        <v>14129</v>
      </c>
      <c r="D3220" s="1" t="s">
        <v>14130</v>
      </c>
      <c r="E3220" s="1" t="s">
        <v>14131</v>
      </c>
      <c r="F3220" s="4" t="s">
        <v>17</v>
      </c>
      <c r="G3220" s="1" t="s">
        <v>18</v>
      </c>
      <c r="H3220" s="1" t="s">
        <v>19</v>
      </c>
      <c r="I3220" s="1" t="s">
        <v>20</v>
      </c>
      <c r="J3220" s="1" t="s">
        <v>14132</v>
      </c>
      <c r="K3220" s="1" t="s">
        <v>22</v>
      </c>
      <c r="L3220" s="1" t="str">
        <f>HYPERLINK("https://files.afu.se/Downloads/Transcripts/0%20-%20Government/USA%20-%20NASA%20Johnson/2011 09 22 - NASA Johnson - Hurricane Irene Hits the U.S._2mA1lx_019g - transcript (automated).pdf","Transcript Link")</f>
        <v>Transcript Link</v>
      </c>
      <c r="M3220" s="2" t="str">
        <f>HYPERLINK("https://files.afu.se/Downloads/Transcripts/0%20-%20Government/USA%20-%20NASA%20Johnson/2011 09 22 - NASA Johnson - Hurricane Irene Hits the U.S._2mA1lx_019g - transcript (automated).pdf","Transcript Link")</f>
        <v>Transcript Link</v>
      </c>
    </row>
    <row r="3221" ht="180" spans="1:13">
      <c r="A3221" s="1" t="s">
        <v>14120</v>
      </c>
      <c r="B3221" s="1" t="s">
        <v>13</v>
      </c>
      <c r="C3221" s="4" t="s">
        <v>14133</v>
      </c>
      <c r="D3221" s="1" t="s">
        <v>14134</v>
      </c>
      <c r="E3221" s="1" t="s">
        <v>14135</v>
      </c>
      <c r="F3221" s="4" t="s">
        <v>17</v>
      </c>
      <c r="G3221" s="1" t="s">
        <v>18</v>
      </c>
      <c r="H3221" s="1" t="s">
        <v>19</v>
      </c>
      <c r="I3221" s="1" t="s">
        <v>20</v>
      </c>
      <c r="J3221" s="1" t="s">
        <v>14136</v>
      </c>
      <c r="K3221" s="1" t="s">
        <v>22</v>
      </c>
      <c r="L3221" s="1" t="str">
        <f>HYPERLINK("https://files.afu.se/Downloads/Transcripts/0%20-%20Government/USA%20-%20NASA%20Johnson/2011 09 22 - NASA Johnson - Cuba and the Bahamas_cC7khEUs4-U - transcript (automated).pdf","Transcript Link")</f>
        <v>Transcript Link</v>
      </c>
      <c r="M3221" s="2" t="str">
        <f>HYPERLINK("https://files.afu.se/Downloads/Transcripts/0%20-%20Government/USA%20-%20NASA%20Johnson/2011 09 22 - NASA Johnson - Cuba and the Bahamas_cC7khEUs4-U - transcript (automated).pdf","Transcript Link")</f>
        <v>Transcript Link</v>
      </c>
    </row>
    <row r="3222" ht="180" spans="1:13">
      <c r="A3222" s="1" t="s">
        <v>14120</v>
      </c>
      <c r="B3222" s="1" t="s">
        <v>13</v>
      </c>
      <c r="C3222" s="4" t="s">
        <v>14137</v>
      </c>
      <c r="D3222" s="1" t="s">
        <v>14138</v>
      </c>
      <c r="E3222" s="1" t="s">
        <v>14139</v>
      </c>
      <c r="F3222" s="4" t="s">
        <v>17</v>
      </c>
      <c r="G3222" s="1" t="s">
        <v>18</v>
      </c>
      <c r="H3222" s="1" t="s">
        <v>19</v>
      </c>
      <c r="I3222" s="1" t="s">
        <v>20</v>
      </c>
      <c r="J3222" s="1" t="s">
        <v>14140</v>
      </c>
      <c r="K3222" s="1" t="s">
        <v>22</v>
      </c>
      <c r="L3222" s="1" t="str">
        <f>HYPERLINK("https://files.afu.se/Downloads/Transcripts/0%20-%20Government/USA%20-%20NASA%20Johnson/2011 09 22 - NASA Johnson - Northwest Coast of United States to Central South America at Night_h50Ky6sN8FI - transcript (automated).pdf","Transcript Link")</f>
        <v>Transcript Link</v>
      </c>
      <c r="M3222" s="2" t="str">
        <f>HYPERLINK("https://files.afu.se/Downloads/Transcripts/0%20-%20Government/USA%20-%20NASA%20Johnson/2011 09 22 - NASA Johnson - Northwest Coast of United States to Central South America at Night_h50Ky6sN8FI - transcript (automated).pdf","Transcript Link")</f>
        <v>Transcript Link</v>
      </c>
    </row>
    <row r="3223" ht="180" spans="1:13">
      <c r="A3223" s="1" t="s">
        <v>14120</v>
      </c>
      <c r="B3223" s="1" t="s">
        <v>13</v>
      </c>
      <c r="C3223" s="4" t="s">
        <v>14141</v>
      </c>
      <c r="D3223" s="1" t="s">
        <v>14142</v>
      </c>
      <c r="E3223" s="1" t="s">
        <v>14143</v>
      </c>
      <c r="F3223" s="4" t="s">
        <v>17</v>
      </c>
      <c r="G3223" s="1" t="s">
        <v>18</v>
      </c>
      <c r="H3223" s="1" t="s">
        <v>19</v>
      </c>
      <c r="I3223" s="1" t="s">
        <v>20</v>
      </c>
      <c r="J3223" s="1" t="s">
        <v>14144</v>
      </c>
      <c r="K3223" s="1" t="s">
        <v>22</v>
      </c>
      <c r="L3223" s="1" t="str">
        <f>HYPERLINK("https://files.afu.se/Downloads/Transcripts/0%20-%20Government/USA%20-%20NASA%20Johnson/2011 09 22 - NASA Johnson - Aurora Australis From Madagascar to Northern Australia_Vohdz0rzdGs - transcript (automated).pdf","Transcript Link")</f>
        <v>Transcript Link</v>
      </c>
      <c r="M3223" s="2" t="str">
        <f>HYPERLINK("https://files.afu.se/Downloads/Transcripts/0%20-%20Government/USA%20-%20NASA%20Johnson/2011 09 22 - NASA Johnson - Aurora Australis From Madagascar to Northern Australia_Vohdz0rzdGs - transcript (automated).pdf","Transcript Link")</f>
        <v>Transcript Link</v>
      </c>
    </row>
    <row r="3224" ht="180" spans="1:13">
      <c r="A3224" s="1" t="s">
        <v>14120</v>
      </c>
      <c r="B3224" s="1" t="s">
        <v>13</v>
      </c>
      <c r="C3224" s="4" t="s">
        <v>14145</v>
      </c>
      <c r="D3224" s="1" t="s">
        <v>14146</v>
      </c>
      <c r="E3224" s="1" t="s">
        <v>14147</v>
      </c>
      <c r="F3224" s="4" t="s">
        <v>17</v>
      </c>
      <c r="G3224" s="1" t="s">
        <v>18</v>
      </c>
      <c r="H3224" s="1" t="s">
        <v>19</v>
      </c>
      <c r="I3224" s="1" t="s">
        <v>20</v>
      </c>
      <c r="J3224" s="1" t="s">
        <v>14148</v>
      </c>
      <c r="K3224" s="1" t="s">
        <v>22</v>
      </c>
      <c r="L3224" s="1" t="str">
        <f>HYPERLINK("https://files.afu.se/Downloads/Transcripts/0%20-%20Government/USA%20-%20NASA%20Johnson/2011 09 22 - NASA Johnson - Aurora Australis Over Indian Ocean_FwtptrZzQak - transcript (automated).pdf","Transcript Link")</f>
        <v>Transcript Link</v>
      </c>
      <c r="M3224" s="2" t="str">
        <f>HYPERLINK("https://files.afu.se/Downloads/Transcripts/0%20-%20Government/USA%20-%20NASA%20Johnson/2011 09 22 - NASA Johnson - Aurora Australis Over Indian Ocean_FwtptrZzQak - transcript (automated).pdf","Transcript Link")</f>
        <v>Transcript Link</v>
      </c>
    </row>
    <row r="3225" ht="180" spans="1:13">
      <c r="A3225" s="1" t="s">
        <v>14120</v>
      </c>
      <c r="B3225" s="1" t="s">
        <v>13</v>
      </c>
      <c r="C3225" s="4" t="s">
        <v>14149</v>
      </c>
      <c r="D3225" s="1" t="s">
        <v>14150</v>
      </c>
      <c r="E3225" s="1" t="s">
        <v>14151</v>
      </c>
      <c r="F3225" s="4" t="s">
        <v>17</v>
      </c>
      <c r="G3225" s="1" t="s">
        <v>18</v>
      </c>
      <c r="H3225" s="1" t="s">
        <v>19</v>
      </c>
      <c r="I3225" s="1" t="s">
        <v>20</v>
      </c>
      <c r="J3225" s="1" t="s">
        <v>14152</v>
      </c>
      <c r="K3225" s="1" t="s">
        <v>22</v>
      </c>
      <c r="L3225" s="1" t="str">
        <f>HYPERLINK("https://files.afu.se/Downloads/Transcripts/0%20-%20Government/USA%20-%20NASA%20Johnson/2011 09 22 - NASA Johnson - Southern Lights From Eastern Australia to Eastern New Zealand_9xxoESx8iFc - transcript (automated).pdf","Transcript Link")</f>
        <v>Transcript Link</v>
      </c>
      <c r="M3225" s="2" t="str">
        <f>HYPERLINK("https://files.afu.se/Downloads/Transcripts/0%20-%20Government/USA%20-%20NASA%20Johnson/2011 09 22 - NASA Johnson - Southern Lights From Eastern Australia to Eastern New Zealand_9xxoESx8iFc - transcript (automated).pdf","Transcript Link")</f>
        <v>Transcript Link</v>
      </c>
    </row>
    <row r="3226" ht="180" spans="1:13">
      <c r="A3226" s="1" t="s">
        <v>14120</v>
      </c>
      <c r="B3226" s="1" t="s">
        <v>13</v>
      </c>
      <c r="C3226" s="4" t="s">
        <v>14153</v>
      </c>
      <c r="D3226" s="1" t="s">
        <v>14154</v>
      </c>
      <c r="E3226" s="1" t="s">
        <v>14155</v>
      </c>
      <c r="F3226" s="4" t="s">
        <v>17</v>
      </c>
      <c r="G3226" s="1" t="s">
        <v>18</v>
      </c>
      <c r="H3226" s="1" t="s">
        <v>19</v>
      </c>
      <c r="I3226" s="1" t="s">
        <v>20</v>
      </c>
      <c r="J3226" s="1" t="s">
        <v>14156</v>
      </c>
      <c r="K3226" s="1" t="s">
        <v>22</v>
      </c>
      <c r="L3226" s="1" t="str">
        <f>HYPERLINK("https://files.afu.se/Downloads/Transcripts/0%20-%20Government/USA%20-%20NASA%20Johnson/2011 09 22 - NASA Johnson - Pass Over Eastern Asia to Philippine Sea and Guam_MH85D7oOnvw - transcript (automated).pdf","Transcript Link")</f>
        <v>Transcript Link</v>
      </c>
      <c r="M3226" s="2" t="str">
        <f>HYPERLINK("https://files.afu.se/Downloads/Transcripts/0%20-%20Government/USA%20-%20NASA%20Johnson/2011 09 22 - NASA Johnson - Pass Over Eastern Asia to Philippine Sea and Guam_MH85D7oOnvw - transcript (automated).pdf","Transcript Link")</f>
        <v>Transcript Link</v>
      </c>
    </row>
    <row r="3227" ht="180" spans="1:13">
      <c r="A3227" s="1" t="s">
        <v>14120</v>
      </c>
      <c r="B3227" s="1" t="s">
        <v>13</v>
      </c>
      <c r="C3227" s="4" t="s">
        <v>14157</v>
      </c>
      <c r="D3227" s="1" t="s">
        <v>14158</v>
      </c>
      <c r="E3227" s="1" t="s">
        <v>14159</v>
      </c>
      <c r="F3227" s="4" t="s">
        <v>17</v>
      </c>
      <c r="G3227" s="1" t="s">
        <v>18</v>
      </c>
      <c r="H3227" s="1" t="s">
        <v>19</v>
      </c>
      <c r="I3227" s="1" t="s">
        <v>20</v>
      </c>
      <c r="J3227" s="1" t="s">
        <v>14160</v>
      </c>
      <c r="K3227" s="1" t="s">
        <v>22</v>
      </c>
      <c r="L3227" s="1" t="str">
        <f>HYPERLINK("https://files.afu.se/Downloads/Transcripts/0%20-%20Government/USA%20-%20NASA%20Johnson/2011 09 22 - NASA Johnson - Africa, the Mideast, and the Terminator Line__2UKwOaFxko - transcript (automated).pdf","Transcript Link")</f>
        <v>Transcript Link</v>
      </c>
      <c r="M3227" s="2" t="str">
        <f>HYPERLINK("https://files.afu.se/Downloads/Transcripts/0%20-%20Government/USA%20-%20NASA%20Johnson/2011 09 22 - NASA Johnson - Africa, the Mideast, and the Terminator Line__2UKwOaFxko - transcript (automated).pdf","Transcript Link")</f>
        <v>Transcript Link</v>
      </c>
    </row>
    <row r="3228" ht="180" spans="1:13">
      <c r="A3228" s="1" t="s">
        <v>14120</v>
      </c>
      <c r="B3228" s="1" t="s">
        <v>13</v>
      </c>
      <c r="C3228" s="4" t="s">
        <v>14161</v>
      </c>
      <c r="D3228" s="1" t="s">
        <v>14162</v>
      </c>
      <c r="E3228" s="1" t="s">
        <v>14163</v>
      </c>
      <c r="F3228" s="4" t="s">
        <v>17</v>
      </c>
      <c r="G3228" s="1" t="s">
        <v>18</v>
      </c>
      <c r="H3228" s="1" t="s">
        <v>19</v>
      </c>
      <c r="I3228" s="1" t="s">
        <v>20</v>
      </c>
      <c r="J3228" s="1" t="s">
        <v>14164</v>
      </c>
      <c r="K3228" s="1" t="s">
        <v>22</v>
      </c>
      <c r="L3228" s="1" t="str">
        <f>HYPERLINK("https://files.afu.se/Downloads/Transcripts/0%20-%20Government/USA%20-%20NASA%20Johnson/2011 09 22 - NASA Johnson - ISS Update - Sept. 22, 2011_jdtQuTwF1i8 - transcript (automated).pdf","Transcript Link")</f>
        <v>Transcript Link</v>
      </c>
      <c r="M3228" s="2" t="str">
        <f>HYPERLINK("https://files.afu.se/Downloads/Transcripts/0%20-%20Government/USA%20-%20NASA%20Johnson/2011 09 22 - NASA Johnson - ISS Update - Sept. 22, 2011_jdtQuTwF1i8 - transcript (automated).pdf","Transcript Link")</f>
        <v>Transcript Link</v>
      </c>
    </row>
    <row r="3229" ht="180" spans="1:13">
      <c r="A3229" s="1" t="s">
        <v>14165</v>
      </c>
      <c r="B3229" s="1" t="s">
        <v>13</v>
      </c>
      <c r="C3229" s="4" t="s">
        <v>14166</v>
      </c>
      <c r="D3229" s="1" t="s">
        <v>14167</v>
      </c>
      <c r="E3229" s="1" t="s">
        <v>14155</v>
      </c>
      <c r="F3229" s="4" t="s">
        <v>17</v>
      </c>
      <c r="G3229" s="1" t="s">
        <v>18</v>
      </c>
      <c r="H3229" s="1" t="s">
        <v>19</v>
      </c>
      <c r="I3229" s="1" t="s">
        <v>20</v>
      </c>
      <c r="J3229" s="1" t="s">
        <v>14168</v>
      </c>
      <c r="K3229" s="1" t="s">
        <v>22</v>
      </c>
      <c r="L3229" s="1" t="str">
        <f>HYPERLINK("https://files.afu.se/Downloads/Transcripts/0%20-%20Government/USA%20-%20NASA%20Johnson/2011 09 21 - NASA Johnson - Pass over Eastern Asia to Philippine Sea and Guam_nCNVGwkL7DE - transcript (automated).pdf","Transcript Link")</f>
        <v>Transcript Link</v>
      </c>
      <c r="M3229" s="2" t="str">
        <f>HYPERLINK("https://files.afu.se/Downloads/Transcripts/0%20-%20Government/USA%20-%20NASA%20Johnson/2011 09 21 - NASA Johnson - Pass over Eastern Asia to Philippine Sea and Guam_nCNVGwkL7DE - transcript (automated).pdf","Transcript Link")</f>
        <v>Transcript Link</v>
      </c>
    </row>
    <row r="3230" ht="180" spans="1:13">
      <c r="A3230" s="1" t="s">
        <v>14165</v>
      </c>
      <c r="B3230" s="1" t="s">
        <v>13</v>
      </c>
      <c r="C3230" s="4" t="s">
        <v>14169</v>
      </c>
      <c r="D3230" s="1" t="s">
        <v>14170</v>
      </c>
      <c r="E3230" s="1" t="s">
        <v>14127</v>
      </c>
      <c r="F3230" s="4" t="s">
        <v>17</v>
      </c>
      <c r="G3230" s="1" t="s">
        <v>18</v>
      </c>
      <c r="H3230" s="1" t="s">
        <v>19</v>
      </c>
      <c r="I3230" s="1" t="s">
        <v>20</v>
      </c>
      <c r="J3230" s="1" t="s">
        <v>14171</v>
      </c>
      <c r="K3230" s="1" t="s">
        <v>22</v>
      </c>
      <c r="L3230" s="1" t="str">
        <f>HYPERLINK("https://files.afu.se/Downloads/Transcripts/0%20-%20Government/USA%20-%20NASA%20Johnson/2011 09 21 - NASA Johnson - ISS pass over Southern California to Hudson Bay_a74Q-QCVs70 - transcript (automated).pdf","Transcript Link")</f>
        <v>Transcript Link</v>
      </c>
      <c r="M3230" s="2" t="str">
        <f>HYPERLINK("https://files.afu.se/Downloads/Transcripts/0%20-%20Government/USA%20-%20NASA%20Johnson/2011 09 21 - NASA Johnson - ISS pass over Southern California to Hudson Bay_a74Q-QCVs70 - transcript (automated).pdf","Transcript Link")</f>
        <v>Transcript Link</v>
      </c>
    </row>
    <row r="3231" ht="180" spans="1:13">
      <c r="A3231" s="1" t="s">
        <v>14165</v>
      </c>
      <c r="B3231" s="1" t="s">
        <v>13</v>
      </c>
      <c r="C3231" s="4" t="s">
        <v>14172</v>
      </c>
      <c r="D3231" s="1" t="s">
        <v>14173</v>
      </c>
      <c r="E3231" s="1" t="s">
        <v>14143</v>
      </c>
      <c r="F3231" s="4" t="s">
        <v>17</v>
      </c>
      <c r="G3231" s="1" t="s">
        <v>18</v>
      </c>
      <c r="H3231" s="1" t="s">
        <v>19</v>
      </c>
      <c r="I3231" s="1" t="s">
        <v>20</v>
      </c>
      <c r="J3231" s="1" t="s">
        <v>14174</v>
      </c>
      <c r="K3231" s="1" t="s">
        <v>22</v>
      </c>
      <c r="L3231" s="1" t="str">
        <f>HYPERLINK("https://files.afu.se/Downloads/Transcripts/0%20-%20Government/USA%20-%20NASA%20Johnson/2011 09 21 - NASA Johnson - Aurora Australis_QmQrRC6lerk - transcript (automated).pdf","Transcript Link")</f>
        <v>Transcript Link</v>
      </c>
      <c r="M3231" s="2" t="str">
        <f>HYPERLINK("https://files.afu.se/Downloads/Transcripts/0%20-%20Government/USA%20-%20NASA%20Johnson/2011 09 21 - NASA Johnson - Aurora Australis_QmQrRC6lerk - transcript (automated).pdf","Transcript Link")</f>
        <v>Transcript Link</v>
      </c>
    </row>
    <row r="3232" ht="180" spans="1:13">
      <c r="A3232" s="1" t="s">
        <v>14165</v>
      </c>
      <c r="B3232" s="1" t="s">
        <v>13</v>
      </c>
      <c r="C3232" s="4" t="s">
        <v>14175</v>
      </c>
      <c r="D3232" s="1" t="s">
        <v>14176</v>
      </c>
      <c r="E3232" s="1" t="s">
        <v>14177</v>
      </c>
      <c r="F3232" s="4" t="s">
        <v>17</v>
      </c>
      <c r="G3232" s="1" t="s">
        <v>18</v>
      </c>
      <c r="H3232" s="1" t="s">
        <v>19</v>
      </c>
      <c r="I3232" s="1" t="s">
        <v>20</v>
      </c>
      <c r="J3232" s="1" t="s">
        <v>14178</v>
      </c>
      <c r="K3232" s="1" t="s">
        <v>22</v>
      </c>
      <c r="L3232" s="1" t="str">
        <f>HYPERLINK("https://files.afu.se/Downloads/Transcripts/0%20-%20Government/USA%20-%20NASA%20Johnson/2011 09 21 - NASA Johnson - ISS Update - Sept. 21, 2011_pSze4gbaL-8 - transcript (automated).pdf","Transcript Link")</f>
        <v>Transcript Link</v>
      </c>
      <c r="M3232" s="2" t="str">
        <f>HYPERLINK("https://files.afu.se/Downloads/Transcripts/0%20-%20Government/USA%20-%20NASA%20Johnson/2011 09 21 - NASA Johnson - ISS Update - Sept. 21, 2011_pSze4gbaL-8 - transcript (automated).pdf","Transcript Link")</f>
        <v>Transcript Link</v>
      </c>
    </row>
    <row r="3233" ht="180" spans="1:13">
      <c r="A3233" s="1" t="s">
        <v>14179</v>
      </c>
      <c r="B3233" s="1" t="s">
        <v>13</v>
      </c>
      <c r="C3233" s="4" t="s">
        <v>14180</v>
      </c>
      <c r="D3233" s="1" t="s">
        <v>14181</v>
      </c>
      <c r="E3233" s="1" t="s">
        <v>14182</v>
      </c>
      <c r="F3233" s="4" t="s">
        <v>17</v>
      </c>
      <c r="G3233" s="1" t="s">
        <v>18</v>
      </c>
      <c r="H3233" s="1" t="s">
        <v>19</v>
      </c>
      <c r="I3233" s="1" t="s">
        <v>20</v>
      </c>
      <c r="J3233" s="1" t="s">
        <v>14183</v>
      </c>
      <c r="K3233" s="1" t="s">
        <v>22</v>
      </c>
      <c r="L3233" s="1" t="str">
        <f>HYPERLINK("https://files.afu.se/Downloads/Transcripts/0%20-%20Government/USA%20-%20NASA%20Johnson/2011 09 20 - NASA Johnson - Station Assembly Animation_vgfWH3g9kpY - transcript (automated).pdf","Transcript Link")</f>
        <v>Transcript Link</v>
      </c>
      <c r="M3233" s="2" t="str">
        <f>HYPERLINK("https://files.afu.se/Downloads/Transcripts/0%20-%20Government/USA%20-%20NASA%20Johnson/2011 09 20 - NASA Johnson - Station Assembly Animation_vgfWH3g9kpY - transcript (automated).pdf","Transcript Link")</f>
        <v>Transcript Link</v>
      </c>
    </row>
    <row r="3234" ht="180" spans="1:13">
      <c r="A3234" s="1" t="s">
        <v>14179</v>
      </c>
      <c r="B3234" s="1" t="s">
        <v>13</v>
      </c>
      <c r="C3234" s="4" t="s">
        <v>14184</v>
      </c>
      <c r="D3234" s="1" t="s">
        <v>14185</v>
      </c>
      <c r="E3234" s="1" t="s">
        <v>14186</v>
      </c>
      <c r="F3234" s="4" t="s">
        <v>17</v>
      </c>
      <c r="G3234" s="1" t="s">
        <v>18</v>
      </c>
      <c r="H3234" s="1" t="s">
        <v>19</v>
      </c>
      <c r="I3234" s="1" t="s">
        <v>20</v>
      </c>
      <c r="J3234" s="1" t="s">
        <v>14187</v>
      </c>
      <c r="K3234" s="1" t="s">
        <v>22</v>
      </c>
      <c r="L3234" s="1" t="str">
        <f>HYPERLINK("https://files.afu.se/Downloads/Transcripts/0%20-%20Government/USA%20-%20NASA%20Johnson/2011 09 20 - NASA Johnson - Destination  Station -- Denver 2011_zdE6nmci64Q - transcript (automated).pdf","Transcript Link")</f>
        <v>Transcript Link</v>
      </c>
      <c r="M3234" s="2" t="str">
        <f>HYPERLINK("https://files.afu.se/Downloads/Transcripts/0%20-%20Government/USA%20-%20NASA%20Johnson/2011 09 20 - NASA Johnson - Destination  Station -- Denver 2011_zdE6nmci64Q - transcript (automated).pdf","Transcript Link")</f>
        <v>Transcript Link</v>
      </c>
    </row>
    <row r="3235" ht="180" spans="1:13">
      <c r="A3235" s="1" t="s">
        <v>14179</v>
      </c>
      <c r="B3235" s="1" t="s">
        <v>13</v>
      </c>
      <c r="C3235" s="4" t="s">
        <v>14188</v>
      </c>
      <c r="D3235" s="1" t="s">
        <v>14189</v>
      </c>
      <c r="E3235" s="1" t="s">
        <v>14190</v>
      </c>
      <c r="F3235" s="4" t="s">
        <v>17</v>
      </c>
      <c r="G3235" s="1" t="s">
        <v>18</v>
      </c>
      <c r="H3235" s="1" t="s">
        <v>19</v>
      </c>
      <c r="I3235" s="1" t="s">
        <v>20</v>
      </c>
      <c r="J3235" s="1" t="s">
        <v>14191</v>
      </c>
      <c r="K3235" s="1" t="s">
        <v>22</v>
      </c>
      <c r="L3235" s="1" t="str">
        <f>HYPERLINK("https://files.afu.se/Downloads/Transcripts/0%20-%20Government/USA%20-%20NASA%20Johnson/2011 09 20 - NASA Johnson - ISS Update - Sept. 20, 2011_MchUnQpmTCo - transcript (automated).pdf","Transcript Link")</f>
        <v>Transcript Link</v>
      </c>
      <c r="M3235" s="2" t="str">
        <f>HYPERLINK("https://files.afu.se/Downloads/Transcripts/0%20-%20Government/USA%20-%20NASA%20Johnson/2011 09 20 - NASA Johnson - ISS Update - Sept. 20, 2011_MchUnQpmTCo - transcript (automated).pdf","Transcript Link")</f>
        <v>Transcript Link</v>
      </c>
    </row>
    <row r="3236" ht="180" spans="1:13">
      <c r="A3236" s="1" t="s">
        <v>14192</v>
      </c>
      <c r="B3236" s="1" t="s">
        <v>13</v>
      </c>
      <c r="C3236" s="4" t="s">
        <v>14193</v>
      </c>
      <c r="D3236" s="1" t="s">
        <v>14194</v>
      </c>
      <c r="E3236" s="1" t="s">
        <v>14195</v>
      </c>
      <c r="F3236" s="4" t="s">
        <v>17</v>
      </c>
      <c r="G3236" s="1" t="s">
        <v>18</v>
      </c>
      <c r="H3236" s="1" t="s">
        <v>19</v>
      </c>
      <c r="I3236" s="1" t="s">
        <v>20</v>
      </c>
      <c r="J3236" s="1" t="s">
        <v>14196</v>
      </c>
      <c r="K3236" s="1" t="s">
        <v>22</v>
      </c>
      <c r="L3236" s="1" t="str">
        <f>HYPERLINK("https://files.afu.se/Downloads/Transcripts/0%20-%20Government/USA%20-%20NASA%20Johnson/2011 09 19 - NASA Johnson - ISS Update - Sept. 19, 2011_UYs-akyPq6U - transcript (automated).pdf","Transcript Link")</f>
        <v>Transcript Link</v>
      </c>
      <c r="M3236" s="2" t="str">
        <f>HYPERLINK("https://files.afu.se/Downloads/Transcripts/0%20-%20Government/USA%20-%20NASA%20Johnson/2011 09 19 - NASA Johnson - ISS Update - Sept. 19, 2011_UYs-akyPq6U - transcript (automated).pdf","Transcript Link")</f>
        <v>Transcript Link</v>
      </c>
    </row>
    <row r="3237" ht="180" spans="1:13">
      <c r="A3237" s="1" t="s">
        <v>14197</v>
      </c>
      <c r="B3237" s="1" t="s">
        <v>13</v>
      </c>
      <c r="C3237" s="4" t="s">
        <v>14198</v>
      </c>
      <c r="D3237" s="1" t="s">
        <v>14199</v>
      </c>
      <c r="E3237" s="1" t="s">
        <v>14200</v>
      </c>
      <c r="F3237" s="4" t="s">
        <v>17</v>
      </c>
      <c r="G3237" s="1" t="s">
        <v>18</v>
      </c>
      <c r="H3237" s="1" t="s">
        <v>19</v>
      </c>
      <c r="I3237" s="1" t="s">
        <v>20</v>
      </c>
      <c r="J3237" s="1" t="s">
        <v>14201</v>
      </c>
      <c r="K3237" s="1" t="s">
        <v>22</v>
      </c>
      <c r="L3237" s="1" t="str">
        <f>HYPERLINK("https://files.afu.se/Downloads/Transcripts/0%20-%20Government/USA%20-%20NASA%20Johnson/2011 09 16 - NASA Johnson - ISS Update - Sept. 16, 2011_L1jC5W1cT5I - transcript (automated).pdf","Transcript Link")</f>
        <v>Transcript Link</v>
      </c>
      <c r="M3237" s="2" t="str">
        <f>HYPERLINK("https://files.afu.se/Downloads/Transcripts/0%20-%20Government/USA%20-%20NASA%20Johnson/2011 09 16 - NASA Johnson - ISS Update - Sept. 16, 2011_L1jC5W1cT5I - transcript (automated).pdf","Transcript Link")</f>
        <v>Transcript Link</v>
      </c>
    </row>
    <row r="3238" ht="180" spans="1:13">
      <c r="A3238" s="1" t="s">
        <v>14197</v>
      </c>
      <c r="B3238" s="1" t="s">
        <v>13</v>
      </c>
      <c r="C3238" s="4" t="s">
        <v>14202</v>
      </c>
      <c r="D3238" s="1" t="s">
        <v>14203</v>
      </c>
      <c r="E3238" s="1" t="s">
        <v>14204</v>
      </c>
      <c r="F3238" s="4" t="s">
        <v>17</v>
      </c>
      <c r="G3238" s="1" t="s">
        <v>18</v>
      </c>
      <c r="H3238" s="1" t="s">
        <v>19</v>
      </c>
      <c r="I3238" s="1" t="s">
        <v>20</v>
      </c>
      <c r="J3238" s="1" t="s">
        <v>14205</v>
      </c>
      <c r="K3238" s="1" t="s">
        <v>22</v>
      </c>
      <c r="L3238" s="1" t="str">
        <f>HYPERLINK("https://files.afu.se/Downloads/Transcripts/0%20-%20Government/USA%20-%20NASA%20Johnson/2011 09 16 - NASA Johnson - Expedition 28 Crew Lands Safely_5BBPtc2W7gA - transcript (automated).pdf","Transcript Link")</f>
        <v>Transcript Link</v>
      </c>
      <c r="M3238" s="2" t="str">
        <f>HYPERLINK("https://files.afu.se/Downloads/Transcripts/0%20-%20Government/USA%20-%20NASA%20Johnson/2011 09 16 - NASA Johnson - Expedition 28 Crew Lands Safely_5BBPtc2W7gA - transcript (automated).pdf","Transcript Link")</f>
        <v>Transcript Link</v>
      </c>
    </row>
    <row r="3239" ht="180" spans="1:13">
      <c r="A3239" s="1" t="s">
        <v>14197</v>
      </c>
      <c r="B3239" s="1" t="s">
        <v>13</v>
      </c>
      <c r="C3239" s="4" t="s">
        <v>14206</v>
      </c>
      <c r="D3239" s="1" t="s">
        <v>14207</v>
      </c>
      <c r="E3239" s="1" t="s">
        <v>14208</v>
      </c>
      <c r="F3239" s="4" t="s">
        <v>17</v>
      </c>
      <c r="G3239" s="1" t="s">
        <v>18</v>
      </c>
      <c r="H3239" s="1" t="s">
        <v>19</v>
      </c>
      <c r="I3239" s="1" t="s">
        <v>20</v>
      </c>
      <c r="J3239" s="1" t="s">
        <v>14209</v>
      </c>
      <c r="K3239" s="1" t="s">
        <v>22</v>
      </c>
      <c r="L3239" s="1" t="str">
        <f>HYPERLINK("https://files.afu.se/Downloads/Transcripts/0%20-%20Government/USA%20-%20NASA%20Johnson/2011 09 16 - NASA Johnson - Expedition 28 Crew Undocks from Station_OWIBOB7ZJeQ - transcript (automated).pdf","Transcript Link")</f>
        <v>Transcript Link</v>
      </c>
      <c r="M3239" s="2" t="str">
        <f>HYPERLINK("https://files.afu.se/Downloads/Transcripts/0%20-%20Government/USA%20-%20NASA%20Johnson/2011 09 16 - NASA Johnson - Expedition 28 Crew Undocks from Station_OWIBOB7ZJeQ - transcript (automated).pdf","Transcript Link")</f>
        <v>Transcript Link</v>
      </c>
    </row>
    <row r="3240" ht="180" spans="1:13">
      <c r="A3240" s="1" t="s">
        <v>14197</v>
      </c>
      <c r="B3240" s="1" t="s">
        <v>13</v>
      </c>
      <c r="C3240" s="4" t="s">
        <v>14210</v>
      </c>
      <c r="D3240" s="1" t="s">
        <v>14211</v>
      </c>
      <c r="E3240" s="1" t="s">
        <v>14212</v>
      </c>
      <c r="F3240" s="4" t="s">
        <v>17</v>
      </c>
      <c r="G3240" s="1" t="s">
        <v>18</v>
      </c>
      <c r="H3240" s="1" t="s">
        <v>19</v>
      </c>
      <c r="I3240" s="1" t="s">
        <v>20</v>
      </c>
      <c r="J3240" s="1" t="s">
        <v>14213</v>
      </c>
      <c r="K3240" s="1" t="s">
        <v>22</v>
      </c>
      <c r="L3240" s="1" t="str">
        <f>HYPERLINK("https://files.afu.se/Downloads/Transcripts/0%20-%20Government/USA%20-%20NASA%20Johnson/2011 09 16 - NASA Johnson - Expedition 28 Farewell and Hatch Closure_AwDZ9EJNKMY - transcript (automated).pdf","Transcript Link")</f>
        <v>Transcript Link</v>
      </c>
      <c r="M3240" s="2" t="str">
        <f>HYPERLINK("https://files.afu.se/Downloads/Transcripts/0%20-%20Government/USA%20-%20NASA%20Johnson/2011 09 16 - NASA Johnson - Expedition 28 Farewell and Hatch Closure_AwDZ9EJNKMY - transcript (automated).pdf","Transcript Link")</f>
        <v>Transcript Link</v>
      </c>
    </row>
    <row r="3241" ht="180" spans="1:13">
      <c r="A3241" s="1" t="s">
        <v>14214</v>
      </c>
      <c r="B3241" s="1" t="s">
        <v>13</v>
      </c>
      <c r="C3241" s="4" t="s">
        <v>14215</v>
      </c>
      <c r="D3241" s="1" t="s">
        <v>14216</v>
      </c>
      <c r="E3241" s="1" t="s">
        <v>14217</v>
      </c>
      <c r="F3241" s="4" t="s">
        <v>17</v>
      </c>
      <c r="G3241" s="1" t="s">
        <v>18</v>
      </c>
      <c r="H3241" s="1" t="s">
        <v>19</v>
      </c>
      <c r="I3241" s="1" t="s">
        <v>20</v>
      </c>
      <c r="J3241" s="1" t="s">
        <v>14218</v>
      </c>
      <c r="K3241" s="1" t="s">
        <v>22</v>
      </c>
      <c r="L3241" s="1" t="str">
        <f>HYPERLINK("https://files.afu.se/Downloads/Transcripts/0%20-%20Government/USA%20-%20NASA%20Johnson/2011 09 15 - NASA Johnson - ISS Update - Sept. 15, 2011_0IPmvjMsoPw - transcript (automated).pdf","Transcript Link")</f>
        <v>Transcript Link</v>
      </c>
      <c r="M3241" s="2" t="str">
        <f>HYPERLINK("https://files.afu.se/Downloads/Transcripts/0%20-%20Government/USA%20-%20NASA%20Johnson/2011 09 15 - NASA Johnson - ISS Update - Sept. 15, 2011_0IPmvjMsoPw - transcript (automated).pdf","Transcript Link")</f>
        <v>Transcript Link</v>
      </c>
    </row>
    <row r="3242" ht="180" spans="1:13">
      <c r="A3242" s="1" t="s">
        <v>14219</v>
      </c>
      <c r="B3242" s="1" t="s">
        <v>13</v>
      </c>
      <c r="C3242" s="4" t="s">
        <v>14220</v>
      </c>
      <c r="D3242" s="1" t="s">
        <v>14221</v>
      </c>
      <c r="E3242" s="1" t="s">
        <v>14222</v>
      </c>
      <c r="F3242" s="4" t="s">
        <v>17</v>
      </c>
      <c r="G3242" s="1" t="s">
        <v>18</v>
      </c>
      <c r="H3242" s="1" t="s">
        <v>19</v>
      </c>
      <c r="I3242" s="1" t="s">
        <v>20</v>
      </c>
      <c r="J3242" s="1" t="s">
        <v>14223</v>
      </c>
      <c r="K3242" s="1" t="s">
        <v>22</v>
      </c>
      <c r="L3242" s="1" t="str">
        <f>HYPERLINK("https://files.afu.se/Downloads/Transcripts/0%20-%20Government/USA%20-%20NASA%20Johnson/2011 09 14 - NASA Johnson - Borisenko Hands Over Command to Fossum_9m4uhL9HUMk - transcript (automated).pdf","Transcript Link")</f>
        <v>Transcript Link</v>
      </c>
      <c r="M3242" s="2" t="str">
        <f>HYPERLINK("https://files.afu.se/Downloads/Transcripts/0%20-%20Government/USA%20-%20NASA%20Johnson/2011 09 14 - NASA Johnson - Borisenko Hands Over Command to Fossum_9m4uhL9HUMk - transcript (automated).pdf","Transcript Link")</f>
        <v>Transcript Link</v>
      </c>
    </row>
    <row r="3243" ht="180" spans="1:13">
      <c r="A3243" s="1" t="s">
        <v>14219</v>
      </c>
      <c r="B3243" s="1" t="s">
        <v>13</v>
      </c>
      <c r="C3243" s="4" t="s">
        <v>14224</v>
      </c>
      <c r="D3243" s="1" t="s">
        <v>14225</v>
      </c>
      <c r="E3243" s="1" t="s">
        <v>14226</v>
      </c>
      <c r="F3243" s="4" t="s">
        <v>17</v>
      </c>
      <c r="G3243" s="1" t="s">
        <v>18</v>
      </c>
      <c r="H3243" s="1" t="s">
        <v>19</v>
      </c>
      <c r="I3243" s="1" t="s">
        <v>20</v>
      </c>
      <c r="J3243" s="1" t="s">
        <v>14227</v>
      </c>
      <c r="K3243" s="1" t="s">
        <v>22</v>
      </c>
      <c r="L3243" s="1" t="str">
        <f>HYPERLINK("https://files.afu.se/Downloads/Transcripts/0%20-%20Government/USA%20-%20NASA%20Johnson/2011 09 14 - NASA Johnson - ISS Update - Sept. 14, 2011_dqSCvj_QpDU - transcript (automated).pdf","Transcript Link")</f>
        <v>Transcript Link</v>
      </c>
      <c r="M3243" s="2" t="str">
        <f>HYPERLINK("https://files.afu.se/Downloads/Transcripts/0%20-%20Government/USA%20-%20NASA%20Johnson/2011 09 14 - NASA Johnson - ISS Update - Sept. 14, 2011_dqSCvj_QpDU - transcript (automated).pdf","Transcript Link")</f>
        <v>Transcript Link</v>
      </c>
    </row>
    <row r="3244" ht="180" spans="1:13">
      <c r="A3244" s="1" t="s">
        <v>14228</v>
      </c>
      <c r="B3244" s="1" t="s">
        <v>13</v>
      </c>
      <c r="C3244" s="4" t="s">
        <v>14229</v>
      </c>
      <c r="D3244" s="1" t="s">
        <v>14230</v>
      </c>
      <c r="E3244" s="1" t="s">
        <v>14231</v>
      </c>
      <c r="F3244" s="4" t="s">
        <v>17</v>
      </c>
      <c r="G3244" s="1" t="s">
        <v>18</v>
      </c>
      <c r="H3244" s="1" t="s">
        <v>19</v>
      </c>
      <c r="I3244" s="1" t="s">
        <v>20</v>
      </c>
      <c r="J3244" s="1" t="s">
        <v>14232</v>
      </c>
      <c r="K3244" s="1" t="s">
        <v>22</v>
      </c>
      <c r="L3244" s="1" t="str">
        <f>HYPERLINK("https://files.afu.se/Downloads/Transcripts/0%20-%20Government/USA%20-%20NASA%20Johnson/2011 09 13 - NASA Johnson - ISS Update - Sept. 13, 2011_Qo-kHM-XDJI - transcript (automated).pdf","Transcript Link")</f>
        <v>Transcript Link</v>
      </c>
      <c r="M3244" s="2" t="str">
        <f>HYPERLINK("https://files.afu.se/Downloads/Transcripts/0%20-%20Government/USA%20-%20NASA%20Johnson/2011 09 13 - NASA Johnson - ISS Update - Sept. 13, 2011_Qo-kHM-XDJI - transcript (automated).pdf","Transcript Link")</f>
        <v>Transcript Link</v>
      </c>
    </row>
    <row r="3245" ht="180" spans="1:13">
      <c r="A3245" s="1" t="s">
        <v>14228</v>
      </c>
      <c r="B3245" s="1" t="s">
        <v>13</v>
      </c>
      <c r="C3245" s="4" t="s">
        <v>14233</v>
      </c>
      <c r="D3245" s="1" t="s">
        <v>14234</v>
      </c>
      <c r="E3245" s="1" t="s">
        <v>14235</v>
      </c>
      <c r="F3245" s="4" t="s">
        <v>17</v>
      </c>
      <c r="G3245" s="1" t="s">
        <v>18</v>
      </c>
      <c r="H3245" s="1" t="s">
        <v>19</v>
      </c>
      <c r="I3245" s="1" t="s">
        <v>20</v>
      </c>
      <c r="J3245" s="1" t="s">
        <v>14236</v>
      </c>
      <c r="K3245" s="1" t="s">
        <v>22</v>
      </c>
      <c r="L3245" s="1" t="str">
        <f>HYPERLINK("https://files.afu.se/Downloads/Transcripts/0%20-%20Government/USA%20-%20NASA%20Johnson/2011 09 13 - NASA Johnson - Cupola Corner 6 - Conversation With Mike Fossum_puhGf2SzPAE - transcript (automated).pdf","Transcript Link")</f>
        <v>Transcript Link</v>
      </c>
      <c r="M3245" s="2" t="str">
        <f>HYPERLINK("https://files.afu.se/Downloads/Transcripts/0%20-%20Government/USA%20-%20NASA%20Johnson/2011 09 13 - NASA Johnson - Cupola Corner 6 - Conversation With Mike Fossum_puhGf2SzPAE - transcript (automated).pdf","Transcript Link")</f>
        <v>Transcript Link</v>
      </c>
    </row>
    <row r="3246" ht="180" spans="1:13">
      <c r="A3246" s="1" t="s">
        <v>14237</v>
      </c>
      <c r="B3246" s="1" t="s">
        <v>13</v>
      </c>
      <c r="C3246" s="4" t="s">
        <v>14238</v>
      </c>
      <c r="D3246" s="1" t="s">
        <v>14239</v>
      </c>
      <c r="E3246" s="1" t="s">
        <v>14240</v>
      </c>
      <c r="F3246" s="4" t="s">
        <v>17</v>
      </c>
      <c r="G3246" s="1" t="s">
        <v>18</v>
      </c>
      <c r="H3246" s="1" t="s">
        <v>19</v>
      </c>
      <c r="I3246" s="1" t="s">
        <v>20</v>
      </c>
      <c r="J3246" s="1" t="s">
        <v>14241</v>
      </c>
      <c r="K3246" s="1" t="s">
        <v>22</v>
      </c>
      <c r="L3246" s="1" t="str">
        <f>HYPERLINK("https://files.afu.se/Downloads/Transcripts/0%20-%20Government/USA%20-%20NASA%20Johnson/2011 09 12 - NASA Johnson - ISS Update - Sept. 12, 2011_33EOoi5TLzs - transcript (automated).pdf","Transcript Link")</f>
        <v>Transcript Link</v>
      </c>
      <c r="M3246" s="2" t="str">
        <f>HYPERLINK("https://files.afu.se/Downloads/Transcripts/0%20-%20Government/USA%20-%20NASA%20Johnson/2011 09 12 - NASA Johnson - ISS Update - Sept. 12, 2011_33EOoi5TLzs - transcript (automated).pdf","Transcript Link")</f>
        <v>Transcript Link</v>
      </c>
    </row>
    <row r="3247" ht="180" spans="1:13">
      <c r="A3247" s="1" t="s">
        <v>14237</v>
      </c>
      <c r="B3247" s="1" t="s">
        <v>13</v>
      </c>
      <c r="C3247" s="4" t="s">
        <v>14242</v>
      </c>
      <c r="D3247" s="1" t="s">
        <v>14243</v>
      </c>
      <c r="E3247" s="1" t="s">
        <v>14244</v>
      </c>
      <c r="F3247" s="4" t="s">
        <v>17</v>
      </c>
      <c r="G3247" s="1" t="s">
        <v>18</v>
      </c>
      <c r="H3247" s="1" t="s">
        <v>19</v>
      </c>
      <c r="I3247" s="1" t="s">
        <v>20</v>
      </c>
      <c r="J3247" s="1" t="s">
        <v>14245</v>
      </c>
      <c r="K3247" s="1" t="s">
        <v>22</v>
      </c>
      <c r="L3247" s="1" t="str">
        <f>HYPERLINK("https://files.afu.se/Downloads/Transcripts/0%20-%20Government/USA%20-%20NASA%20Johnson/2011 09 12 - NASA Johnson - Cupola Corner 5 - Conversation With Satoshi Furukawa_7Q3g9JzwVHM - transcript (automated).pdf","Transcript Link")</f>
        <v>Transcript Link</v>
      </c>
      <c r="M3247" s="2" t="str">
        <f>HYPERLINK("https://files.afu.se/Downloads/Transcripts/0%20-%20Government/USA%20-%20NASA%20Johnson/2011 09 12 - NASA Johnson - Cupola Corner 5 - Conversation With Satoshi Furukawa_7Q3g9JzwVHM - transcript (automated).pdf","Transcript Link")</f>
        <v>Transcript Link</v>
      </c>
    </row>
    <row r="3248" ht="180" spans="1:13">
      <c r="A3248" s="1" t="s">
        <v>14237</v>
      </c>
      <c r="B3248" s="1" t="s">
        <v>13</v>
      </c>
      <c r="C3248" s="4" t="s">
        <v>14246</v>
      </c>
      <c r="D3248" s="1" t="s">
        <v>14247</v>
      </c>
      <c r="E3248" s="1" t="s">
        <v>14248</v>
      </c>
      <c r="F3248" s="4" t="s">
        <v>17</v>
      </c>
      <c r="G3248" s="1" t="s">
        <v>18</v>
      </c>
      <c r="H3248" s="1" t="s">
        <v>19</v>
      </c>
      <c r="I3248" s="1" t="s">
        <v>20</v>
      </c>
      <c r="J3248" s="1" t="s">
        <v>14249</v>
      </c>
      <c r="K3248" s="1" t="s">
        <v>22</v>
      </c>
      <c r="L3248" s="1" t="str">
        <f>HYPERLINK("https://files.afu.se/Downloads/Transcripts/0%20-%20Government/USA%20-%20NASA%20Johnson/2011 09 12 - NASA Johnson - Cupola Corner 4 - Conversation With Sergei Volkov_U_jtVE7jucQ - transcript (automated).pdf","Transcript Link")</f>
        <v>Transcript Link</v>
      </c>
      <c r="M3248" s="2" t="str">
        <f>HYPERLINK("https://files.afu.se/Downloads/Transcripts/0%20-%20Government/USA%20-%20NASA%20Johnson/2011 09 12 - NASA Johnson - Cupola Corner 4 - Conversation With Sergei Volkov_U_jtVE7jucQ - transcript (automated).pdf","Transcript Link")</f>
        <v>Transcript Link</v>
      </c>
    </row>
    <row r="3249" ht="180" spans="1:13">
      <c r="A3249" s="1" t="s">
        <v>14237</v>
      </c>
      <c r="B3249" s="1" t="s">
        <v>13</v>
      </c>
      <c r="C3249" s="4" t="s">
        <v>14250</v>
      </c>
      <c r="D3249" s="1" t="s">
        <v>14251</v>
      </c>
      <c r="E3249" s="1" t="s">
        <v>14252</v>
      </c>
      <c r="F3249" s="4" t="s">
        <v>17</v>
      </c>
      <c r="G3249" s="1" t="s">
        <v>18</v>
      </c>
      <c r="H3249" s="1" t="s">
        <v>19</v>
      </c>
      <c r="I3249" s="1" t="s">
        <v>20</v>
      </c>
      <c r="J3249" s="1" t="s">
        <v>14253</v>
      </c>
      <c r="K3249" s="1" t="s">
        <v>22</v>
      </c>
      <c r="L3249" s="1" t="str">
        <f>HYPERLINK("https://files.afu.se/Downloads/Transcripts/0%20-%20Government/USA%20-%20NASA%20Johnson/2011 09 12 - NASA Johnson - Cupola Corner 3 - Conversation With Andrey Borisenko__KiFtLK-qE4 - transcript (automated).pdf","Transcript Link")</f>
        <v>Transcript Link</v>
      </c>
      <c r="M3249" s="2" t="str">
        <f>HYPERLINK("https://files.afu.se/Downloads/Transcripts/0%20-%20Government/USA%20-%20NASA%20Johnson/2011 09 12 - NASA Johnson - Cupola Corner 3 - Conversation With Andrey Borisenko__KiFtLK-qE4 - transcript (automated).pdf","Transcript Link")</f>
        <v>Transcript Link</v>
      </c>
    </row>
    <row r="3250" ht="180" spans="1:13">
      <c r="A3250" s="1" t="s">
        <v>14237</v>
      </c>
      <c r="B3250" s="1" t="s">
        <v>13</v>
      </c>
      <c r="C3250" s="4" t="s">
        <v>14254</v>
      </c>
      <c r="D3250" s="1" t="s">
        <v>14255</v>
      </c>
      <c r="E3250" s="1" t="s">
        <v>14256</v>
      </c>
      <c r="F3250" s="4" t="s">
        <v>17</v>
      </c>
      <c r="G3250" s="1" t="s">
        <v>18</v>
      </c>
      <c r="H3250" s="1" t="s">
        <v>19</v>
      </c>
      <c r="I3250" s="1" t="s">
        <v>20</v>
      </c>
      <c r="J3250" s="1" t="s">
        <v>14257</v>
      </c>
      <c r="K3250" s="1" t="s">
        <v>22</v>
      </c>
      <c r="L3250" s="1" t="str">
        <f>HYPERLINK("https://files.afu.se/Downloads/Transcripts/0%20-%20Government/USA%20-%20NASA%20Johnson/2011 09 12 - NASA Johnson - Cupola Corner 2 - Conversation With Alexander Samokutyaev_39Vcr1V9VRw - transcript (automated).pdf","Transcript Link")</f>
        <v>Transcript Link</v>
      </c>
      <c r="M3250" s="2" t="str">
        <f>HYPERLINK("https://files.afu.se/Downloads/Transcripts/0%20-%20Government/USA%20-%20NASA%20Johnson/2011 09 12 - NASA Johnson - Cupola Corner 2 - Conversation With Alexander Samokutyaev_39Vcr1V9VRw - transcript (automated).pdf","Transcript Link")</f>
        <v>Transcript Link</v>
      </c>
    </row>
    <row r="3251" ht="180" spans="1:13">
      <c r="A3251" s="1" t="s">
        <v>14237</v>
      </c>
      <c r="B3251" s="1" t="s">
        <v>13</v>
      </c>
      <c r="C3251" s="4" t="s">
        <v>14258</v>
      </c>
      <c r="D3251" s="1" t="s">
        <v>14259</v>
      </c>
      <c r="E3251" s="1" t="s">
        <v>14260</v>
      </c>
      <c r="F3251" s="4" t="s">
        <v>17</v>
      </c>
      <c r="G3251" s="1" t="s">
        <v>18</v>
      </c>
      <c r="H3251" s="1" t="s">
        <v>19</v>
      </c>
      <c r="I3251" s="1" t="s">
        <v>20</v>
      </c>
      <c r="J3251" s="1" t="s">
        <v>14261</v>
      </c>
      <c r="K3251" s="1" t="s">
        <v>22</v>
      </c>
      <c r="L3251" s="1" t="str">
        <f>HYPERLINK("https://files.afu.se/Downloads/Transcripts/0%20-%20Government/USA%20-%20NASA%20Johnson/2011 09 12 - NASA Johnson - Cupola Corner 1 - Conversation With Chris Ferguson_BYmbe4860wY - transcript (automated).pdf","Transcript Link")</f>
        <v>Transcript Link</v>
      </c>
      <c r="M3251" s="2" t="str">
        <f>HYPERLINK("https://files.afu.se/Downloads/Transcripts/0%20-%20Government/USA%20-%20NASA%20Johnson/2011 09 12 - NASA Johnson - Cupola Corner 1 - Conversation With Chris Ferguson_BYmbe4860wY - transcript (automated).pdf","Transcript Link")</f>
        <v>Transcript Link</v>
      </c>
    </row>
    <row r="3252" ht="180" spans="1:13">
      <c r="A3252" s="1" t="s">
        <v>14237</v>
      </c>
      <c r="B3252" s="1" t="s">
        <v>13</v>
      </c>
      <c r="C3252" s="4" t="s">
        <v>14262</v>
      </c>
      <c r="D3252" s="1" t="s">
        <v>14263</v>
      </c>
      <c r="E3252" s="1" t="s">
        <v>14264</v>
      </c>
      <c r="F3252" s="4" t="s">
        <v>17</v>
      </c>
      <c r="G3252" s="1" t="s">
        <v>18</v>
      </c>
      <c r="H3252" s="1" t="s">
        <v>19</v>
      </c>
      <c r="I3252" s="1" t="s">
        <v>20</v>
      </c>
      <c r="J3252" s="1" t="s">
        <v>14265</v>
      </c>
      <c r="K3252" s="1" t="s">
        <v>22</v>
      </c>
      <c r="L3252" s="1" t="str">
        <f>HYPERLINK("https://files.afu.se/Downloads/Transcripts/0%20-%20Government/USA%20-%20NASA%20Johnson/2011 09 12 - NASA Johnson - We're Getting the Band Back Together_AeQ-M0YiiP4 - transcript (automated).pdf","Transcript Link")</f>
        <v>Transcript Link</v>
      </c>
      <c r="M3252" s="2" t="str">
        <f>HYPERLINK("https://files.afu.se/Downloads/Transcripts/0%20-%20Government/USA%20-%20NASA%20Johnson/2011 09 12 - NASA Johnson - We're Getting the Band Back Together_AeQ-M0YiiP4 - transcript (automated).pdf","Transcript Link")</f>
        <v>Transcript Link</v>
      </c>
    </row>
    <row r="3253" ht="180" spans="1:13">
      <c r="A3253" s="1" t="s">
        <v>14266</v>
      </c>
      <c r="B3253" s="1" t="s">
        <v>13</v>
      </c>
      <c r="C3253" s="4" t="s">
        <v>14267</v>
      </c>
      <c r="D3253" s="1" t="s">
        <v>14268</v>
      </c>
      <c r="E3253" s="1" t="s">
        <v>14269</v>
      </c>
      <c r="F3253" s="4" t="s">
        <v>17</v>
      </c>
      <c r="G3253" s="1" t="s">
        <v>18</v>
      </c>
      <c r="H3253" s="1" t="s">
        <v>19</v>
      </c>
      <c r="I3253" s="1" t="s">
        <v>20</v>
      </c>
      <c r="J3253" s="1" t="s">
        <v>14270</v>
      </c>
      <c r="K3253" s="1" t="s">
        <v>22</v>
      </c>
      <c r="L3253" s="1" t="str">
        <f>HYPERLINK("https://files.afu.se/Downloads/Transcripts/0%20-%20Government/USA%20-%20NASA%20Johnson/2011 09 09 - NASA Johnson - ISS Update - Sept. 9, 2011_nbxdPZKmhTw - transcript (automated).pdf","Transcript Link")</f>
        <v>Transcript Link</v>
      </c>
      <c r="M3253" s="2" t="str">
        <f>HYPERLINK("https://files.afu.se/Downloads/Transcripts/0%20-%20Government/USA%20-%20NASA%20Johnson/2011 09 09 - NASA Johnson - ISS Update - Sept. 9, 2011_nbxdPZKmhTw - transcript (automated).pdf","Transcript Link")</f>
        <v>Transcript Link</v>
      </c>
    </row>
    <row r="3254" ht="180" spans="1:13">
      <c r="A3254" s="1" t="s">
        <v>14271</v>
      </c>
      <c r="B3254" s="1" t="s">
        <v>13</v>
      </c>
      <c r="C3254" s="4" t="s">
        <v>14272</v>
      </c>
      <c r="D3254" s="1" t="s">
        <v>14273</v>
      </c>
      <c r="E3254" s="1" t="s">
        <v>14274</v>
      </c>
      <c r="F3254" s="4" t="s">
        <v>17</v>
      </c>
      <c r="G3254" s="1" t="s">
        <v>18</v>
      </c>
      <c r="H3254" s="1" t="s">
        <v>19</v>
      </c>
      <c r="I3254" s="1" t="s">
        <v>20</v>
      </c>
      <c r="J3254" s="1" t="s">
        <v>14275</v>
      </c>
      <c r="K3254" s="1" t="s">
        <v>22</v>
      </c>
      <c r="L3254" s="1" t="str">
        <f>HYPERLINK("https://files.afu.se/Downloads/Transcripts/0%20-%20Government/USA%20-%20NASA%20Johnson/2011 09 08 - NASA Johnson - Hurricane Katia on Sept. 8, 2011_4egnezZTmRA - transcript (automated).pdf","Transcript Link")</f>
        <v>Transcript Link</v>
      </c>
      <c r="M3254" s="2" t="str">
        <f>HYPERLINK("https://files.afu.se/Downloads/Transcripts/0%20-%20Government/USA%20-%20NASA%20Johnson/2011 09 08 - NASA Johnson - Hurricane Katia on Sept. 8, 2011_4egnezZTmRA - transcript (automated).pdf","Transcript Link")</f>
        <v>Transcript Link</v>
      </c>
    </row>
    <row r="3255" ht="180" spans="1:13">
      <c r="A3255" s="1" t="s">
        <v>14271</v>
      </c>
      <c r="B3255" s="1" t="s">
        <v>13</v>
      </c>
      <c r="C3255" s="4" t="s">
        <v>14276</v>
      </c>
      <c r="D3255" s="1" t="s">
        <v>14277</v>
      </c>
      <c r="E3255" s="1" t="s">
        <v>14278</v>
      </c>
      <c r="F3255" s="4" t="s">
        <v>17</v>
      </c>
      <c r="G3255" s="1" t="s">
        <v>18</v>
      </c>
      <c r="H3255" s="1" t="s">
        <v>19</v>
      </c>
      <c r="I3255" s="1" t="s">
        <v>20</v>
      </c>
      <c r="J3255" s="1" t="s">
        <v>14279</v>
      </c>
      <c r="K3255" s="1" t="s">
        <v>22</v>
      </c>
      <c r="L3255" s="1" t="str">
        <f>HYPERLINK("https://files.afu.se/Downloads/Transcripts/0%20-%20Government/USA%20-%20NASA%20Johnson/2011 09 08 - NASA Johnson - ISS Update - Sept. 8, 2011_sOYjMxL6UDk - transcript (automated).pdf","Transcript Link")</f>
        <v>Transcript Link</v>
      </c>
      <c r="M3255" s="2" t="str">
        <f>HYPERLINK("https://files.afu.se/Downloads/Transcripts/0%20-%20Government/USA%20-%20NASA%20Johnson/2011 09 08 - NASA Johnson - ISS Update - Sept. 8, 2011_sOYjMxL6UDk - transcript (automated).pdf","Transcript Link")</f>
        <v>Transcript Link</v>
      </c>
    </row>
    <row r="3256" ht="180" spans="1:13">
      <c r="A3256" s="1" t="s">
        <v>14280</v>
      </c>
      <c r="B3256" s="1" t="s">
        <v>13</v>
      </c>
      <c r="C3256" s="4" t="s">
        <v>14281</v>
      </c>
      <c r="D3256" s="1" t="s">
        <v>14282</v>
      </c>
      <c r="E3256" s="1" t="s">
        <v>14283</v>
      </c>
      <c r="F3256" s="4" t="s">
        <v>17</v>
      </c>
      <c r="G3256" s="1" t="s">
        <v>18</v>
      </c>
      <c r="H3256" s="1" t="s">
        <v>19</v>
      </c>
      <c r="I3256" s="1" t="s">
        <v>20</v>
      </c>
      <c r="J3256" s="1" t="s">
        <v>14284</v>
      </c>
      <c r="K3256" s="1" t="s">
        <v>22</v>
      </c>
      <c r="L3256" s="1" t="str">
        <f>HYPERLINK("https://files.afu.se/Downloads/Transcripts/0%20-%20Government/USA%20-%20NASA%20Johnson/2011 09 07 - NASA Johnson - Texas Wildfires on Sept. 6_UT0kRqq_j50 - transcript (automated).pdf","Transcript Link")</f>
        <v>Transcript Link</v>
      </c>
      <c r="M3256" s="2" t="str">
        <f>HYPERLINK("https://files.afu.se/Downloads/Transcripts/0%20-%20Government/USA%20-%20NASA%20Johnson/2011 09 07 - NASA Johnson - Texas Wildfires on Sept. 6_UT0kRqq_j50 - transcript (automated).pdf","Transcript Link")</f>
        <v>Transcript Link</v>
      </c>
    </row>
    <row r="3257" ht="180" spans="1:13">
      <c r="A3257" s="1" t="s">
        <v>14280</v>
      </c>
      <c r="B3257" s="1" t="s">
        <v>13</v>
      </c>
      <c r="C3257" s="4" t="s">
        <v>14285</v>
      </c>
      <c r="D3257" s="1" t="s">
        <v>14286</v>
      </c>
      <c r="E3257" s="1" t="s">
        <v>14287</v>
      </c>
      <c r="F3257" s="4" t="s">
        <v>17</v>
      </c>
      <c r="G3257" s="1" t="s">
        <v>18</v>
      </c>
      <c r="H3257" s="1" t="s">
        <v>19</v>
      </c>
      <c r="I3257" s="1" t="s">
        <v>20</v>
      </c>
      <c r="J3257" s="1" t="s">
        <v>14288</v>
      </c>
      <c r="K3257" s="1" t="s">
        <v>22</v>
      </c>
      <c r="L3257" s="1" t="str">
        <f>HYPERLINK("https://files.afu.se/Downloads/Transcripts/0%20-%20Government/USA%20-%20NASA%20Johnson/2011 09 07 - NASA Johnson - Texas Wildfires on Sept. 7_uCg03y0qJ-E - transcript (automated).pdf","Transcript Link")</f>
        <v>Transcript Link</v>
      </c>
      <c r="M3257" s="2" t="str">
        <f>HYPERLINK("https://files.afu.se/Downloads/Transcripts/0%20-%20Government/USA%20-%20NASA%20Johnson/2011 09 07 - NASA Johnson - Texas Wildfires on Sept. 7_uCg03y0qJ-E - transcript (automated).pdf","Transcript Link")</f>
        <v>Transcript Link</v>
      </c>
    </row>
    <row r="3258" ht="180" spans="1:13">
      <c r="A3258" s="1" t="s">
        <v>14280</v>
      </c>
      <c r="B3258" s="1" t="s">
        <v>13</v>
      </c>
      <c r="C3258" s="4" t="s">
        <v>14289</v>
      </c>
      <c r="D3258" s="1" t="s">
        <v>14290</v>
      </c>
      <c r="E3258" s="1" t="s">
        <v>14291</v>
      </c>
      <c r="F3258" s="4" t="s">
        <v>17</v>
      </c>
      <c r="G3258" s="1" t="s">
        <v>18</v>
      </c>
      <c r="H3258" s="1" t="s">
        <v>19</v>
      </c>
      <c r="I3258" s="1" t="s">
        <v>20</v>
      </c>
      <c r="J3258" s="1" t="s">
        <v>14292</v>
      </c>
      <c r="K3258" s="1" t="s">
        <v>22</v>
      </c>
      <c r="L3258" s="1" t="str">
        <f>HYPERLINK("https://files.afu.se/Downloads/Transcripts/0%20-%20Government/USA%20-%20NASA%20Johnson/2011 09 07 - NASA Johnson - ISS Update - Sept. 7, 2011__4EhXXMf8y0 - transcript (automated).pdf","Transcript Link")</f>
        <v>Transcript Link</v>
      </c>
      <c r="M3258" s="2" t="str">
        <f>HYPERLINK("https://files.afu.se/Downloads/Transcripts/0%20-%20Government/USA%20-%20NASA%20Johnson/2011 09 07 - NASA Johnson - ISS Update - Sept. 7, 2011__4EhXXMf8y0 - transcript (automated).pdf","Transcript Link")</f>
        <v>Transcript Link</v>
      </c>
    </row>
    <row r="3259" ht="180" spans="1:13">
      <c r="A3259" s="1" t="s">
        <v>14293</v>
      </c>
      <c r="B3259" s="1" t="s">
        <v>13</v>
      </c>
      <c r="C3259" s="4" t="s">
        <v>14294</v>
      </c>
      <c r="D3259" s="1" t="s">
        <v>14295</v>
      </c>
      <c r="E3259" s="1" t="s">
        <v>14296</v>
      </c>
      <c r="F3259" s="4" t="s">
        <v>17</v>
      </c>
      <c r="G3259" s="1" t="s">
        <v>18</v>
      </c>
      <c r="H3259" s="1" t="s">
        <v>19</v>
      </c>
      <c r="I3259" s="1" t="s">
        <v>20</v>
      </c>
      <c r="J3259" s="1" t="s">
        <v>14297</v>
      </c>
      <c r="K3259" s="1" t="s">
        <v>22</v>
      </c>
      <c r="L3259" s="1" t="str">
        <f>HYPERLINK("https://files.afu.se/Downloads/Transcripts/0%20-%20Government/USA%20-%20NASA%20Johnson/2011 09 06 - NASA Johnson - Texas Wildfires Views from Station_NSnCRFnVr40 - transcript (automated).pdf","Transcript Link")</f>
        <v>Transcript Link</v>
      </c>
      <c r="M3259" s="2" t="str">
        <f>HYPERLINK("https://files.afu.se/Downloads/Transcripts/0%20-%20Government/USA%20-%20NASA%20Johnson/2011 09 06 - NASA Johnson - Texas Wildfires Views from Station_NSnCRFnVr40 - transcript (automated).pdf","Transcript Link")</f>
        <v>Transcript Link</v>
      </c>
    </row>
    <row r="3260" ht="180" spans="1:13">
      <c r="A3260" s="1" t="s">
        <v>14293</v>
      </c>
      <c r="B3260" s="1" t="s">
        <v>13</v>
      </c>
      <c r="C3260" s="4" t="s">
        <v>14298</v>
      </c>
      <c r="D3260" s="1" t="s">
        <v>14299</v>
      </c>
      <c r="E3260" s="1" t="s">
        <v>14300</v>
      </c>
      <c r="F3260" s="4" t="s">
        <v>17</v>
      </c>
      <c r="G3260" s="1" t="s">
        <v>18</v>
      </c>
      <c r="H3260" s="1" t="s">
        <v>19</v>
      </c>
      <c r="I3260" s="1" t="s">
        <v>20</v>
      </c>
      <c r="J3260" s="1" t="s">
        <v>14301</v>
      </c>
      <c r="K3260" s="1" t="s">
        <v>22</v>
      </c>
      <c r="L3260" s="1" t="str">
        <f>HYPERLINK("https://files.afu.se/Downloads/Transcripts/0%20-%20Government/USA%20-%20NASA%20Johnson/2011 09 06 - NASA Johnson - Station Cameras Capture New Videos of Hurricane Katia_PKMUJ5B5q4Y - transcript (automated).pdf","Transcript Link")</f>
        <v>Transcript Link</v>
      </c>
      <c r="M3260" s="2" t="str">
        <f>HYPERLINK("https://files.afu.se/Downloads/Transcripts/0%20-%20Government/USA%20-%20NASA%20Johnson/2011 09 06 - NASA Johnson - Station Cameras Capture New Videos of Hurricane Katia_PKMUJ5B5q4Y - transcript (automated).pdf","Transcript Link")</f>
        <v>Transcript Link</v>
      </c>
    </row>
    <row r="3261" ht="180" spans="1:13">
      <c r="A3261" s="1" t="s">
        <v>14293</v>
      </c>
      <c r="B3261" s="1" t="s">
        <v>13</v>
      </c>
      <c r="C3261" s="4" t="s">
        <v>14302</v>
      </c>
      <c r="D3261" s="1" t="s">
        <v>14303</v>
      </c>
      <c r="E3261" s="1" t="s">
        <v>14304</v>
      </c>
      <c r="F3261" s="4" t="s">
        <v>17</v>
      </c>
      <c r="G3261" s="1" t="s">
        <v>18</v>
      </c>
      <c r="H3261" s="1" t="s">
        <v>19</v>
      </c>
      <c r="I3261" s="1" t="s">
        <v>20</v>
      </c>
      <c r="J3261" s="1" t="s">
        <v>14305</v>
      </c>
      <c r="K3261" s="1" t="s">
        <v>22</v>
      </c>
      <c r="L3261" s="1" t="str">
        <f>HYPERLINK("https://files.afu.se/Downloads/Transcripts/0%20-%20Government/USA%20-%20NASA%20Johnson/2011 09 06 - NASA Johnson - ISS Update - Sept. 6, 2011_r7yxTJdtLDw - transcript (automated).pdf","Transcript Link")</f>
        <v>Transcript Link</v>
      </c>
      <c r="M3261" s="2" t="str">
        <f>HYPERLINK("https://files.afu.se/Downloads/Transcripts/0%20-%20Government/USA%20-%20NASA%20Johnson/2011 09 06 - NASA Johnson - ISS Update - Sept. 6, 2011_r7yxTJdtLDw - transcript (automated).pdf","Transcript Link")</f>
        <v>Transcript Link</v>
      </c>
    </row>
    <row r="3262" ht="180" spans="1:13">
      <c r="A3262" s="1" t="s">
        <v>14306</v>
      </c>
      <c r="B3262" s="1" t="s">
        <v>13</v>
      </c>
      <c r="C3262" s="4" t="s">
        <v>14307</v>
      </c>
      <c r="D3262" s="1" t="s">
        <v>14308</v>
      </c>
      <c r="E3262" s="1" t="s">
        <v>14309</v>
      </c>
      <c r="F3262" s="4" t="s">
        <v>17</v>
      </c>
      <c r="G3262" s="1" t="s">
        <v>18</v>
      </c>
      <c r="H3262" s="1" t="s">
        <v>19</v>
      </c>
      <c r="I3262" s="1" t="s">
        <v>20</v>
      </c>
      <c r="J3262" s="1" t="s">
        <v>14310</v>
      </c>
      <c r="K3262" s="1" t="s">
        <v>22</v>
      </c>
      <c r="L3262" s="1" t="str">
        <f>HYPERLINK("https://files.afu.se/Downloads/Transcripts/0%20-%20Government/USA%20-%20NASA%20Johnson/2011 09 02 - NASA Johnson - ISS Update - Sept. 2, 2011_dyrYzMzwAFs - transcript (automated).pdf","Transcript Link")</f>
        <v>Transcript Link</v>
      </c>
      <c r="M3262" s="2" t="str">
        <f>HYPERLINK("https://files.afu.se/Downloads/Transcripts/0%20-%20Government/USA%20-%20NASA%20Johnson/2011 09 02 - NASA Johnson - ISS Update - Sept. 2, 2011_dyrYzMzwAFs - transcript (automated).pdf","Transcript Link")</f>
        <v>Transcript Link</v>
      </c>
    </row>
    <row r="3263" ht="180" spans="1:13">
      <c r="A3263" s="1" t="s">
        <v>14311</v>
      </c>
      <c r="B3263" s="1" t="s">
        <v>13</v>
      </c>
      <c r="C3263" s="4" t="s">
        <v>14312</v>
      </c>
      <c r="D3263" s="1" t="s">
        <v>14313</v>
      </c>
      <c r="E3263" s="1" t="s">
        <v>14314</v>
      </c>
      <c r="F3263" s="4" t="s">
        <v>17</v>
      </c>
      <c r="G3263" s="1" t="s">
        <v>18</v>
      </c>
      <c r="H3263" s="1" t="s">
        <v>19</v>
      </c>
      <c r="I3263" s="1" t="s">
        <v>20</v>
      </c>
      <c r="J3263" s="1" t="s">
        <v>14315</v>
      </c>
      <c r="K3263" s="1" t="s">
        <v>22</v>
      </c>
      <c r="L3263" s="1" t="str">
        <f>HYPERLINK("https://files.afu.se/Downloads/Transcripts/0%20-%20Government/USA%20-%20NASA%20Johnson/2011 09 01 - NASA Johnson - ISS Update - Sept. 1, 2011_SPaWqtLXsX0 - transcript (automated).pdf","Transcript Link")</f>
        <v>Transcript Link</v>
      </c>
      <c r="M3263" s="2" t="str">
        <f>HYPERLINK("https://files.afu.se/Downloads/Transcripts/0%20-%20Government/USA%20-%20NASA%20Johnson/2011 09 01 - NASA Johnson - ISS Update - Sept. 1, 2011_SPaWqtLXsX0 - transcript (automated).pdf","Transcript Link")</f>
        <v>Transcript Link</v>
      </c>
    </row>
    <row r="3264" ht="180" spans="1:13">
      <c r="A3264" s="1" t="s">
        <v>14316</v>
      </c>
      <c r="B3264" s="1" t="s">
        <v>13</v>
      </c>
      <c r="C3264" s="4" t="s">
        <v>14317</v>
      </c>
      <c r="D3264" s="1" t="s">
        <v>14318</v>
      </c>
      <c r="E3264" s="1" t="s">
        <v>14319</v>
      </c>
      <c r="F3264" s="4" t="s">
        <v>17</v>
      </c>
      <c r="G3264" s="1" t="s">
        <v>18</v>
      </c>
      <c r="H3264" s="1" t="s">
        <v>19</v>
      </c>
      <c r="I3264" s="1" t="s">
        <v>20</v>
      </c>
      <c r="J3264" s="1" t="s">
        <v>14320</v>
      </c>
      <c r="K3264" s="1" t="s">
        <v>22</v>
      </c>
      <c r="L3264" s="1" t="str">
        <f>HYPERLINK("https://files.afu.se/Downloads/Transcripts/0%20-%20Government/USA%20-%20NASA%20Johnson/2011 08 31 - NASA Johnson - ISS Update - August 31, 2011_fdBspJhyINk - transcript (automated).pdf","Transcript Link")</f>
        <v>Transcript Link</v>
      </c>
      <c r="M3264" s="2" t="str">
        <f>HYPERLINK("https://files.afu.se/Downloads/Transcripts/0%20-%20Government/USA%20-%20NASA%20Johnson/2011 08 31 - NASA Johnson - ISS Update - August 31, 2011_fdBspJhyINk - transcript (automated).pdf","Transcript Link")</f>
        <v>Transcript Link</v>
      </c>
    </row>
    <row r="3265" ht="180" spans="1:13">
      <c r="A3265" s="1" t="s">
        <v>14321</v>
      </c>
      <c r="B3265" s="1" t="s">
        <v>13</v>
      </c>
      <c r="C3265" s="4" t="s">
        <v>14322</v>
      </c>
      <c r="D3265" s="1" t="s">
        <v>14323</v>
      </c>
      <c r="E3265" s="1" t="s">
        <v>14324</v>
      </c>
      <c r="F3265" s="4" t="s">
        <v>17</v>
      </c>
      <c r="G3265" s="1" t="s">
        <v>18</v>
      </c>
      <c r="H3265" s="1" t="s">
        <v>19</v>
      </c>
      <c r="I3265" s="1" t="s">
        <v>20</v>
      </c>
      <c r="J3265" s="1" t="s">
        <v>14325</v>
      </c>
      <c r="K3265" s="1" t="s">
        <v>22</v>
      </c>
      <c r="L3265" s="1" t="str">
        <f>HYPERLINK("https://files.afu.se/Downloads/Transcripts/0%20-%20Government/USA%20-%20NASA%20Johnson/2011 08 30 - NASA Johnson - ISS Update - August 30, 2011_sJzN2Y05h-Y - transcript (automated).pdf","Transcript Link")</f>
        <v>Transcript Link</v>
      </c>
      <c r="M3265" s="2" t="str">
        <f>HYPERLINK("https://files.afu.se/Downloads/Transcripts/0%20-%20Government/USA%20-%20NASA%20Johnson/2011 08 30 - NASA Johnson - ISS Update - August 30, 2011_sJzN2Y05h-Y - transcript (automated).pdf","Transcript Link")</f>
        <v>Transcript Link</v>
      </c>
    </row>
    <row r="3266" ht="180" spans="1:13">
      <c r="A3266" s="1" t="s">
        <v>14321</v>
      </c>
      <c r="B3266" s="1" t="s">
        <v>13</v>
      </c>
      <c r="C3266" s="4" t="s">
        <v>14326</v>
      </c>
      <c r="D3266" s="1" t="s">
        <v>14327</v>
      </c>
      <c r="E3266" s="1" t="s">
        <v>14328</v>
      </c>
      <c r="F3266" s="4" t="s">
        <v>17</v>
      </c>
      <c r="G3266" s="1" t="s">
        <v>18</v>
      </c>
      <c r="H3266" s="1" t="s">
        <v>19</v>
      </c>
      <c r="I3266" s="1" t="s">
        <v>20</v>
      </c>
      <c r="J3266" s="1" t="s">
        <v>14329</v>
      </c>
      <c r="K3266" s="1" t="s">
        <v>22</v>
      </c>
      <c r="L3266" s="1" t="str">
        <f>HYPERLINK("https://files.afu.se/Downloads/Transcripts/0%20-%20Government/USA%20-%20NASA%20Johnson/2011 08 30 - NASA Johnson - Celebrities Thank NASA Shuttle Teams (Part 3)_Lds16-yG2n0 - transcript (automated).pdf","Transcript Link")</f>
        <v>Transcript Link</v>
      </c>
      <c r="M3266" s="2" t="str">
        <f>HYPERLINK("https://files.afu.se/Downloads/Transcripts/0%20-%20Government/USA%20-%20NASA%20Johnson/2011 08 30 - NASA Johnson - Celebrities Thank NASA Shuttle Teams (Part 3)_Lds16-yG2n0 - transcript (automated).pdf","Transcript Link")</f>
        <v>Transcript Link</v>
      </c>
    </row>
    <row r="3267" ht="180" spans="1:13">
      <c r="A3267" s="1" t="s">
        <v>14321</v>
      </c>
      <c r="B3267" s="1" t="s">
        <v>13</v>
      </c>
      <c r="C3267" s="4" t="s">
        <v>14330</v>
      </c>
      <c r="D3267" s="1" t="s">
        <v>14331</v>
      </c>
      <c r="E3267" s="1" t="s">
        <v>14332</v>
      </c>
      <c r="F3267" s="4" t="s">
        <v>17</v>
      </c>
      <c r="G3267" s="1" t="s">
        <v>18</v>
      </c>
      <c r="H3267" s="1" t="s">
        <v>19</v>
      </c>
      <c r="I3267" s="1" t="s">
        <v>20</v>
      </c>
      <c r="J3267" s="1" t="s">
        <v>14333</v>
      </c>
      <c r="K3267" s="1" t="s">
        <v>22</v>
      </c>
      <c r="L3267" s="1" t="str">
        <f>HYPERLINK("https://files.afu.se/Downloads/Transcripts/0%20-%20Government/USA%20-%20NASA%20Johnson/2011 08 30 - NASA Johnson - Celebrities Thank NASA Shuttle Teams (Part 2)_cia1tfFr-zU - transcript (automated).pdf","Transcript Link")</f>
        <v>Transcript Link</v>
      </c>
      <c r="M3267" s="2" t="str">
        <f>HYPERLINK("https://files.afu.se/Downloads/Transcripts/0%20-%20Government/USA%20-%20NASA%20Johnson/2011 08 30 - NASA Johnson - Celebrities Thank NASA Shuttle Teams (Part 2)_cia1tfFr-zU - transcript (automated).pdf","Transcript Link")</f>
        <v>Transcript Link</v>
      </c>
    </row>
    <row r="3268" ht="180" spans="1:13">
      <c r="A3268" s="1" t="s">
        <v>14321</v>
      </c>
      <c r="B3268" s="1" t="s">
        <v>13</v>
      </c>
      <c r="C3268" s="4" t="s">
        <v>14334</v>
      </c>
      <c r="D3268" s="1" t="s">
        <v>14335</v>
      </c>
      <c r="E3268" s="1" t="s">
        <v>14336</v>
      </c>
      <c r="F3268" s="4" t="s">
        <v>17</v>
      </c>
      <c r="G3268" s="1" t="s">
        <v>18</v>
      </c>
      <c r="H3268" s="1" t="s">
        <v>19</v>
      </c>
      <c r="I3268" s="1" t="s">
        <v>20</v>
      </c>
      <c r="J3268" s="1" t="s">
        <v>14337</v>
      </c>
      <c r="K3268" s="1" t="s">
        <v>22</v>
      </c>
      <c r="L3268" s="1" t="str">
        <f>HYPERLINK("https://files.afu.se/Downloads/Transcripts/0%20-%20Government/USA%20-%20NASA%20Johnson/2011 08 30 - NASA Johnson - Celebrities Thank NASA Shuttle Teams (Part 1)_azViv3vm8jI - transcript (automated).pdf","Transcript Link")</f>
        <v>Transcript Link</v>
      </c>
      <c r="M3268" s="2" t="str">
        <f>HYPERLINK("https://files.afu.se/Downloads/Transcripts/0%20-%20Government/USA%20-%20NASA%20Johnson/2011 08 30 - NASA Johnson - Celebrities Thank NASA Shuttle Teams (Part 1)_azViv3vm8jI - transcript (automated).pdf","Transcript Link")</f>
        <v>Transcript Link</v>
      </c>
    </row>
    <row r="3269" ht="180" spans="1:13">
      <c r="A3269" s="1" t="s">
        <v>14321</v>
      </c>
      <c r="B3269" s="1" t="s">
        <v>13</v>
      </c>
      <c r="C3269" s="4" t="s">
        <v>14338</v>
      </c>
      <c r="D3269" s="1" t="s">
        <v>14339</v>
      </c>
      <c r="E3269" s="1" t="s">
        <v>14340</v>
      </c>
      <c r="F3269" s="4" t="s">
        <v>17</v>
      </c>
      <c r="G3269" s="1" t="s">
        <v>18</v>
      </c>
      <c r="H3269" s="1" t="s">
        <v>19</v>
      </c>
      <c r="I3269" s="1" t="s">
        <v>20</v>
      </c>
      <c r="J3269" s="1" t="s">
        <v>14341</v>
      </c>
      <c r="K3269" s="1" t="s">
        <v>22</v>
      </c>
      <c r="L3269" s="1" t="str">
        <f>HYPERLINK("https://files.afu.se/Downloads/Transcripts/0%20-%20Government/USA%20-%20NASA%20Johnson/2011 08 30 - NASA Johnson - NASA Human Space Flight  A  Look Ahead_Pgy3_LqyeC8 - transcript (automated).pdf","Transcript Link")</f>
        <v>Transcript Link</v>
      </c>
      <c r="M3269" s="2" t="str">
        <f>HYPERLINK("https://files.afu.se/Downloads/Transcripts/0%20-%20Government/USA%20-%20NASA%20Johnson/2011 08 30 - NASA Johnson - NASA Human Space Flight  A  Look Ahead_Pgy3_LqyeC8 - transcript (automated).pdf","Transcript Link")</f>
        <v>Transcript Link</v>
      </c>
    </row>
    <row r="3270" ht="180" spans="1:13">
      <c r="A3270" s="1" t="s">
        <v>14342</v>
      </c>
      <c r="B3270" s="1" t="s">
        <v>13</v>
      </c>
      <c r="C3270" s="4" t="s">
        <v>14343</v>
      </c>
      <c r="D3270" s="1" t="s">
        <v>14344</v>
      </c>
      <c r="E3270" s="1" t="s">
        <v>14345</v>
      </c>
      <c r="F3270" s="4" t="s">
        <v>17</v>
      </c>
      <c r="G3270" s="1" t="s">
        <v>18</v>
      </c>
      <c r="H3270" s="1" t="s">
        <v>19</v>
      </c>
      <c r="I3270" s="1" t="s">
        <v>20</v>
      </c>
      <c r="J3270" s="1" t="s">
        <v>14346</v>
      </c>
      <c r="K3270" s="1" t="s">
        <v>22</v>
      </c>
      <c r="L3270" s="1" t="str">
        <f>HYPERLINK("https://files.afu.se/Downloads/Transcripts/0%20-%20Government/USA%20-%20NASA%20Johnson/2011 08 29 - NASA Johnson - ISS Update - August 29, 2011_7Dwn6pus4WA - transcript (automated).pdf","Transcript Link")</f>
        <v>Transcript Link</v>
      </c>
      <c r="M3270" s="2" t="str">
        <f>HYPERLINK("https://files.afu.se/Downloads/Transcripts/0%20-%20Government/USA%20-%20NASA%20Johnson/2011 08 29 - NASA Johnson - ISS Update - August 29, 2011_7Dwn6pus4WA - transcript (automated).pdf","Transcript Link")</f>
        <v>Transcript Link</v>
      </c>
    </row>
    <row r="3271" ht="180" spans="1:13">
      <c r="A3271" s="1" t="s">
        <v>14347</v>
      </c>
      <c r="B3271" s="1" t="s">
        <v>13</v>
      </c>
      <c r="C3271" s="4" t="s">
        <v>14348</v>
      </c>
      <c r="D3271" s="1" t="s">
        <v>14349</v>
      </c>
      <c r="E3271" s="1" t="s">
        <v>14350</v>
      </c>
      <c r="F3271" s="4" t="s">
        <v>17</v>
      </c>
      <c r="G3271" s="1" t="s">
        <v>18</v>
      </c>
      <c r="H3271" s="1" t="s">
        <v>19</v>
      </c>
      <c r="I3271" s="1" t="s">
        <v>20</v>
      </c>
      <c r="J3271" s="1" t="s">
        <v>14351</v>
      </c>
      <c r="K3271" s="1" t="s">
        <v>22</v>
      </c>
      <c r="L3271" s="1" t="str">
        <f>HYPERLINK("https://files.afu.se/Downloads/Transcripts/0%20-%20Government/USA%20-%20NASA%20Johnson/2011 08 28 - NASA Johnson - Station Crew Spots Irene_EOuoAiUbrGk - transcript (automated).pdf","Transcript Link")</f>
        <v>Transcript Link</v>
      </c>
      <c r="M3271" s="2" t="str">
        <f>HYPERLINK("https://files.afu.se/Downloads/Transcripts/0%20-%20Government/USA%20-%20NASA%20Johnson/2011 08 28 - NASA Johnson - Station Crew Spots Irene_EOuoAiUbrGk - transcript (automated).pdf","Transcript Link")</f>
        <v>Transcript Link</v>
      </c>
    </row>
    <row r="3272" ht="180" spans="1:13">
      <c r="A3272" s="1" t="s">
        <v>14347</v>
      </c>
      <c r="B3272" s="1" t="s">
        <v>13</v>
      </c>
      <c r="C3272" s="4" t="s">
        <v>14352</v>
      </c>
      <c r="D3272" s="1" t="s">
        <v>14353</v>
      </c>
      <c r="E3272" s="1" t="s">
        <v>14354</v>
      </c>
      <c r="F3272" s="4" t="s">
        <v>17</v>
      </c>
      <c r="G3272" s="1" t="s">
        <v>18</v>
      </c>
      <c r="H3272" s="1" t="s">
        <v>19</v>
      </c>
      <c r="I3272" s="1" t="s">
        <v>20</v>
      </c>
      <c r="J3272" s="1" t="s">
        <v>14355</v>
      </c>
      <c r="K3272" s="1" t="s">
        <v>22</v>
      </c>
      <c r="L3272" s="1" t="str">
        <f>HYPERLINK("https://files.afu.se/Downloads/Transcripts/0%20-%20Government/USA%20-%20NASA%20Johnson/2011 08 28 - NASA Johnson - Space Station Views Tropical Storm Irene_MhDzSz-_HtU - transcript (automated).pdf","Transcript Link")</f>
        <v>Transcript Link</v>
      </c>
      <c r="M3272" s="2" t="str">
        <f>HYPERLINK("https://files.afu.se/Downloads/Transcripts/0%20-%20Government/USA%20-%20NASA%20Johnson/2011 08 28 - NASA Johnson - Space Station Views Tropical Storm Irene_MhDzSz-_HtU - transcript (automated).pdf","Transcript Link")</f>
        <v>Transcript Link</v>
      </c>
    </row>
    <row r="3273" ht="180" spans="1:13">
      <c r="A3273" s="1" t="s">
        <v>14356</v>
      </c>
      <c r="B3273" s="1" t="s">
        <v>13</v>
      </c>
      <c r="C3273" s="4" t="s">
        <v>14357</v>
      </c>
      <c r="D3273" s="1" t="s">
        <v>14358</v>
      </c>
      <c r="E3273" s="1" t="s">
        <v>14359</v>
      </c>
      <c r="F3273" s="4" t="s">
        <v>17</v>
      </c>
      <c r="G3273" s="1" t="s">
        <v>18</v>
      </c>
      <c r="H3273" s="1" t="s">
        <v>19</v>
      </c>
      <c r="I3273" s="1" t="s">
        <v>20</v>
      </c>
      <c r="J3273" s="1" t="s">
        <v>14360</v>
      </c>
      <c r="K3273" s="1" t="s">
        <v>22</v>
      </c>
      <c r="L3273" s="1" t="str">
        <f>HYPERLINK("https://files.afu.se/Downloads/Transcripts/0%20-%20Government/USA%20-%20NASA%20Johnson/2011 08 27 - NASA Johnson - Space Station Sees Hurricane Irene on Aug. 26_FRuuWkb0vh0 - transcript (automated).pdf","Transcript Link")</f>
        <v>Transcript Link</v>
      </c>
      <c r="M3273" s="2" t="str">
        <f>HYPERLINK("https://files.afu.se/Downloads/Transcripts/0%20-%20Government/USA%20-%20NASA%20Johnson/2011 08 27 - NASA Johnson - Space Station Sees Hurricane Irene on Aug. 26_FRuuWkb0vh0 - transcript (automated).pdf","Transcript Link")</f>
        <v>Transcript Link</v>
      </c>
    </row>
    <row r="3274" ht="180" spans="1:13">
      <c r="A3274" s="1" t="s">
        <v>14356</v>
      </c>
      <c r="B3274" s="1" t="s">
        <v>13</v>
      </c>
      <c r="C3274" s="4" t="s">
        <v>14361</v>
      </c>
      <c r="D3274" s="1" t="s">
        <v>14362</v>
      </c>
      <c r="E3274" s="1" t="s">
        <v>14363</v>
      </c>
      <c r="F3274" s="4" t="s">
        <v>17</v>
      </c>
      <c r="G3274" s="1" t="s">
        <v>18</v>
      </c>
      <c r="H3274" s="1" t="s">
        <v>19</v>
      </c>
      <c r="I3274" s="1" t="s">
        <v>20</v>
      </c>
      <c r="J3274" s="1" t="s">
        <v>14364</v>
      </c>
      <c r="K3274" s="1" t="s">
        <v>22</v>
      </c>
      <c r="L3274" s="1" t="str">
        <f>HYPERLINK("https://files.afu.se/Downloads/Transcripts/0%20-%20Government/USA%20-%20NASA%20Johnson/2011 08 27 - NASA Johnson - Hurricane Irene Viewed on Thursday by Space Station Cameras_u3vmym2e0Mk - transcript (automated).pdf","Transcript Link")</f>
        <v>Transcript Link</v>
      </c>
      <c r="M3274" s="2" t="str">
        <f>HYPERLINK("https://files.afu.se/Downloads/Transcripts/0%20-%20Government/USA%20-%20NASA%20Johnson/2011 08 27 - NASA Johnson - Hurricane Irene Viewed on Thursday by Space Station Cameras_u3vmym2e0Mk - transcript (automated).pdf","Transcript Link")</f>
        <v>Transcript Link</v>
      </c>
    </row>
    <row r="3275" ht="180" spans="1:13">
      <c r="A3275" s="1" t="s">
        <v>14365</v>
      </c>
      <c r="B3275" s="1" t="s">
        <v>13</v>
      </c>
      <c r="C3275" s="4" t="s">
        <v>14366</v>
      </c>
      <c r="D3275" s="1" t="s">
        <v>14367</v>
      </c>
      <c r="E3275" s="1" t="s">
        <v>14368</v>
      </c>
      <c r="F3275" s="4" t="s">
        <v>17</v>
      </c>
      <c r="G3275" s="1" t="s">
        <v>18</v>
      </c>
      <c r="H3275" s="1" t="s">
        <v>19</v>
      </c>
      <c r="I3275" s="1" t="s">
        <v>20</v>
      </c>
      <c r="J3275" s="1" t="s">
        <v>14369</v>
      </c>
      <c r="K3275" s="1" t="s">
        <v>22</v>
      </c>
      <c r="L3275" s="1" t="str">
        <f>HYPERLINK("https://files.afu.se/Downloads/Transcripts/0%20-%20Government/USA%20-%20NASA%20Johnson/2011 08 26 - NASA Johnson - ISS Update - August 26, 2011_fV7-S8OHY90 - transcript (automated).pdf","Transcript Link")</f>
        <v>Transcript Link</v>
      </c>
      <c r="M3275" s="2" t="str">
        <f>HYPERLINK("https://files.afu.se/Downloads/Transcripts/0%20-%20Government/USA%20-%20NASA%20Johnson/2011 08 26 - NASA Johnson - ISS Update - August 26, 2011_fV7-S8OHY90 - transcript (automated).pdf","Transcript Link")</f>
        <v>Transcript Link</v>
      </c>
    </row>
    <row r="3276" ht="180" spans="1:13">
      <c r="A3276" s="1" t="s">
        <v>14370</v>
      </c>
      <c r="B3276" s="1" t="s">
        <v>13</v>
      </c>
      <c r="C3276" s="4" t="s">
        <v>14371</v>
      </c>
      <c r="D3276" s="1" t="s">
        <v>14372</v>
      </c>
      <c r="E3276" s="1" t="s">
        <v>14373</v>
      </c>
      <c r="F3276" s="4" t="s">
        <v>17</v>
      </c>
      <c r="G3276" s="1" t="s">
        <v>18</v>
      </c>
      <c r="H3276" s="1" t="s">
        <v>19</v>
      </c>
      <c r="I3276" s="1" t="s">
        <v>20</v>
      </c>
      <c r="J3276" s="1" t="s">
        <v>14374</v>
      </c>
      <c r="K3276" s="1" t="s">
        <v>22</v>
      </c>
      <c r="L3276" s="1" t="str">
        <f>HYPERLINK("https://files.afu.se/Downloads/Transcripts/0%20-%20Government/USA%20-%20NASA%20Johnson/2011 08 25 - NASA Johnson - ISS Update - August 25, 2011_gUXJCORNA7w - transcript (automated).pdf","Transcript Link")</f>
        <v>Transcript Link</v>
      </c>
      <c r="M3276" s="2" t="str">
        <f>HYPERLINK("https://files.afu.se/Downloads/Transcripts/0%20-%20Government/USA%20-%20NASA%20Johnson/2011 08 25 - NASA Johnson - ISS Update - August 25, 2011_gUXJCORNA7w - transcript (automated).pdf","Transcript Link")</f>
        <v>Transcript Link</v>
      </c>
    </row>
    <row r="3277" ht="180" spans="1:13">
      <c r="A3277" s="1" t="s">
        <v>14375</v>
      </c>
      <c r="B3277" s="1" t="s">
        <v>13</v>
      </c>
      <c r="C3277" s="4" t="s">
        <v>14376</v>
      </c>
      <c r="D3277" s="1" t="s">
        <v>14377</v>
      </c>
      <c r="E3277" s="1" t="s">
        <v>14378</v>
      </c>
      <c r="F3277" s="4" t="s">
        <v>17</v>
      </c>
      <c r="G3277" s="1" t="s">
        <v>18</v>
      </c>
      <c r="H3277" s="1" t="s">
        <v>19</v>
      </c>
      <c r="I3277" s="1" t="s">
        <v>20</v>
      </c>
      <c r="J3277" s="1" t="s">
        <v>14379</v>
      </c>
      <c r="K3277" s="1" t="s">
        <v>22</v>
      </c>
      <c r="L3277" s="1" t="str">
        <f>HYPERLINK("https://files.afu.se/Downloads/Transcripts/0%20-%20Government/USA%20-%20NASA%20Johnson/2011 08 24 - NASA Johnson - Station Cameras Capture New Views of Major Hurricane Irene_SeLeB9-L_F4 - transcript (automated).pdf","Transcript Link")</f>
        <v>Transcript Link</v>
      </c>
      <c r="M3277" s="2" t="str">
        <f>HYPERLINK("https://files.afu.se/Downloads/Transcripts/0%20-%20Government/USA%20-%20NASA%20Johnson/2011 08 24 - NASA Johnson - Station Cameras Capture New Views of Major Hurricane Irene_SeLeB9-L_F4 - transcript (automated).pdf","Transcript Link")</f>
        <v>Transcript Link</v>
      </c>
    </row>
    <row r="3278" ht="180" spans="1:13">
      <c r="A3278" s="1" t="s">
        <v>14375</v>
      </c>
      <c r="B3278" s="1" t="s">
        <v>13</v>
      </c>
      <c r="C3278" s="4" t="s">
        <v>14380</v>
      </c>
      <c r="D3278" s="1" t="s">
        <v>14381</v>
      </c>
      <c r="E3278" s="1" t="s">
        <v>14382</v>
      </c>
      <c r="F3278" s="4" t="s">
        <v>17</v>
      </c>
      <c r="G3278" s="1" t="s">
        <v>18</v>
      </c>
      <c r="H3278" s="1" t="s">
        <v>19</v>
      </c>
      <c r="I3278" s="1" t="s">
        <v>20</v>
      </c>
      <c r="J3278" s="1" t="s">
        <v>14383</v>
      </c>
      <c r="K3278" s="1" t="s">
        <v>22</v>
      </c>
      <c r="L3278" s="1" t="str">
        <f>HYPERLINK("https://files.afu.se/Downloads/Transcripts/0%20-%20Government/USA%20-%20NASA%20Johnson/2011 08 24 - NASA Johnson - ISS Update - August 24, 2011_LW9QPa4o_e0 - transcript (automated).pdf","Transcript Link")</f>
        <v>Transcript Link</v>
      </c>
      <c r="M3278" s="2" t="str">
        <f>HYPERLINK("https://files.afu.se/Downloads/Transcripts/0%20-%20Government/USA%20-%20NASA%20Johnson/2011 08 24 - NASA Johnson - ISS Update - August 24, 2011_LW9QPa4o_e0 - transcript (automated).pdf","Transcript Link")</f>
        <v>Transcript Link</v>
      </c>
    </row>
    <row r="3279" ht="180" spans="1:13">
      <c r="A3279" s="1" t="s">
        <v>14375</v>
      </c>
      <c r="B3279" s="1" t="s">
        <v>13</v>
      </c>
      <c r="C3279" s="4" t="s">
        <v>14384</v>
      </c>
      <c r="D3279" s="1" t="s">
        <v>14385</v>
      </c>
      <c r="E3279" s="1" t="s">
        <v>14386</v>
      </c>
      <c r="F3279" s="4" t="s">
        <v>17</v>
      </c>
      <c r="G3279" s="1" t="s">
        <v>18</v>
      </c>
      <c r="H3279" s="1" t="s">
        <v>19</v>
      </c>
      <c r="I3279" s="1" t="s">
        <v>20</v>
      </c>
      <c r="J3279" s="1" t="s">
        <v>14387</v>
      </c>
      <c r="K3279" s="1" t="s">
        <v>22</v>
      </c>
      <c r="L3279" s="1" t="str">
        <f>HYPERLINK("https://files.afu.se/Downloads/Transcripts/0%20-%20Government/USA%20-%20NASA%20Johnson/2011 08 24 - NASA Johnson - Steven Curtis Chapman -- Live from NASA_qkqzUuK9aIk - transcript (automated).pdf","Transcript Link")</f>
        <v>Transcript Link</v>
      </c>
      <c r="M3279" s="2" t="str">
        <f>HYPERLINK("https://files.afu.se/Downloads/Transcripts/0%20-%20Government/USA%20-%20NASA%20Johnson/2011 08 24 - NASA Johnson - Steven Curtis Chapman -- Live from NASA_qkqzUuK9aIk - transcript (automated).pdf","Transcript Link")</f>
        <v>Transcript Link</v>
      </c>
    </row>
    <row r="3280" ht="180" spans="1:13">
      <c r="A3280" s="1" t="s">
        <v>14388</v>
      </c>
      <c r="B3280" s="1" t="s">
        <v>13</v>
      </c>
      <c r="C3280" s="4" t="s">
        <v>14389</v>
      </c>
      <c r="D3280" s="1" t="s">
        <v>14390</v>
      </c>
      <c r="E3280" s="1" t="s">
        <v>14391</v>
      </c>
      <c r="F3280" s="4" t="s">
        <v>17</v>
      </c>
      <c r="G3280" s="1" t="s">
        <v>18</v>
      </c>
      <c r="H3280" s="1" t="s">
        <v>19</v>
      </c>
      <c r="I3280" s="1" t="s">
        <v>20</v>
      </c>
      <c r="J3280" s="1" t="s">
        <v>14392</v>
      </c>
      <c r="K3280" s="1" t="s">
        <v>22</v>
      </c>
      <c r="L3280" s="1" t="str">
        <f>HYPERLINK("https://files.afu.se/Downloads/Transcripts/0%20-%20Government/USA%20-%20NASA%20Johnson/2011 08 23 - NASA Johnson - ISS Update - August 23, 2011_XTCQymboDOg - transcript (automated).pdf","Transcript Link")</f>
        <v>Transcript Link</v>
      </c>
      <c r="M3280" s="2" t="str">
        <f>HYPERLINK("https://files.afu.se/Downloads/Transcripts/0%20-%20Government/USA%20-%20NASA%20Johnson/2011 08 23 - NASA Johnson - ISS Update - August 23, 2011_XTCQymboDOg - transcript (automated).pdf","Transcript Link")</f>
        <v>Transcript Link</v>
      </c>
    </row>
    <row r="3281" ht="180" spans="1:13">
      <c r="A3281" s="1" t="s">
        <v>14393</v>
      </c>
      <c r="B3281" s="1" t="s">
        <v>13</v>
      </c>
      <c r="C3281" s="4" t="s">
        <v>14394</v>
      </c>
      <c r="D3281" s="1" t="s">
        <v>14395</v>
      </c>
      <c r="E3281" s="1" t="s">
        <v>14396</v>
      </c>
      <c r="F3281" s="4" t="s">
        <v>17</v>
      </c>
      <c r="G3281" s="1" t="s">
        <v>18</v>
      </c>
      <c r="H3281" s="1" t="s">
        <v>19</v>
      </c>
      <c r="I3281" s="1" t="s">
        <v>20</v>
      </c>
      <c r="J3281" s="1" t="s">
        <v>14397</v>
      </c>
      <c r="K3281" s="1" t="s">
        <v>22</v>
      </c>
      <c r="L3281" s="1" t="str">
        <f>HYPERLINK("https://files.afu.se/Downloads/Transcripts/0%20-%20Government/USA%20-%20NASA%20Johnson/2011 08 22 - NASA Johnson - Space Station Cameras Capture Views of Hurricane Irene From Orbit_Bcocoz8IZLg - transcript (automated).pdf","Transcript Link")</f>
        <v>Transcript Link</v>
      </c>
      <c r="M3281" s="2" t="str">
        <f>HYPERLINK("https://files.afu.se/Downloads/Transcripts/0%20-%20Government/USA%20-%20NASA%20Johnson/2011 08 22 - NASA Johnson - Space Station Cameras Capture Views of Hurricane Irene From Orbit_Bcocoz8IZLg - transcript (automated).pdf","Transcript Link")</f>
        <v>Transcript Link</v>
      </c>
    </row>
    <row r="3282" ht="180" spans="1:13">
      <c r="A3282" s="1" t="s">
        <v>14393</v>
      </c>
      <c r="B3282" s="1" t="s">
        <v>13</v>
      </c>
      <c r="C3282" s="4" t="s">
        <v>14398</v>
      </c>
      <c r="D3282" s="1" t="s">
        <v>14399</v>
      </c>
      <c r="E3282" s="1" t="s">
        <v>14400</v>
      </c>
      <c r="F3282" s="4" t="s">
        <v>17</v>
      </c>
      <c r="G3282" s="1" t="s">
        <v>18</v>
      </c>
      <c r="H3282" s="1" t="s">
        <v>19</v>
      </c>
      <c r="I3282" s="1" t="s">
        <v>20</v>
      </c>
      <c r="J3282" s="1" t="s">
        <v>14401</v>
      </c>
      <c r="K3282" s="1" t="s">
        <v>22</v>
      </c>
      <c r="L3282" s="1" t="str">
        <f>HYPERLINK("https://files.afu.se/Downloads/Transcripts/0%20-%20Government/USA%20-%20NASA%20Johnson/2011 08 22 - NASA Johnson - ISS Update - August 22, 2011_lbKsVfCZQG0 - transcript (automated).pdf","Transcript Link")</f>
        <v>Transcript Link</v>
      </c>
      <c r="M3282" s="2" t="str">
        <f>HYPERLINK("https://files.afu.se/Downloads/Transcripts/0%20-%20Government/USA%20-%20NASA%20Johnson/2011 08 22 - NASA Johnson - ISS Update - August 22, 2011_lbKsVfCZQG0 - transcript (automated).pdf","Transcript Link")</f>
        <v>Transcript Link</v>
      </c>
    </row>
    <row r="3283" ht="180" spans="1:13">
      <c r="A3283" s="1" t="s">
        <v>14402</v>
      </c>
      <c r="B3283" s="1" t="s">
        <v>13</v>
      </c>
      <c r="C3283" s="4" t="s">
        <v>14403</v>
      </c>
      <c r="D3283" s="1" t="s">
        <v>14404</v>
      </c>
      <c r="E3283" s="1" t="s">
        <v>14405</v>
      </c>
      <c r="F3283" s="4" t="s">
        <v>17</v>
      </c>
      <c r="G3283" s="1" t="s">
        <v>18</v>
      </c>
      <c r="H3283" s="1" t="s">
        <v>19</v>
      </c>
      <c r="I3283" s="1" t="s">
        <v>20</v>
      </c>
      <c r="J3283" s="1" t="s">
        <v>14406</v>
      </c>
      <c r="K3283" s="1" t="s">
        <v>22</v>
      </c>
      <c r="L3283" s="1" t="str">
        <f>HYPERLINK("https://files.afu.se/Downloads/Transcripts/0%20-%20Government/USA%20-%20NASA%20Johnson/2011 08 09 - NASA Johnson - Peter Frampton Hooks Up With the International Space Station_-A8MpAiD3CE - transcript (automated).pdf","Transcript Link")</f>
        <v>Transcript Link</v>
      </c>
      <c r="M3283" s="2" t="str">
        <f>HYPERLINK("https://files.afu.se/Downloads/Transcripts/0%20-%20Government/USA%20-%20NASA%20Johnson/2011 08 09 - NASA Johnson - Peter Frampton Hooks Up With the International Space Station_-A8MpAiD3CE - transcript (automated).pdf","Transcript Link")</f>
        <v>Transcript Link</v>
      </c>
    </row>
    <row r="3284" ht="180" spans="1:13">
      <c r="A3284" s="1" t="s">
        <v>14407</v>
      </c>
      <c r="B3284" s="1" t="s">
        <v>13</v>
      </c>
      <c r="C3284" s="4" t="s">
        <v>14408</v>
      </c>
      <c r="D3284" s="1" t="s">
        <v>14409</v>
      </c>
      <c r="E3284" s="1" t="s">
        <v>14410</v>
      </c>
      <c r="F3284" s="4" t="s">
        <v>17</v>
      </c>
      <c r="G3284" s="1" t="s">
        <v>18</v>
      </c>
      <c r="H3284" s="1" t="s">
        <v>19</v>
      </c>
      <c r="I3284" s="1" t="s">
        <v>20</v>
      </c>
      <c r="J3284" s="1" t="s">
        <v>14411</v>
      </c>
      <c r="K3284" s="1" t="s">
        <v>22</v>
      </c>
      <c r="L3284" s="1" t="str">
        <f>HYPERLINK("https://files.afu.se/Downloads/Transcripts/0%20-%20Government/USA%20-%20NASA%20Johnson/2011 08 08 - NASA Johnson - Internship Opportunities at Johnson Space Center_zx3B4mIcgyE - transcript (automated).pdf","Transcript Link")</f>
        <v>Transcript Link</v>
      </c>
      <c r="M3284" s="2" t="str">
        <f>HYPERLINK("https://files.afu.se/Downloads/Transcripts/0%20-%20Government/USA%20-%20NASA%20Johnson/2011 08 08 - NASA Johnson - Internship Opportunities at Johnson Space Center_zx3B4mIcgyE - transcript (automated).pdf","Transcript Link")</f>
        <v>Transcript Link</v>
      </c>
    </row>
    <row r="3285" ht="180" spans="1:13">
      <c r="A3285" s="1" t="s">
        <v>14412</v>
      </c>
      <c r="B3285" s="1" t="s">
        <v>13</v>
      </c>
      <c r="C3285" s="4" t="s">
        <v>14413</v>
      </c>
      <c r="D3285" s="1" t="s">
        <v>14414</v>
      </c>
      <c r="E3285" s="1" t="s">
        <v>14415</v>
      </c>
      <c r="F3285" s="4" t="s">
        <v>17</v>
      </c>
      <c r="G3285" s="1" t="s">
        <v>18</v>
      </c>
      <c r="H3285" s="1" t="s">
        <v>19</v>
      </c>
      <c r="I3285" s="1" t="s">
        <v>20</v>
      </c>
      <c r="J3285" s="1" t="s">
        <v>14416</v>
      </c>
      <c r="K3285" s="1" t="s">
        <v>22</v>
      </c>
      <c r="L3285" s="1" t="str">
        <f>HYPERLINK("https://files.afu.se/Downloads/Transcripts/0%20-%20Government/USA%20-%20NASA%20Johnson/2011 08 01 - NASA Johnson - Astronaut Charles Duke During an Apollo 16 Lunar Surface EVA_NiJ54Jj2rck - transcript (automated).pdf","Transcript Link")</f>
        <v>Transcript Link</v>
      </c>
      <c r="M3285" s="2" t="str">
        <f>HYPERLINK("https://files.afu.se/Downloads/Transcripts/0%20-%20Government/USA%20-%20NASA%20Johnson/2011 08 01 - NASA Johnson - Astronaut Charles Duke During an Apollo 16 Lunar Surface EVA_NiJ54Jj2rck - transcript (automated).pdf","Transcript Link")</f>
        <v>Transcript Link</v>
      </c>
    </row>
    <row r="3286" ht="180" spans="1:13">
      <c r="A3286" s="1" t="s">
        <v>14417</v>
      </c>
      <c r="B3286" s="1" t="s">
        <v>13</v>
      </c>
      <c r="C3286" s="4" t="s">
        <v>14418</v>
      </c>
      <c r="D3286" s="1" t="s">
        <v>14419</v>
      </c>
      <c r="E3286" s="1" t="s">
        <v>14420</v>
      </c>
      <c r="F3286" s="4" t="s">
        <v>17</v>
      </c>
      <c r="G3286" s="1" t="s">
        <v>18</v>
      </c>
      <c r="H3286" s="1" t="s">
        <v>19</v>
      </c>
      <c r="I3286" s="1" t="s">
        <v>20</v>
      </c>
      <c r="J3286" s="1" t="s">
        <v>14421</v>
      </c>
      <c r="K3286" s="1" t="s">
        <v>22</v>
      </c>
      <c r="L3286" s="1" t="str">
        <f>HYPERLINK("https://files.afu.se/Downloads/Transcripts/0%20-%20Government/USA%20-%20NASA%20Johnson/2011 07 21 - NASA Johnson - Flight Director Tony Ceccacci's Post-Landing Remarks_Q0jR8fqXdzg - transcript (automated).pdf","Transcript Link")</f>
        <v>Transcript Link</v>
      </c>
      <c r="M3286" s="2" t="str">
        <f>HYPERLINK("https://files.afu.se/Downloads/Transcripts/0%20-%20Government/USA%20-%20NASA%20Johnson/2011 07 21 - NASA Johnson - Flight Director Tony Ceccacci's Post-Landing Remarks_Q0jR8fqXdzg - transcript (automated).pdf","Transcript Link")</f>
        <v>Transcript Link</v>
      </c>
    </row>
    <row r="3287" ht="180" spans="1:13">
      <c r="A3287" s="1" t="s">
        <v>14417</v>
      </c>
      <c r="B3287" s="1" t="s">
        <v>13</v>
      </c>
      <c r="C3287" s="4" t="s">
        <v>14422</v>
      </c>
      <c r="D3287" s="1" t="s">
        <v>14423</v>
      </c>
      <c r="E3287" s="1" t="s">
        <v>14424</v>
      </c>
      <c r="F3287" s="4" t="s">
        <v>17</v>
      </c>
      <c r="G3287" s="1" t="s">
        <v>18</v>
      </c>
      <c r="H3287" s="1" t="s">
        <v>19</v>
      </c>
      <c r="I3287" s="1" t="s">
        <v>20</v>
      </c>
      <c r="J3287" s="1" t="s">
        <v>14425</v>
      </c>
      <c r="K3287" s="1" t="s">
        <v>22</v>
      </c>
      <c r="L3287" s="1" t="str">
        <f>HYPERLINK("https://files.afu.se/Downloads/Transcripts/0%20-%20Government/USA%20-%20NASA%20Johnson/2011 07 21 - NASA Johnson - STS-135 Flight Day 13 Interviews_0bIiA7k2WBo - transcript (automated).pdf","Transcript Link")</f>
        <v>Transcript Link</v>
      </c>
      <c r="M3287" s="2" t="str">
        <f>HYPERLINK("https://files.afu.se/Downloads/Transcripts/0%20-%20Government/USA%20-%20NASA%20Johnson/2011 07 21 - NASA Johnson - STS-135 Flight Day 13 Interviews_0bIiA7k2WBo - transcript (automated).pdf","Transcript Link")</f>
        <v>Transcript Link</v>
      </c>
    </row>
    <row r="3288" ht="180" spans="1:13">
      <c r="A3288" s="1" t="s">
        <v>14417</v>
      </c>
      <c r="B3288" s="1" t="s">
        <v>13</v>
      </c>
      <c r="C3288" s="4" t="s">
        <v>14426</v>
      </c>
      <c r="D3288" s="1" t="s">
        <v>14427</v>
      </c>
      <c r="E3288" s="1" t="s">
        <v>14428</v>
      </c>
      <c r="F3288" s="4" t="s">
        <v>17</v>
      </c>
      <c r="G3288" s="1" t="s">
        <v>18</v>
      </c>
      <c r="H3288" s="1" t="s">
        <v>19</v>
      </c>
      <c r="I3288" s="1" t="s">
        <v>20</v>
      </c>
      <c r="J3288" s="1" t="s">
        <v>14429</v>
      </c>
      <c r="K3288" s="1" t="s">
        <v>22</v>
      </c>
      <c r="L3288" s="1" t="str">
        <f>HYPERLINK("https://files.afu.se/Downloads/Transcripts/0%20-%20Government/USA%20-%20NASA%20Johnson/2011 07 21 - NASA Johnson - Landing Day Wake Up Song and Greeting_RuTMn2rPFw8 - transcript (automated).pdf","Transcript Link")</f>
        <v>Transcript Link</v>
      </c>
      <c r="M3288" s="2" t="str">
        <f>HYPERLINK("https://files.afu.se/Downloads/Transcripts/0%20-%20Government/USA%20-%20NASA%20Johnson/2011 07 21 - NASA Johnson - Landing Day Wake Up Song and Greeting_RuTMn2rPFw8 - transcript (automated).pdf","Transcript Link")</f>
        <v>Transcript Link</v>
      </c>
    </row>
    <row r="3289" ht="180" spans="1:13">
      <c r="A3289" s="1" t="s">
        <v>14430</v>
      </c>
      <c r="B3289" s="1" t="s">
        <v>13</v>
      </c>
      <c r="C3289" s="4" t="s">
        <v>14431</v>
      </c>
      <c r="D3289" s="1" t="s">
        <v>14432</v>
      </c>
      <c r="E3289" s="1" t="s">
        <v>14433</v>
      </c>
      <c r="F3289" s="4" t="s">
        <v>17</v>
      </c>
      <c r="G3289" s="1" t="s">
        <v>18</v>
      </c>
      <c r="H3289" s="1" t="s">
        <v>19</v>
      </c>
      <c r="I3289" s="1" t="s">
        <v>20</v>
      </c>
      <c r="J3289" s="1" t="s">
        <v>14434</v>
      </c>
      <c r="K3289" s="1" t="s">
        <v>22</v>
      </c>
      <c r="L3289" s="1" t="str">
        <f>HYPERLINK("https://files.afu.se/Downloads/Transcripts/0%20-%20Government/USA%20-%20NASA%20Johnson/2011 07 20 - NASA Johnson - STS-135 Daily Mission Recap - Flight Day 13_Z7QAXCM6Gz0 - transcript (automated).pdf","Transcript Link")</f>
        <v>Transcript Link</v>
      </c>
      <c r="M3289" s="2" t="str">
        <f>HYPERLINK("https://files.afu.se/Downloads/Transcripts/0%20-%20Government/USA%20-%20NASA%20Johnson/2011 07 20 - NASA Johnson - STS-135 Daily Mission Recap - Flight Day 13_Z7QAXCM6Gz0 - transcript (automated).pdf","Transcript Link")</f>
        <v>Transcript Link</v>
      </c>
    </row>
    <row r="3290" ht="180" spans="1:13">
      <c r="A3290" s="1" t="s">
        <v>14430</v>
      </c>
      <c r="B3290" s="1" t="s">
        <v>13</v>
      </c>
      <c r="C3290" s="4" t="s">
        <v>14435</v>
      </c>
      <c r="D3290" s="1" t="s">
        <v>14436</v>
      </c>
      <c r="E3290" s="1" t="s">
        <v>14437</v>
      </c>
      <c r="F3290" s="4" t="s">
        <v>17</v>
      </c>
      <c r="G3290" s="1" t="s">
        <v>18</v>
      </c>
      <c r="H3290" s="1" t="s">
        <v>19</v>
      </c>
      <c r="I3290" s="1" t="s">
        <v>20</v>
      </c>
      <c r="J3290" s="1" t="s">
        <v>14438</v>
      </c>
      <c r="K3290" s="1" t="s">
        <v>22</v>
      </c>
      <c r="L3290" s="1" t="str">
        <f>HYPERLINK("https://files.afu.se/Downloads/Transcripts/0%20-%20Government/USA%20-%20NASA%20Johnson/2011 07 20 - NASA Johnson - Kennedy Space Center Wakes STS-135 Crew_84IYJ7o3Xik - transcript (automated).pdf","Transcript Link")</f>
        <v>Transcript Link</v>
      </c>
      <c r="M3290" s="2" t="str">
        <f>HYPERLINK("https://files.afu.se/Downloads/Transcripts/0%20-%20Government/USA%20-%20NASA%20Johnson/2011 07 20 - NASA Johnson - Kennedy Space Center Wakes STS-135 Crew_84IYJ7o3Xik - transcript (automated).pdf","Transcript Link")</f>
        <v>Transcript Link</v>
      </c>
    </row>
    <row r="3291" ht="180" spans="1:13">
      <c r="A3291" s="1" t="s">
        <v>14439</v>
      </c>
      <c r="B3291" s="1" t="s">
        <v>13</v>
      </c>
      <c r="C3291" s="4" t="s">
        <v>14440</v>
      </c>
      <c r="D3291" s="1" t="s">
        <v>14441</v>
      </c>
      <c r="E3291" s="1" t="s">
        <v>14442</v>
      </c>
      <c r="F3291" s="4" t="s">
        <v>17</v>
      </c>
      <c r="G3291" s="1" t="s">
        <v>18</v>
      </c>
      <c r="H3291" s="1" t="s">
        <v>19</v>
      </c>
      <c r="I3291" s="1" t="s">
        <v>20</v>
      </c>
      <c r="J3291" s="1" t="s">
        <v>14443</v>
      </c>
      <c r="K3291" s="1" t="s">
        <v>22</v>
      </c>
      <c r="L3291" s="1" t="str">
        <f>HYPERLINK("https://files.afu.se/Downloads/Transcripts/0%20-%20Government/USA%20-%20NASA%20Johnson/2011 07 19 - NASA Johnson - STS-135 Daily Mission Recap - Flight Day 12_KXh1A_pEx7U - transcript (automated).pdf","Transcript Link")</f>
        <v>Transcript Link</v>
      </c>
      <c r="M3291" s="2" t="str">
        <f>HYPERLINK("https://files.afu.se/Downloads/Transcripts/0%20-%20Government/USA%20-%20NASA%20Johnson/2011 07 19 - NASA Johnson - STS-135 Daily Mission Recap - Flight Day 12_KXh1A_pEx7U - transcript (automated).pdf","Transcript Link")</f>
        <v>Transcript Link</v>
      </c>
    </row>
    <row r="3292" ht="180" spans="1:13">
      <c r="A3292" s="1" t="s">
        <v>14439</v>
      </c>
      <c r="B3292" s="1" t="s">
        <v>13</v>
      </c>
      <c r="C3292" s="4" t="s">
        <v>14444</v>
      </c>
      <c r="D3292" s="1" t="s">
        <v>14445</v>
      </c>
      <c r="E3292" s="1" t="s">
        <v>14446</v>
      </c>
      <c r="F3292" s="4" t="s">
        <v>17</v>
      </c>
      <c r="G3292" s="1" t="s">
        <v>18</v>
      </c>
      <c r="H3292" s="1" t="s">
        <v>19</v>
      </c>
      <c r="I3292" s="1" t="s">
        <v>20</v>
      </c>
      <c r="J3292" s="1" t="s">
        <v>14447</v>
      </c>
      <c r="K3292" s="1" t="s">
        <v>22</v>
      </c>
      <c r="L3292" s="1" t="str">
        <f>HYPERLINK("https://files.afu.se/Downloads/Transcripts/0%20-%20Government/USA%20-%20NASA%20Johnson/2011 07 19 - NASA Johnson - STS-135 Ascent Imagery Highlights_rVJDYI1BQA4 - transcript (automated).pdf","Transcript Link")</f>
        <v>Transcript Link</v>
      </c>
      <c r="M3292" s="2" t="str">
        <f>HYPERLINK("https://files.afu.se/Downloads/Transcripts/0%20-%20Government/USA%20-%20NASA%20Johnson/2011 07 19 - NASA Johnson - STS-135 Ascent Imagery Highlights_rVJDYI1BQA4 - transcript (automated).pdf","Transcript Link")</f>
        <v>Transcript Link</v>
      </c>
    </row>
    <row r="3293" ht="180" spans="1:13">
      <c r="A3293" s="1" t="s">
        <v>14439</v>
      </c>
      <c r="B3293" s="1" t="s">
        <v>13</v>
      </c>
      <c r="C3293" s="4" t="s">
        <v>14448</v>
      </c>
      <c r="D3293" s="1" t="s">
        <v>14449</v>
      </c>
      <c r="E3293" s="1" t="s">
        <v>14450</v>
      </c>
      <c r="F3293" s="4" t="s">
        <v>17</v>
      </c>
      <c r="G3293" s="1" t="s">
        <v>18</v>
      </c>
      <c r="H3293" s="1" t="s">
        <v>19</v>
      </c>
      <c r="I3293" s="1" t="s">
        <v>20</v>
      </c>
      <c r="J3293" s="1" t="s">
        <v>14451</v>
      </c>
      <c r="K3293" s="1" t="s">
        <v>22</v>
      </c>
      <c r="L3293" s="1" t="str">
        <f>HYPERLINK("https://files.afu.se/Downloads/Transcripts/0%20-%20Government/USA%20-%20NASA%20Johnson/2011 07 19 - NASA Johnson - STS-135 Undocking_OlWaFXle3VQ - transcript (automated).pdf","Transcript Link")</f>
        <v>Transcript Link</v>
      </c>
      <c r="M3293" s="2" t="str">
        <f>HYPERLINK("https://files.afu.se/Downloads/Transcripts/0%20-%20Government/USA%20-%20NASA%20Johnson/2011 07 19 - NASA Johnson - STS-135 Undocking_OlWaFXle3VQ - transcript (automated).pdf","Transcript Link")</f>
        <v>Transcript Link</v>
      </c>
    </row>
    <row r="3294" ht="180" spans="1:13">
      <c r="A3294" s="1" t="s">
        <v>14439</v>
      </c>
      <c r="B3294" s="1" t="s">
        <v>13</v>
      </c>
      <c r="C3294" s="4" t="s">
        <v>14452</v>
      </c>
      <c r="D3294" s="1" t="s">
        <v>14453</v>
      </c>
      <c r="E3294" s="1" t="s">
        <v>14454</v>
      </c>
      <c r="F3294" s="4" t="s">
        <v>17</v>
      </c>
      <c r="G3294" s="1" t="s">
        <v>18</v>
      </c>
      <c r="H3294" s="1" t="s">
        <v>19</v>
      </c>
      <c r="I3294" s="1" t="s">
        <v>20</v>
      </c>
      <c r="J3294" s="1" t="s">
        <v>14455</v>
      </c>
      <c r="K3294" s="1" t="s">
        <v>22</v>
      </c>
      <c r="L3294" s="1" t="str">
        <f>HYPERLINK("https://files.afu.se/Downloads/Transcripts/0%20-%20Government/USA%20-%20NASA%20Johnson/2011 07 19 - NASA Johnson - Flight Day 12 Wake Up Song and Greeting_PQa8fCiZRg4 - transcript (automated).pdf","Transcript Link")</f>
        <v>Transcript Link</v>
      </c>
      <c r="M3294" s="2" t="str">
        <f>HYPERLINK("https://files.afu.se/Downloads/Transcripts/0%20-%20Government/USA%20-%20NASA%20Johnson/2011 07 19 - NASA Johnson - Flight Day 12 Wake Up Song and Greeting_PQa8fCiZRg4 - transcript (automated).pdf","Transcript Link")</f>
        <v>Transcript Link</v>
      </c>
    </row>
    <row r="3295" ht="180" spans="1:13">
      <c r="A3295" s="1" t="s">
        <v>14456</v>
      </c>
      <c r="B3295" s="1" t="s">
        <v>13</v>
      </c>
      <c r="C3295" s="4" t="s">
        <v>14457</v>
      </c>
      <c r="D3295" s="1" t="s">
        <v>14458</v>
      </c>
      <c r="E3295" s="1" t="s">
        <v>14459</v>
      </c>
      <c r="F3295" s="4" t="s">
        <v>17</v>
      </c>
      <c r="G3295" s="1" t="s">
        <v>18</v>
      </c>
      <c r="H3295" s="1" t="s">
        <v>19</v>
      </c>
      <c r="I3295" s="1" t="s">
        <v>20</v>
      </c>
      <c r="J3295" s="1" t="s">
        <v>14460</v>
      </c>
      <c r="K3295" s="1" t="s">
        <v>22</v>
      </c>
      <c r="L3295" s="1" t="str">
        <f>HYPERLINK("https://files.afu.se/Downloads/Transcripts/0%20-%20Government/USA%20-%20NASA%20Johnson/2011 07 18 - NASA Johnson - STS-135 Daily Mission Recap - Flight Day 11_toabl6i4fBY - transcript (automated).pdf","Transcript Link")</f>
        <v>Transcript Link</v>
      </c>
      <c r="M3295" s="2" t="str">
        <f>HYPERLINK("https://files.afu.se/Downloads/Transcripts/0%20-%20Government/USA%20-%20NASA%20Johnson/2011 07 18 - NASA Johnson - STS-135 Daily Mission Recap - Flight Day 11_toabl6i4fBY - transcript (automated).pdf","Transcript Link")</f>
        <v>Transcript Link</v>
      </c>
    </row>
    <row r="3296" ht="180" spans="1:13">
      <c r="A3296" s="1" t="s">
        <v>14456</v>
      </c>
      <c r="B3296" s="1" t="s">
        <v>13</v>
      </c>
      <c r="C3296" s="4" t="s">
        <v>14461</v>
      </c>
      <c r="D3296" s="1" t="s">
        <v>14462</v>
      </c>
      <c r="E3296" s="1" t="s">
        <v>14463</v>
      </c>
      <c r="F3296" s="4" t="s">
        <v>17</v>
      </c>
      <c r="G3296" s="1" t="s">
        <v>18</v>
      </c>
      <c r="H3296" s="1" t="s">
        <v>19</v>
      </c>
      <c r="I3296" s="1" t="s">
        <v>20</v>
      </c>
      <c r="J3296" s="1" t="s">
        <v>14464</v>
      </c>
      <c r="K3296" s="1" t="s">
        <v>22</v>
      </c>
      <c r="L3296" s="1" t="str">
        <f>HYPERLINK("https://files.afu.se/Downloads/Transcripts/0%20-%20Government/USA%20-%20NASA%20Johnson/2011 07 18 - NASA Johnson - The STS-135 Crew Speaks with Students_GYyjMhPYjaQ - transcript (automated).pdf","Transcript Link")</f>
        <v>Transcript Link</v>
      </c>
      <c r="M3296" s="2" t="str">
        <f>HYPERLINK("https://files.afu.se/Downloads/Transcripts/0%20-%20Government/USA%20-%20NASA%20Johnson/2011 07 18 - NASA Johnson - The STS-135 Crew Speaks with Students_GYyjMhPYjaQ - transcript (automated).pdf","Transcript Link")</f>
        <v>Transcript Link</v>
      </c>
    </row>
    <row r="3297" ht="180" spans="1:13">
      <c r="A3297" s="1" t="s">
        <v>14456</v>
      </c>
      <c r="B3297" s="1" t="s">
        <v>13</v>
      </c>
      <c r="C3297" s="4" t="s">
        <v>14465</v>
      </c>
      <c r="D3297" s="1" t="s">
        <v>14466</v>
      </c>
      <c r="E3297" s="1" t="s">
        <v>14467</v>
      </c>
      <c r="F3297" s="4" t="s">
        <v>17</v>
      </c>
      <c r="G3297" s="1" t="s">
        <v>18</v>
      </c>
      <c r="H3297" s="1" t="s">
        <v>19</v>
      </c>
      <c r="I3297" s="1" t="s">
        <v>20</v>
      </c>
      <c r="J3297" s="1" t="s">
        <v>14468</v>
      </c>
      <c r="K3297" s="1" t="s">
        <v>22</v>
      </c>
      <c r="L3297" s="1" t="str">
        <f>HYPERLINK("https://files.afu.se/Downloads/Transcripts/0%20-%20Government/USA%20-%20NASA%20Johnson/2011 07 18 - NASA Johnson - The STS-135 Crew Farewell Ceremony and Hatch Closing_ra2QX00R3R0 - transcript (automated).pdf","Transcript Link")</f>
        <v>Transcript Link</v>
      </c>
      <c r="M3297" s="2" t="str">
        <f>HYPERLINK("https://files.afu.se/Downloads/Transcripts/0%20-%20Government/USA%20-%20NASA%20Johnson/2011 07 18 - NASA Johnson - The STS-135 Crew Farewell Ceremony and Hatch Closing_ra2QX00R3R0 - transcript (automated).pdf","Transcript Link")</f>
        <v>Transcript Link</v>
      </c>
    </row>
    <row r="3298" ht="180" spans="1:13">
      <c r="A3298" s="1" t="s">
        <v>14456</v>
      </c>
      <c r="B3298" s="1" t="s">
        <v>13</v>
      </c>
      <c r="C3298" s="4" t="s">
        <v>14469</v>
      </c>
      <c r="D3298" s="1" t="s">
        <v>14470</v>
      </c>
      <c r="E3298" s="1" t="s">
        <v>14471</v>
      </c>
      <c r="F3298" s="4" t="s">
        <v>17</v>
      </c>
      <c r="G3298" s="1" t="s">
        <v>18</v>
      </c>
      <c r="H3298" s="1" t="s">
        <v>19</v>
      </c>
      <c r="I3298" s="1" t="s">
        <v>20</v>
      </c>
      <c r="J3298" s="1" t="s">
        <v>14472</v>
      </c>
      <c r="K3298" s="1" t="s">
        <v>22</v>
      </c>
      <c r="L3298" s="1" t="str">
        <f>HYPERLINK("https://files.afu.se/Downloads/Transcripts/0%20-%20Government/USA%20-%20NASA%20Johnson/2011 07 18 - NASA Johnson - Johnson Space Center Wakes STS-135 Crew_dDMZ5j_jrds - transcript (automated).pdf","Transcript Link")</f>
        <v>Transcript Link</v>
      </c>
      <c r="M3298" s="2" t="str">
        <f>HYPERLINK("https://files.afu.se/Downloads/Transcripts/0%20-%20Government/USA%20-%20NASA%20Johnson/2011 07 18 - NASA Johnson - Johnson Space Center Wakes STS-135 Crew_dDMZ5j_jrds - transcript (automated).pdf","Transcript Link")</f>
        <v>Transcript Link</v>
      </c>
    </row>
    <row r="3299" ht="180" spans="1:13">
      <c r="A3299" s="1" t="s">
        <v>14473</v>
      </c>
      <c r="B3299" s="1" t="s">
        <v>13</v>
      </c>
      <c r="C3299" s="4" t="s">
        <v>14474</v>
      </c>
      <c r="D3299" s="1" t="s">
        <v>14475</v>
      </c>
      <c r="E3299" s="1" t="s">
        <v>14476</v>
      </c>
      <c r="F3299" s="4" t="s">
        <v>17</v>
      </c>
      <c r="G3299" s="1" t="s">
        <v>18</v>
      </c>
      <c r="H3299" s="1" t="s">
        <v>19</v>
      </c>
      <c r="I3299" s="1" t="s">
        <v>20</v>
      </c>
      <c r="J3299" s="1" t="s">
        <v>14477</v>
      </c>
      <c r="K3299" s="1" t="s">
        <v>22</v>
      </c>
      <c r="L3299" s="1" t="str">
        <f>HYPERLINK("https://files.afu.se/Downloads/Transcripts/0%20-%20Government/USA%20-%20NASA%20Johnson/2011 07 17 - NASA Johnson - STS-135 Daily Mission Recap - Flight Day 10_mVxfhZUSppY - transcript (automated).pdf","Transcript Link")</f>
        <v>Transcript Link</v>
      </c>
      <c r="M3299" s="2" t="str">
        <f>HYPERLINK("https://files.afu.se/Downloads/Transcripts/0%20-%20Government/USA%20-%20NASA%20Johnson/2011 07 17 - NASA Johnson - STS-135 Daily Mission Recap - Flight Day 10_mVxfhZUSppY - transcript (automated).pdf","Transcript Link")</f>
        <v>Transcript Link</v>
      </c>
    </row>
    <row r="3300" ht="180" spans="1:13">
      <c r="A3300" s="1" t="s">
        <v>14473</v>
      </c>
      <c r="B3300" s="1" t="s">
        <v>13</v>
      </c>
      <c r="C3300" s="4" t="s">
        <v>14478</v>
      </c>
      <c r="D3300" s="1" t="s">
        <v>14479</v>
      </c>
      <c r="E3300" s="1" t="s">
        <v>14480</v>
      </c>
      <c r="F3300" s="4" t="s">
        <v>17</v>
      </c>
      <c r="G3300" s="1" t="s">
        <v>18</v>
      </c>
      <c r="H3300" s="1" t="s">
        <v>19</v>
      </c>
      <c r="I3300" s="1" t="s">
        <v>20</v>
      </c>
      <c r="J3300" s="1" t="s">
        <v>14481</v>
      </c>
      <c r="K3300" s="1" t="s">
        <v>22</v>
      </c>
      <c r="L3300" s="1" t="str">
        <f>HYPERLINK("https://files.afu.se/Downloads/Transcripts/0%20-%20Government/USA%20-%20NASA%20Johnson/2011 07 17 - NASA Johnson - Stennis Space Center Wakes STS-135 Crew_ATgxiy1Ewho - transcript (automated).pdf","Transcript Link")</f>
        <v>Transcript Link</v>
      </c>
      <c r="M3300" s="2" t="str">
        <f>HYPERLINK("https://files.afu.se/Downloads/Transcripts/0%20-%20Government/USA%20-%20NASA%20Johnson/2011 07 17 - NASA Johnson - Stennis Space Center Wakes STS-135 Crew_ATgxiy1Ewho - transcript (automated).pdf","Transcript Link")</f>
        <v>Transcript Link</v>
      </c>
    </row>
    <row r="3301" ht="180" spans="1:13">
      <c r="A3301" s="1" t="s">
        <v>14482</v>
      </c>
      <c r="B3301" s="1" t="s">
        <v>13</v>
      </c>
      <c r="C3301" s="4" t="s">
        <v>14483</v>
      </c>
      <c r="D3301" s="1" t="s">
        <v>14484</v>
      </c>
      <c r="E3301" s="1" t="s">
        <v>14485</v>
      </c>
      <c r="F3301" s="4" t="s">
        <v>17</v>
      </c>
      <c r="G3301" s="1" t="s">
        <v>18</v>
      </c>
      <c r="H3301" s="1" t="s">
        <v>19</v>
      </c>
      <c r="I3301" s="1" t="s">
        <v>20</v>
      </c>
      <c r="J3301" s="1" t="s">
        <v>14486</v>
      </c>
      <c r="K3301" s="1" t="s">
        <v>22</v>
      </c>
      <c r="L3301" s="1" t="str">
        <f>HYPERLINK("https://files.afu.se/Downloads/Transcripts/0%20-%20Government/USA%20-%20NASA%20Johnson/2011 07 16 - NASA Johnson - STS-135 and Expedition 28 Joint Crew News Conference_PjDd767IkFs - transcript (automated).pdf","Transcript Link")</f>
        <v>Transcript Link</v>
      </c>
      <c r="M3301" s="2" t="str">
        <f>HYPERLINK("https://files.afu.se/Downloads/Transcripts/0%20-%20Government/USA%20-%20NASA%20Johnson/2011 07 16 - NASA Johnson - STS-135 and Expedition 28 Joint Crew News Conference_PjDd767IkFs - transcript (automated).pdf","Transcript Link")</f>
        <v>Transcript Link</v>
      </c>
    </row>
    <row r="3302" ht="180" spans="1:13">
      <c r="A3302" s="1" t="s">
        <v>14482</v>
      </c>
      <c r="B3302" s="1" t="s">
        <v>13</v>
      </c>
      <c r="C3302" s="4" t="s">
        <v>14487</v>
      </c>
      <c r="D3302" s="1" t="s">
        <v>14488</v>
      </c>
      <c r="E3302" s="1" t="s">
        <v>14489</v>
      </c>
      <c r="F3302" s="4" t="s">
        <v>17</v>
      </c>
      <c r="G3302" s="1" t="s">
        <v>18</v>
      </c>
      <c r="H3302" s="1" t="s">
        <v>19</v>
      </c>
      <c r="I3302" s="1" t="s">
        <v>20</v>
      </c>
      <c r="J3302" s="1" t="s">
        <v>14490</v>
      </c>
      <c r="K3302" s="1" t="s">
        <v>22</v>
      </c>
      <c r="L3302" s="1" t="str">
        <f>HYPERLINK("https://files.afu.se/Downloads/Transcripts/0%20-%20Government/USA%20-%20NASA%20Johnson/2011 07 16 - NASA Johnson - STS-135 Flight Day 8 Interviews, Part 2_1sTTV3SUGzE - transcript (automated).pdf","Transcript Link")</f>
        <v>Transcript Link</v>
      </c>
      <c r="M3302" s="2" t="str">
        <f>HYPERLINK("https://files.afu.se/Downloads/Transcripts/0%20-%20Government/USA%20-%20NASA%20Johnson/2011 07 16 - NASA Johnson - STS-135 Flight Day 8 Interviews, Part 2_1sTTV3SUGzE - transcript (automated).pdf","Transcript Link")</f>
        <v>Transcript Link</v>
      </c>
    </row>
    <row r="3303" ht="180" spans="1:13">
      <c r="A3303" s="1" t="s">
        <v>14482</v>
      </c>
      <c r="B3303" s="1" t="s">
        <v>13</v>
      </c>
      <c r="C3303" s="4" t="s">
        <v>14491</v>
      </c>
      <c r="D3303" s="1" t="s">
        <v>14492</v>
      </c>
      <c r="E3303" s="1" t="s">
        <v>14489</v>
      </c>
      <c r="F3303" s="4" t="s">
        <v>17</v>
      </c>
      <c r="G3303" s="1" t="s">
        <v>18</v>
      </c>
      <c r="H3303" s="1" t="s">
        <v>19</v>
      </c>
      <c r="I3303" s="1" t="s">
        <v>20</v>
      </c>
      <c r="J3303" s="1" t="s">
        <v>14493</v>
      </c>
      <c r="K3303" s="1" t="s">
        <v>22</v>
      </c>
      <c r="L3303" s="1" t="str">
        <f>HYPERLINK("https://files.afu.se/Downloads/Transcripts/0%20-%20Government/USA%20-%20NASA%20Johnson/2011 07 16 - NASA Johnson - STS-135 Flight Day 8 Interviews, Part 1_Tb4biKCRPOg - transcript (automated).pdf","Transcript Link")</f>
        <v>Transcript Link</v>
      </c>
      <c r="M3303" s="2" t="str">
        <f>HYPERLINK("https://files.afu.se/Downloads/Transcripts/0%20-%20Government/USA%20-%20NASA%20Johnson/2011 07 16 - NASA Johnson - STS-135 Flight Day 8 Interviews, Part 1_Tb4biKCRPOg - transcript (automated).pdf","Transcript Link")</f>
        <v>Transcript Link</v>
      </c>
    </row>
    <row r="3304" ht="180" spans="1:13">
      <c r="A3304" s="1" t="s">
        <v>14482</v>
      </c>
      <c r="B3304" s="1" t="s">
        <v>13</v>
      </c>
      <c r="C3304" s="4" t="s">
        <v>14494</v>
      </c>
      <c r="D3304" s="1" t="s">
        <v>14495</v>
      </c>
      <c r="E3304" s="1" t="s">
        <v>14496</v>
      </c>
      <c r="F3304" s="4" t="s">
        <v>17</v>
      </c>
      <c r="G3304" s="1" t="s">
        <v>18</v>
      </c>
      <c r="H3304" s="1" t="s">
        <v>19</v>
      </c>
      <c r="I3304" s="1" t="s">
        <v>20</v>
      </c>
      <c r="J3304" s="1" t="s">
        <v>14497</v>
      </c>
      <c r="K3304" s="1" t="s">
        <v>22</v>
      </c>
      <c r="L3304" s="1" t="str">
        <f>HYPERLINK("https://files.afu.se/Downloads/Transcripts/0%20-%20Government/USA%20-%20NASA%20Johnson/2011 07 16 - NASA Johnson - STS-135 Daily Mission Recap - Flight Day 9_rs_eT_0FXw0 - transcript (automated).pdf","Transcript Link")</f>
        <v>Transcript Link</v>
      </c>
      <c r="M3304" s="2" t="str">
        <f>HYPERLINK("https://files.afu.se/Downloads/Transcripts/0%20-%20Government/USA%20-%20NASA%20Johnson/2011 07 16 - NASA Johnson - STS-135 Daily Mission Recap - Flight Day 9_rs_eT_0FXw0 - transcript (automated).pdf","Transcript Link")</f>
        <v>Transcript Link</v>
      </c>
    </row>
    <row r="3305" ht="180" spans="1:13">
      <c r="A3305" s="1" t="s">
        <v>14482</v>
      </c>
      <c r="B3305" s="1" t="s">
        <v>13</v>
      </c>
      <c r="C3305" s="4" t="s">
        <v>14498</v>
      </c>
      <c r="D3305" s="1" t="s">
        <v>14499</v>
      </c>
      <c r="E3305" s="1" t="s">
        <v>14500</v>
      </c>
      <c r="F3305" s="4" t="s">
        <v>17</v>
      </c>
      <c r="G3305" s="1" t="s">
        <v>18</v>
      </c>
      <c r="H3305" s="1" t="s">
        <v>19</v>
      </c>
      <c r="I3305" s="1" t="s">
        <v>20</v>
      </c>
      <c r="J3305" s="1" t="s">
        <v>14501</v>
      </c>
      <c r="K3305" s="1" t="s">
        <v>22</v>
      </c>
      <c r="L3305" s="1" t="str">
        <f>HYPERLINK("https://files.afu.se/Downloads/Transcripts/0%20-%20Government/USA%20-%20NASA%20Johnson/2011 07 16 - NASA Johnson - STS-135 Crew Tribute to the Space Shuttle Program_9PbTjXC2WwA - transcript (automated).pdf","Transcript Link")</f>
        <v>Transcript Link</v>
      </c>
      <c r="M3305" s="2" t="str">
        <f>HYPERLINK("https://files.afu.se/Downloads/Transcripts/0%20-%20Government/USA%20-%20NASA%20Johnson/2011 07 16 - NASA Johnson - STS-135 Crew Tribute to the Space Shuttle Program_9PbTjXC2WwA - transcript (automated).pdf","Transcript Link")</f>
        <v>Transcript Link</v>
      </c>
    </row>
    <row r="3306" ht="180" spans="1:13">
      <c r="A3306" s="1" t="s">
        <v>14482</v>
      </c>
      <c r="B3306" s="1" t="s">
        <v>13</v>
      </c>
      <c r="C3306" s="4" t="s">
        <v>14502</v>
      </c>
      <c r="D3306" s="1" t="s">
        <v>14503</v>
      </c>
      <c r="E3306" s="1" t="s">
        <v>14504</v>
      </c>
      <c r="F3306" s="4" t="s">
        <v>17</v>
      </c>
      <c r="G3306" s="1" t="s">
        <v>18</v>
      </c>
      <c r="H3306" s="1" t="s">
        <v>19</v>
      </c>
      <c r="I3306" s="1" t="s">
        <v>20</v>
      </c>
      <c r="J3306" s="1" t="s">
        <v>14505</v>
      </c>
      <c r="K3306" s="1" t="s">
        <v>22</v>
      </c>
      <c r="L3306" s="1" t="str">
        <f>HYPERLINK("https://files.afu.se/Downloads/Transcripts/0%20-%20Government/USA%20-%20NASA%20Johnson/2011 07 16 - NASA Johnson - Crew World Cup Message_anRlH-CqYew - transcript (automated).pdf","Transcript Link")</f>
        <v>Transcript Link</v>
      </c>
      <c r="M3306" s="2" t="str">
        <f>HYPERLINK("https://files.afu.se/Downloads/Transcripts/0%20-%20Government/USA%20-%20NASA%20Johnson/2011 07 16 - NASA Johnson - Crew World Cup Message_anRlH-CqYew - transcript (automated).pdf","Transcript Link")</f>
        <v>Transcript Link</v>
      </c>
    </row>
    <row r="3307" ht="180" spans="1:13">
      <c r="A3307" s="1" t="s">
        <v>14482</v>
      </c>
      <c r="B3307" s="1" t="s">
        <v>13</v>
      </c>
      <c r="C3307" s="4" t="s">
        <v>14506</v>
      </c>
      <c r="D3307" s="1" t="s">
        <v>14507</v>
      </c>
      <c r="E3307" s="1" t="s">
        <v>14508</v>
      </c>
      <c r="F3307" s="4" t="s">
        <v>17</v>
      </c>
      <c r="G3307" s="1" t="s">
        <v>18</v>
      </c>
      <c r="H3307" s="1" t="s">
        <v>19</v>
      </c>
      <c r="I3307" s="1" t="s">
        <v>20</v>
      </c>
      <c r="J3307" s="1" t="s">
        <v>14509</v>
      </c>
      <c r="K3307" s="1" t="s">
        <v>22</v>
      </c>
      <c r="L3307" s="1" t="str">
        <f>HYPERLINK("https://files.afu.se/Downloads/Transcripts/0%20-%20Government/USA%20-%20NASA%20Johnson/2011 07 16 - NASA Johnson - Beyonce  Brings It  On Orbit_dtwQvCbw9Qk - transcript (automated).pdf","Transcript Link")</f>
        <v>Transcript Link</v>
      </c>
      <c r="M3307" s="2" t="str">
        <f>HYPERLINK("https://files.afu.se/Downloads/Transcripts/0%20-%20Government/USA%20-%20NASA%20Johnson/2011 07 16 - NASA Johnson - Beyonce  Brings It  On Orbit_dtwQvCbw9Qk - transcript (automated).pdf","Transcript Link")</f>
        <v>Transcript Link</v>
      </c>
    </row>
    <row r="3308" ht="180" spans="1:13">
      <c r="A3308" s="1" t="s">
        <v>14510</v>
      </c>
      <c r="B3308" s="1" t="s">
        <v>13</v>
      </c>
      <c r="C3308" s="4" t="s">
        <v>14511</v>
      </c>
      <c r="D3308" s="1" t="s">
        <v>14512</v>
      </c>
      <c r="E3308" s="1" t="s">
        <v>14513</v>
      </c>
      <c r="F3308" s="4" t="s">
        <v>17</v>
      </c>
      <c r="G3308" s="1" t="s">
        <v>18</v>
      </c>
      <c r="H3308" s="1" t="s">
        <v>19</v>
      </c>
      <c r="I3308" s="1" t="s">
        <v>20</v>
      </c>
      <c r="J3308" s="1" t="s">
        <v>14514</v>
      </c>
      <c r="K3308" s="1" t="s">
        <v>22</v>
      </c>
      <c r="L3308" s="1" t="str">
        <f>HYPERLINK("https://files.afu.se/Downloads/Transcripts/0%20-%20Government/USA%20-%20NASA%20Johnson/2011 07 15 - NASA Johnson - STS-135 Daily Mission Recap - Flight Day 8_4ckuxkYJZF8 - transcript (automated).pdf","Transcript Link")</f>
        <v>Transcript Link</v>
      </c>
      <c r="M3308" s="2" t="str">
        <f>HYPERLINK("https://files.afu.se/Downloads/Transcripts/0%20-%20Government/USA%20-%20NASA%20Johnson/2011 07 15 - NASA Johnson - STS-135 Daily Mission Recap - Flight Day 8_4ckuxkYJZF8 - transcript (automated).pdf","Transcript Link")</f>
        <v>Transcript Link</v>
      </c>
    </row>
    <row r="3309" ht="180" spans="1:13">
      <c r="A3309" s="1" t="s">
        <v>14510</v>
      </c>
      <c r="B3309" s="1" t="s">
        <v>13</v>
      </c>
      <c r="C3309" s="4" t="s">
        <v>14515</v>
      </c>
      <c r="D3309" s="1" t="s">
        <v>14516</v>
      </c>
      <c r="E3309" s="1" t="s">
        <v>14517</v>
      </c>
      <c r="F3309" s="4" t="s">
        <v>17</v>
      </c>
      <c r="G3309" s="1" t="s">
        <v>18</v>
      </c>
      <c r="H3309" s="1" t="s">
        <v>19</v>
      </c>
      <c r="I3309" s="1" t="s">
        <v>20</v>
      </c>
      <c r="J3309" s="1" t="s">
        <v>14518</v>
      </c>
      <c r="K3309" s="1" t="s">
        <v>22</v>
      </c>
      <c r="L3309" s="1" t="str">
        <f>HYPERLINK("https://files.afu.se/Downloads/Transcripts/0%20-%20Government/USA%20-%20NASA%20Johnson/2011 07 15 - NASA Johnson - STS-135 Flight Day 7 Interviews, Part 2_iV-X0NcG8Lc - transcript (automated).pdf","Transcript Link")</f>
        <v>Transcript Link</v>
      </c>
      <c r="M3309" s="2" t="str">
        <f>HYPERLINK("https://files.afu.se/Downloads/Transcripts/0%20-%20Government/USA%20-%20NASA%20Johnson/2011 07 15 - NASA Johnson - STS-135 Flight Day 7 Interviews, Part 2_iV-X0NcG8Lc - transcript (automated).pdf","Transcript Link")</f>
        <v>Transcript Link</v>
      </c>
    </row>
    <row r="3310" ht="180" spans="1:13">
      <c r="A3310" s="1" t="s">
        <v>14510</v>
      </c>
      <c r="B3310" s="1" t="s">
        <v>13</v>
      </c>
      <c r="C3310" s="4" t="s">
        <v>14519</v>
      </c>
      <c r="D3310" s="1" t="s">
        <v>14520</v>
      </c>
      <c r="E3310" s="1" t="s">
        <v>14521</v>
      </c>
      <c r="F3310" s="4" t="s">
        <v>17</v>
      </c>
      <c r="G3310" s="1" t="s">
        <v>18</v>
      </c>
      <c r="H3310" s="1" t="s">
        <v>19</v>
      </c>
      <c r="I3310" s="1" t="s">
        <v>20</v>
      </c>
      <c r="J3310" s="1" t="s">
        <v>14522</v>
      </c>
      <c r="K3310" s="1" t="s">
        <v>22</v>
      </c>
      <c r="L3310" s="1" t="str">
        <f>HYPERLINK("https://files.afu.se/Downloads/Transcripts/0%20-%20Government/USA%20-%20NASA%20Johnson/2011 07 15 - NASA Johnson - STS-135 Flight Day 7 Interviews, Part 1_RiQUvyGGu6A - transcript (automated).pdf","Transcript Link")</f>
        <v>Transcript Link</v>
      </c>
      <c r="M3310" s="2" t="str">
        <f>HYPERLINK("https://files.afu.se/Downloads/Transcripts/0%20-%20Government/USA%20-%20NASA%20Johnson/2011 07 15 - NASA Johnson - STS-135 Flight Day 7 Interviews, Part 1_RiQUvyGGu6A - transcript (automated).pdf","Transcript Link")</f>
        <v>Transcript Link</v>
      </c>
    </row>
    <row r="3311" ht="390" spans="1:13">
      <c r="A3311" s="1" t="s">
        <v>14510</v>
      </c>
      <c r="B3311" s="1" t="s">
        <v>13</v>
      </c>
      <c r="C3311" s="4" t="s">
        <v>14523</v>
      </c>
      <c r="D3311" s="1" t="s">
        <v>14524</v>
      </c>
      <c r="E3311" s="1" t="s">
        <v>14525</v>
      </c>
      <c r="F3311" s="4" t="s">
        <v>17</v>
      </c>
      <c r="G3311" s="1" t="s">
        <v>18</v>
      </c>
      <c r="H3311" s="1" t="s">
        <v>19</v>
      </c>
      <c r="I3311" s="1" t="s">
        <v>20</v>
      </c>
      <c r="J3311" s="1" t="s">
        <v>14526</v>
      </c>
      <c r="K3311" s="1" t="s">
        <v>22</v>
      </c>
      <c r="L3311" s="1" t="str">
        <f>HYPERLINK("https://files.afu.se/Downloads/Transcripts/0%20-%20Government/USA%20-%20NASA%20Johnson/2011 07 15 - NASA Johnson - Sir Paul Awakens Final Shuttle Crew_MT7C5zX_lMQ - transcript (automated).pdf","Transcript Link")</f>
        <v>Transcript Link</v>
      </c>
      <c r="M3311" s="2" t="str">
        <f>HYPERLINK("https://files.afu.se/Downloads/Transcripts/0%20-%20Government/USA%20-%20NASA%20Johnson/2011 07 15 - NASA Johnson - Sir Paul Awakens Final Shuttle Crew_MT7C5zX_lMQ - transcript (automated).pdf","Transcript Link")</f>
        <v>Transcript Link</v>
      </c>
    </row>
    <row r="3312" ht="180" spans="1:13">
      <c r="A3312" s="1" t="s">
        <v>14527</v>
      </c>
      <c r="B3312" s="1" t="s">
        <v>13</v>
      </c>
      <c r="C3312" s="4" t="s">
        <v>14528</v>
      </c>
      <c r="D3312" s="1" t="s">
        <v>14529</v>
      </c>
      <c r="E3312" s="1" t="s">
        <v>14530</v>
      </c>
      <c r="F3312" s="4" t="s">
        <v>17</v>
      </c>
      <c r="G3312" s="1" t="s">
        <v>18</v>
      </c>
      <c r="H3312" s="1" t="s">
        <v>19</v>
      </c>
      <c r="I3312" s="1" t="s">
        <v>20</v>
      </c>
      <c r="J3312" s="1" t="s">
        <v>14531</v>
      </c>
      <c r="K3312" s="1" t="s">
        <v>22</v>
      </c>
      <c r="L3312" s="1" t="str">
        <f>HYPERLINK("https://files.afu.se/Downloads/Transcripts/0%20-%20Government/USA%20-%20NASA%20Johnson/2011 07 14 - NASA Johnson - STS-135 Centennial of Naval Aviation Message_ladwrg_K-u4 - transcript (automated).pdf","Transcript Link")</f>
        <v>Transcript Link</v>
      </c>
      <c r="M3312" s="2" t="str">
        <f>HYPERLINK("https://files.afu.se/Downloads/Transcripts/0%20-%20Government/USA%20-%20NASA%20Johnson/2011 07 14 - NASA Johnson - STS-135 Centennial of Naval Aviation Message_ladwrg_K-u4 - transcript (automated).pdf","Transcript Link")</f>
        <v>Transcript Link</v>
      </c>
    </row>
    <row r="3313" ht="180" spans="1:13">
      <c r="A3313" s="1" t="s">
        <v>14527</v>
      </c>
      <c r="B3313" s="1" t="s">
        <v>13</v>
      </c>
      <c r="C3313" s="4" t="s">
        <v>14532</v>
      </c>
      <c r="D3313" s="1" t="s">
        <v>14533</v>
      </c>
      <c r="E3313" s="1" t="s">
        <v>14534</v>
      </c>
      <c r="F3313" s="4" t="s">
        <v>17</v>
      </c>
      <c r="G3313" s="1" t="s">
        <v>18</v>
      </c>
      <c r="H3313" s="1" t="s">
        <v>19</v>
      </c>
      <c r="I3313" s="1" t="s">
        <v>20</v>
      </c>
      <c r="J3313" s="1" t="s">
        <v>14535</v>
      </c>
      <c r="K3313" s="1" t="s">
        <v>22</v>
      </c>
      <c r="L3313" s="1" t="str">
        <f>HYPERLINK("https://files.afu.se/Downloads/Transcripts/0%20-%20Government/USA%20-%20NASA%20Johnson/2011 07 14 - NASA Johnson - STS-135 Daily Mission Recap - Flight Day 7_zg1NgO4ZucM - transcript (automated).pdf","Transcript Link")</f>
        <v>Transcript Link</v>
      </c>
      <c r="M3313" s="2" t="str">
        <f>HYPERLINK("https://files.afu.se/Downloads/Transcripts/0%20-%20Government/USA%20-%20NASA%20Johnson/2011 07 14 - NASA Johnson - STS-135 Daily Mission Recap - Flight Day 7_zg1NgO4ZucM - transcript (automated).pdf","Transcript Link")</f>
        <v>Transcript Link</v>
      </c>
    </row>
    <row r="3314" ht="180" spans="1:13">
      <c r="A3314" s="1" t="s">
        <v>14527</v>
      </c>
      <c r="B3314" s="1" t="s">
        <v>13</v>
      </c>
      <c r="C3314" s="4" t="s">
        <v>14536</v>
      </c>
      <c r="D3314" s="1" t="s">
        <v>14537</v>
      </c>
      <c r="E3314" s="1" t="s">
        <v>14538</v>
      </c>
      <c r="F3314" s="4" t="s">
        <v>17</v>
      </c>
      <c r="G3314" s="1" t="s">
        <v>18</v>
      </c>
      <c r="H3314" s="1" t="s">
        <v>19</v>
      </c>
      <c r="I3314" s="1" t="s">
        <v>20</v>
      </c>
      <c r="J3314" s="1" t="s">
        <v>14539</v>
      </c>
      <c r="K3314" s="1" t="s">
        <v>22</v>
      </c>
      <c r="L3314" s="1" t="str">
        <f>HYPERLINK("https://files.afu.se/Downloads/Transcripts/0%20-%20Government/USA%20-%20NASA%20Johnson/2011 07 14 - NASA Johnson - The STS-135 Crew Participates in Interviews_qCMGjdI-TKw - transcript (automated).pdf","Transcript Link")</f>
        <v>Transcript Link</v>
      </c>
      <c r="M3314" s="2" t="str">
        <f>HYPERLINK("https://files.afu.se/Downloads/Transcripts/0%20-%20Government/USA%20-%20NASA%20Johnson/2011 07 14 - NASA Johnson - The STS-135 Crew Participates in Interviews_qCMGjdI-TKw - transcript (automated).pdf","Transcript Link")</f>
        <v>Transcript Link</v>
      </c>
    </row>
    <row r="3315" ht="180" spans="1:13">
      <c r="A3315" s="1" t="s">
        <v>14527</v>
      </c>
      <c r="B3315" s="1" t="s">
        <v>13</v>
      </c>
      <c r="C3315" s="4" t="s">
        <v>14540</v>
      </c>
      <c r="D3315" s="1" t="s">
        <v>14541</v>
      </c>
      <c r="E3315" s="1" t="s">
        <v>14542</v>
      </c>
      <c r="F3315" s="4" t="s">
        <v>17</v>
      </c>
      <c r="G3315" s="1" t="s">
        <v>18</v>
      </c>
      <c r="H3315" s="1" t="s">
        <v>19</v>
      </c>
      <c r="I3315" s="1" t="s">
        <v>20</v>
      </c>
      <c r="J3315" s="1" t="s">
        <v>14543</v>
      </c>
      <c r="K3315" s="1" t="s">
        <v>22</v>
      </c>
      <c r="L3315" s="1" t="str">
        <f>HYPERLINK("https://files.afu.se/Downloads/Transcripts/0%20-%20Government/USA%20-%20NASA%20Johnson/2011 07 14 - NASA Johnson - Michael Stipe Wake Up Song and Greeting_FheKP4YgLwk - transcript (automated).pdf","Transcript Link")</f>
        <v>Transcript Link</v>
      </c>
      <c r="M3315" s="2" t="str">
        <f>HYPERLINK("https://files.afu.se/Downloads/Transcripts/0%20-%20Government/USA%20-%20NASA%20Johnson/2011 07 14 - NASA Johnson - Michael Stipe Wake Up Song and Greeting_FheKP4YgLwk - transcript (automated).pdf","Transcript Link")</f>
        <v>Transcript Link</v>
      </c>
    </row>
    <row r="3316" ht="180" spans="1:13">
      <c r="A3316" s="1" t="s">
        <v>14544</v>
      </c>
      <c r="B3316" s="1" t="s">
        <v>13</v>
      </c>
      <c r="C3316" s="4" t="s">
        <v>14545</v>
      </c>
      <c r="D3316" s="1" t="s">
        <v>14546</v>
      </c>
      <c r="E3316" s="1" t="s">
        <v>14547</v>
      </c>
      <c r="F3316" s="4" t="s">
        <v>17</v>
      </c>
      <c r="G3316" s="1" t="s">
        <v>18</v>
      </c>
      <c r="H3316" s="1" t="s">
        <v>19</v>
      </c>
      <c r="I3316" s="1" t="s">
        <v>20</v>
      </c>
      <c r="J3316" s="1" t="s">
        <v>14548</v>
      </c>
      <c r="K3316" s="1" t="s">
        <v>22</v>
      </c>
      <c r="L3316" s="1" t="str">
        <f>HYPERLINK("https://files.afu.se/Downloads/Transcripts/0%20-%20Government/USA%20-%20NASA%20Johnson/2011 07 13 - NASA Johnson - STS-135 Daily Mission Recap - Flight Day 6_eA3uNh_QIzc - transcript (automated).pdf","Transcript Link")</f>
        <v>Transcript Link</v>
      </c>
      <c r="M3316" s="2" t="str">
        <f>HYPERLINK("https://files.afu.se/Downloads/Transcripts/0%20-%20Government/USA%20-%20NASA%20Johnson/2011 07 13 - NASA Johnson - STS-135 Daily Mission Recap - Flight Day 6_eA3uNh_QIzc - transcript (automated).pdf","Transcript Link")</f>
        <v>Transcript Link</v>
      </c>
    </row>
    <row r="3317" ht="180" spans="1:13">
      <c r="A3317" s="1" t="s">
        <v>14544</v>
      </c>
      <c r="B3317" s="1" t="s">
        <v>13</v>
      </c>
      <c r="C3317" s="4" t="s">
        <v>14549</v>
      </c>
      <c r="D3317" s="1" t="s">
        <v>14550</v>
      </c>
      <c r="E3317" s="1" t="s">
        <v>14551</v>
      </c>
      <c r="F3317" s="4" t="s">
        <v>17</v>
      </c>
      <c r="G3317" s="1" t="s">
        <v>18</v>
      </c>
      <c r="H3317" s="1" t="s">
        <v>19</v>
      </c>
      <c r="I3317" s="1" t="s">
        <v>20</v>
      </c>
      <c r="J3317" s="1" t="s">
        <v>14552</v>
      </c>
      <c r="K3317" s="1" t="s">
        <v>22</v>
      </c>
      <c r="L3317" s="1" t="str">
        <f>HYPERLINK("https://files.afu.se/Downloads/Transcripts/0%20-%20Government/USA%20-%20NASA%20Johnson/2011 07 13 - NASA Johnson - A Message From NASA Astronauts to the Space Shuttle Workforce_2lD1xnxWAhQ - transcript (automated).pdf","Transcript Link")</f>
        <v>Transcript Link</v>
      </c>
      <c r="M3317" s="2" t="str">
        <f>HYPERLINK("https://files.afu.se/Downloads/Transcripts/0%20-%20Government/USA%20-%20NASA%20Johnson/2011 07 13 - NASA Johnson - A Message From NASA Astronauts to the Space Shuttle Workforce_2lD1xnxWAhQ - transcript (automated).pdf","Transcript Link")</f>
        <v>Transcript Link</v>
      </c>
    </row>
    <row r="3318" ht="255" spans="1:13">
      <c r="A3318" s="1" t="s">
        <v>14544</v>
      </c>
      <c r="B3318" s="1" t="s">
        <v>13</v>
      </c>
      <c r="C3318" s="4" t="s">
        <v>14553</v>
      </c>
      <c r="D3318" s="1" t="s">
        <v>14554</v>
      </c>
      <c r="E3318" s="1" t="s">
        <v>14555</v>
      </c>
      <c r="F3318" s="4" t="s">
        <v>17</v>
      </c>
      <c r="G3318" s="1" t="s">
        <v>18</v>
      </c>
      <c r="H3318" s="1" t="s">
        <v>19</v>
      </c>
      <c r="I3318" s="1" t="s">
        <v>20</v>
      </c>
      <c r="J3318" s="1" t="s">
        <v>14556</v>
      </c>
      <c r="K3318" s="1" t="s">
        <v>22</v>
      </c>
      <c r="L3318" s="1" t="str">
        <f>HYPERLINK("https://files.afu.se/Downloads/Transcripts/0%20-%20Government/USA%20-%20NASA%20Johnson/2011 07 13 - NASA Johnson - Elton John Wake Up Song and Greeting for STS-135_boTpJ16GJaM - transcript (automated).pdf","Transcript Link")</f>
        <v>Transcript Link</v>
      </c>
      <c r="M3318" s="2" t="str">
        <f>HYPERLINK("https://files.afu.se/Downloads/Transcripts/0%20-%20Government/USA%20-%20NASA%20Johnson/2011 07 13 - NASA Johnson - Elton John Wake Up Song and Greeting for STS-135_boTpJ16GJaM - transcript (automated).pdf","Transcript Link")</f>
        <v>Transcript Link</v>
      </c>
    </row>
    <row r="3319" ht="180" spans="1:13">
      <c r="A3319" s="1" t="s">
        <v>14544</v>
      </c>
      <c r="B3319" s="1" t="s">
        <v>13</v>
      </c>
      <c r="C3319" s="4" t="s">
        <v>14557</v>
      </c>
      <c r="D3319" s="1" t="s">
        <v>14558</v>
      </c>
      <c r="E3319" s="1" t="s">
        <v>14559</v>
      </c>
      <c r="F3319" s="4" t="s">
        <v>17</v>
      </c>
      <c r="G3319" s="1" t="s">
        <v>18</v>
      </c>
      <c r="H3319" s="1" t="s">
        <v>19</v>
      </c>
      <c r="I3319" s="1" t="s">
        <v>20</v>
      </c>
      <c r="J3319" s="1" t="s">
        <v>14560</v>
      </c>
      <c r="K3319" s="1" t="s">
        <v>22</v>
      </c>
      <c r="L3319" s="1" t="str">
        <f>HYPERLINK("https://files.afu.se/Downloads/Transcripts/0%20-%20Government/USA%20-%20NASA%20Johnson/2011 07 13 - NASA Johnson - STS-135 Daily Mission Recap - Flight Day 5_hSSHqaggLYQ - transcript (automated).pdf","Transcript Link")</f>
        <v>Transcript Link</v>
      </c>
      <c r="M3319" s="2" t="str">
        <f>HYPERLINK("https://files.afu.se/Downloads/Transcripts/0%20-%20Government/USA%20-%20NASA%20Johnson/2011 07 13 - NASA Johnson - STS-135 Daily Mission Recap - Flight Day 5_hSSHqaggLYQ - transcript (automated).pdf","Transcript Link")</f>
        <v>Transcript Link</v>
      </c>
    </row>
    <row r="3320" ht="180" spans="1:13">
      <c r="A3320" s="1" t="s">
        <v>14561</v>
      </c>
      <c r="B3320" s="1" t="s">
        <v>13</v>
      </c>
      <c r="C3320" s="4" t="s">
        <v>14562</v>
      </c>
      <c r="D3320" s="1" t="s">
        <v>14563</v>
      </c>
      <c r="E3320" s="1" t="s">
        <v>14564</v>
      </c>
      <c r="F3320" s="4" t="s">
        <v>17</v>
      </c>
      <c r="G3320" s="1" t="s">
        <v>18</v>
      </c>
      <c r="H3320" s="1" t="s">
        <v>19</v>
      </c>
      <c r="I3320" s="1" t="s">
        <v>20</v>
      </c>
      <c r="J3320" s="1" t="s">
        <v>14565</v>
      </c>
      <c r="K3320" s="1" t="s">
        <v>22</v>
      </c>
      <c r="L3320" s="1" t="str">
        <f>HYPERLINK("https://files.afu.se/Downloads/Transcripts/0%20-%20Government/USA%20-%20NASA%20Johnson/2011 07 12 - NASA Johnson - STS-135 Flight Day 5 Crew Wake Up Call_mNcKNzAi5hU - transcript (automated).pdf","Transcript Link")</f>
        <v>Transcript Link</v>
      </c>
      <c r="M3320" s="2" t="str">
        <f>HYPERLINK("https://files.afu.se/Downloads/Transcripts/0%20-%20Government/USA%20-%20NASA%20Johnson/2011 07 12 - NASA Johnson - STS-135 Flight Day 5 Crew Wake Up Call_mNcKNzAi5hU - transcript (automated).pdf","Transcript Link")</f>
        <v>Transcript Link</v>
      </c>
    </row>
    <row r="3321" ht="180" spans="1:13">
      <c r="A3321" s="1" t="s">
        <v>14561</v>
      </c>
      <c r="B3321" s="1" t="s">
        <v>13</v>
      </c>
      <c r="C3321" s="4" t="s">
        <v>14566</v>
      </c>
      <c r="D3321" s="1" t="s">
        <v>14567</v>
      </c>
      <c r="E3321" s="1" t="s">
        <v>14568</v>
      </c>
      <c r="F3321" s="4" t="s">
        <v>17</v>
      </c>
      <c r="G3321" s="1" t="s">
        <v>18</v>
      </c>
      <c r="H3321" s="1" t="s">
        <v>19</v>
      </c>
      <c r="I3321" s="1" t="s">
        <v>20</v>
      </c>
      <c r="J3321" s="1" t="s">
        <v>14569</v>
      </c>
      <c r="K3321" s="1" t="s">
        <v>22</v>
      </c>
      <c r="L3321" s="1" t="str">
        <f>HYPERLINK("https://files.afu.se/Downloads/Transcripts/0%20-%20Government/USA%20-%20NASA%20Johnson/2011 07 12 - NASA Johnson - STS-135 Daily Mission Recap - Flight Day 4_tOsGCU6Syf4 - transcript (automated).pdf","Transcript Link")</f>
        <v>Transcript Link</v>
      </c>
      <c r="M3321" s="2" t="str">
        <f>HYPERLINK("https://files.afu.se/Downloads/Transcripts/0%20-%20Government/USA%20-%20NASA%20Johnson/2011 07 12 - NASA Johnson - STS-135 Daily Mission Recap - Flight Day 4_tOsGCU6Syf4 - transcript (automated).pdf","Transcript Link")</f>
        <v>Transcript Link</v>
      </c>
    </row>
    <row r="3322" ht="180" spans="1:13">
      <c r="A3322" s="1" t="s">
        <v>14570</v>
      </c>
      <c r="B3322" s="1" t="s">
        <v>13</v>
      </c>
      <c r="C3322" s="4" t="s">
        <v>14571</v>
      </c>
      <c r="D3322" s="1" t="s">
        <v>14572</v>
      </c>
      <c r="E3322" s="1" t="s">
        <v>14573</v>
      </c>
      <c r="F3322" s="4" t="s">
        <v>17</v>
      </c>
      <c r="G3322" s="1" t="s">
        <v>18</v>
      </c>
      <c r="H3322" s="1" t="s">
        <v>19</v>
      </c>
      <c r="I3322" s="1" t="s">
        <v>20</v>
      </c>
      <c r="J3322" s="1" t="s">
        <v>14574</v>
      </c>
      <c r="K3322" s="1" t="s">
        <v>22</v>
      </c>
      <c r="L3322" s="1" t="str">
        <f>HYPERLINK("https://files.afu.se/Downloads/Transcripts/0%20-%20Government/USA%20-%20NASA%20Johnson/2011 07 11 - NASA Johnson - STS-135 Flight Day 4 Crew Wake Up Call_zU_Ry73C1iA - transcript (automated).pdf","Transcript Link")</f>
        <v>Transcript Link</v>
      </c>
      <c r="M3322" s="2" t="str">
        <f>HYPERLINK("https://files.afu.se/Downloads/Transcripts/0%20-%20Government/USA%20-%20NASA%20Johnson/2011 07 11 - NASA Johnson - STS-135 Flight Day 4 Crew Wake Up Call_zU_Ry73C1iA - transcript (automated).pdf","Transcript Link")</f>
        <v>Transcript Link</v>
      </c>
    </row>
    <row r="3323" ht="180" spans="1:13">
      <c r="A3323" s="1" t="s">
        <v>14570</v>
      </c>
      <c r="B3323" s="1" t="s">
        <v>13</v>
      </c>
      <c r="C3323" s="4" t="s">
        <v>14575</v>
      </c>
      <c r="D3323" s="1" t="s">
        <v>14576</v>
      </c>
      <c r="E3323" s="1" t="s">
        <v>14577</v>
      </c>
      <c r="F3323" s="4" t="s">
        <v>17</v>
      </c>
      <c r="G3323" s="1" t="s">
        <v>18</v>
      </c>
      <c r="H3323" s="1" t="s">
        <v>19</v>
      </c>
      <c r="I3323" s="1" t="s">
        <v>20</v>
      </c>
      <c r="J3323" s="1" t="s">
        <v>14578</v>
      </c>
      <c r="K3323" s="1" t="s">
        <v>22</v>
      </c>
      <c r="L3323" s="1" t="str">
        <f>HYPERLINK("https://files.afu.se/Downloads/Transcripts/0%20-%20Government/USA%20-%20NASA%20Johnson/2011 07 11 - NASA Johnson - STS-135 Daily Mission Recap - Flight Day 3_Nry8B9yd_C4 - transcript (automated).pdf","Transcript Link")</f>
        <v>Transcript Link</v>
      </c>
      <c r="M3323" s="2" t="str">
        <f>HYPERLINK("https://files.afu.se/Downloads/Transcripts/0%20-%20Government/USA%20-%20NASA%20Johnson/2011 07 11 - NASA Johnson - STS-135 Daily Mission Recap - Flight Day 3_Nry8B9yd_C4 - transcript (automated).pdf","Transcript Link")</f>
        <v>Transcript Link</v>
      </c>
    </row>
    <row r="3324" ht="180" spans="1:13">
      <c r="A3324" s="1" t="s">
        <v>14579</v>
      </c>
      <c r="B3324" s="1" t="s">
        <v>13</v>
      </c>
      <c r="C3324" s="4" t="s">
        <v>14580</v>
      </c>
      <c r="D3324" s="1" t="s">
        <v>14581</v>
      </c>
      <c r="E3324" s="1" t="s">
        <v>14582</v>
      </c>
      <c r="F3324" s="4" t="s">
        <v>17</v>
      </c>
      <c r="G3324" s="1" t="s">
        <v>18</v>
      </c>
      <c r="H3324" s="1" t="s">
        <v>19</v>
      </c>
      <c r="I3324" s="1" t="s">
        <v>20</v>
      </c>
      <c r="J3324" s="1" t="s">
        <v>14583</v>
      </c>
      <c r="K3324" s="1" t="s">
        <v>22</v>
      </c>
      <c r="L3324" s="1" t="str">
        <f>HYPERLINK("https://files.afu.se/Downloads/Transcripts/0%20-%20Government/USA%20-%20NASA%20Johnson/2011 07 10 - NASA Johnson - Shuttle Showcase  STS-134_Y6wc8kZ9CBw - transcript (automated).pdf","Transcript Link")</f>
        <v>Transcript Link</v>
      </c>
      <c r="M3324" s="2" t="str">
        <f>HYPERLINK("https://files.afu.se/Downloads/Transcripts/0%20-%20Government/USA%20-%20NASA%20Johnson/2011 07 10 - NASA Johnson - Shuttle Showcase  STS-134_Y6wc8kZ9CBw - transcript (automated).pdf","Transcript Link")</f>
        <v>Transcript Link</v>
      </c>
    </row>
    <row r="3325" ht="180" spans="1:13">
      <c r="A3325" s="1" t="s">
        <v>14579</v>
      </c>
      <c r="B3325" s="1" t="s">
        <v>13</v>
      </c>
      <c r="C3325" s="4" t="s">
        <v>14584</v>
      </c>
      <c r="D3325" s="1" t="s">
        <v>14585</v>
      </c>
      <c r="E3325" s="1" t="s">
        <v>14586</v>
      </c>
      <c r="F3325" s="4" t="s">
        <v>17</v>
      </c>
      <c r="G3325" s="1" t="s">
        <v>18</v>
      </c>
      <c r="H3325" s="1" t="s">
        <v>19</v>
      </c>
      <c r="I3325" s="1" t="s">
        <v>20</v>
      </c>
      <c r="J3325" s="1" t="s">
        <v>14587</v>
      </c>
      <c r="K3325" s="1" t="s">
        <v>22</v>
      </c>
      <c r="L3325" s="1" t="str">
        <f>HYPERLINK("https://files.afu.se/Downloads/Transcripts/0%20-%20Government/USA%20-%20NASA%20Johnson/2011 07 10 - NASA Johnson - Atlantis Docks to Station_ItZJ-LoAHj0 - transcript (automated).pdf","Transcript Link")</f>
        <v>Transcript Link</v>
      </c>
      <c r="M3325" s="2" t="str">
        <f>HYPERLINK("https://files.afu.se/Downloads/Transcripts/0%20-%20Government/USA%20-%20NASA%20Johnson/2011 07 10 - NASA Johnson - Atlantis Docks to Station_ItZJ-LoAHj0 - transcript (automated).pdf","Transcript Link")</f>
        <v>Transcript Link</v>
      </c>
    </row>
    <row r="3326" ht="180" spans="1:13">
      <c r="A3326" s="1" t="s">
        <v>14579</v>
      </c>
      <c r="B3326" s="1" t="s">
        <v>13</v>
      </c>
      <c r="C3326" s="4" t="s">
        <v>14588</v>
      </c>
      <c r="D3326" s="1" t="s">
        <v>14589</v>
      </c>
      <c r="E3326" s="1" t="s">
        <v>14590</v>
      </c>
      <c r="F3326" s="4" t="s">
        <v>17</v>
      </c>
      <c r="G3326" s="1" t="s">
        <v>18</v>
      </c>
      <c r="H3326" s="1" t="s">
        <v>19</v>
      </c>
      <c r="I3326" s="1" t="s">
        <v>20</v>
      </c>
      <c r="J3326" s="1" t="s">
        <v>14591</v>
      </c>
      <c r="K3326" s="1" t="s">
        <v>22</v>
      </c>
      <c r="L3326" s="1" t="str">
        <f>HYPERLINK("https://files.afu.se/Downloads/Transcripts/0%20-%20Government/USA%20-%20NASA%20Johnson/2011 07 10 - NASA Johnson - Shuttle Showcase  STS-125_WxCvsl-SyvE - transcript (automated).pdf","Transcript Link")</f>
        <v>Transcript Link</v>
      </c>
      <c r="M3326" s="2" t="str">
        <f>HYPERLINK("https://files.afu.se/Downloads/Transcripts/0%20-%20Government/USA%20-%20NASA%20Johnson/2011 07 10 - NASA Johnson - Shuttle Showcase  STS-125_WxCvsl-SyvE - transcript (automated).pdf","Transcript Link")</f>
        <v>Transcript Link</v>
      </c>
    </row>
    <row r="3327" ht="180" spans="1:13">
      <c r="A3327" s="1" t="s">
        <v>14579</v>
      </c>
      <c r="B3327" s="1" t="s">
        <v>13</v>
      </c>
      <c r="C3327" s="4" t="s">
        <v>14592</v>
      </c>
      <c r="D3327" s="1" t="s">
        <v>14593</v>
      </c>
      <c r="E3327" s="1" t="s">
        <v>14594</v>
      </c>
      <c r="F3327" s="4" t="s">
        <v>17</v>
      </c>
      <c r="G3327" s="1" t="s">
        <v>18</v>
      </c>
      <c r="H3327" s="1" t="s">
        <v>19</v>
      </c>
      <c r="I3327" s="1" t="s">
        <v>20</v>
      </c>
      <c r="J3327" s="1" t="s">
        <v>14595</v>
      </c>
      <c r="K3327" s="1" t="s">
        <v>22</v>
      </c>
      <c r="L3327" s="1" t="str">
        <f>HYPERLINK("https://files.afu.se/Downloads/Transcripts/0%20-%20Government/USA%20-%20NASA%20Johnson/2011 07 10 - NASA Johnson - Shuttle Showcase  STS-124_mSXViTNLpDM - transcript (automated).pdf","Transcript Link")</f>
        <v>Transcript Link</v>
      </c>
      <c r="M3327" s="2" t="str">
        <f>HYPERLINK("https://files.afu.se/Downloads/Transcripts/0%20-%20Government/USA%20-%20NASA%20Johnson/2011 07 10 - NASA Johnson - Shuttle Showcase  STS-124_mSXViTNLpDM - transcript (automated).pdf","Transcript Link")</f>
        <v>Transcript Link</v>
      </c>
    </row>
    <row r="3328" ht="180" spans="1:13">
      <c r="A3328" s="1" t="s">
        <v>14579</v>
      </c>
      <c r="B3328" s="1" t="s">
        <v>13</v>
      </c>
      <c r="C3328" s="4" t="s">
        <v>14596</v>
      </c>
      <c r="D3328" s="1" t="s">
        <v>14597</v>
      </c>
      <c r="E3328" s="1" t="s">
        <v>14598</v>
      </c>
      <c r="F3328" s="4" t="s">
        <v>17</v>
      </c>
      <c r="G3328" s="1" t="s">
        <v>18</v>
      </c>
      <c r="H3328" s="1" t="s">
        <v>19</v>
      </c>
      <c r="I3328" s="1" t="s">
        <v>20</v>
      </c>
      <c r="J3328" s="1" t="s">
        <v>14599</v>
      </c>
      <c r="K3328" s="1" t="s">
        <v>22</v>
      </c>
      <c r="L3328" s="1" t="str">
        <f>HYPERLINK("https://files.afu.se/Downloads/Transcripts/0%20-%20Government/USA%20-%20NASA%20Johnson/2011 07 10 - NASA Johnson - Shuttle Showcase  STS-49_44UyTWeaIM0 - transcript (automated).pdf","Transcript Link")</f>
        <v>Transcript Link</v>
      </c>
      <c r="M3328" s="2" t="str">
        <f>HYPERLINK("https://files.afu.se/Downloads/Transcripts/0%20-%20Government/USA%20-%20NASA%20Johnson/2011 07 10 - NASA Johnson - Shuttle Showcase  STS-49_44UyTWeaIM0 - transcript (automated).pdf","Transcript Link")</f>
        <v>Transcript Link</v>
      </c>
    </row>
    <row r="3329" ht="180" spans="1:13">
      <c r="A3329" s="1" t="s">
        <v>14579</v>
      </c>
      <c r="B3329" s="1" t="s">
        <v>13</v>
      </c>
      <c r="C3329" s="4" t="s">
        <v>14600</v>
      </c>
      <c r="D3329" s="1" t="s">
        <v>14601</v>
      </c>
      <c r="E3329" s="1" t="s">
        <v>14602</v>
      </c>
      <c r="F3329" s="4" t="s">
        <v>17</v>
      </c>
      <c r="G3329" s="1" t="s">
        <v>18</v>
      </c>
      <c r="H3329" s="1" t="s">
        <v>19</v>
      </c>
      <c r="I3329" s="1" t="s">
        <v>20</v>
      </c>
      <c r="J3329" s="1" t="s">
        <v>14603</v>
      </c>
      <c r="K3329" s="1" t="s">
        <v>22</v>
      </c>
      <c r="L3329" s="1" t="str">
        <f>HYPERLINK("https://files.afu.se/Downloads/Transcripts/0%20-%20Government/USA%20-%20NASA%20Johnson/2011 07 10 - NASA Johnson - Shuttle Showcase  STS-31_QyikYNYmCC0 - transcript (automated).pdf","Transcript Link")</f>
        <v>Transcript Link</v>
      </c>
      <c r="M3329" s="2" t="str">
        <f>HYPERLINK("https://files.afu.se/Downloads/Transcripts/0%20-%20Government/USA%20-%20NASA%20Johnson/2011 07 10 - NASA Johnson - Shuttle Showcase  STS-31_QyikYNYmCC0 - transcript (automated).pdf","Transcript Link")</f>
        <v>Transcript Link</v>
      </c>
    </row>
    <row r="3330" ht="180" spans="1:13">
      <c r="A3330" s="1" t="s">
        <v>14579</v>
      </c>
      <c r="B3330" s="1" t="s">
        <v>13</v>
      </c>
      <c r="C3330" s="4" t="s">
        <v>14604</v>
      </c>
      <c r="D3330" s="1" t="s">
        <v>14605</v>
      </c>
      <c r="E3330" s="1" t="s">
        <v>14606</v>
      </c>
      <c r="F3330" s="4" t="s">
        <v>17</v>
      </c>
      <c r="G3330" s="1" t="s">
        <v>18</v>
      </c>
      <c r="H3330" s="1" t="s">
        <v>19</v>
      </c>
      <c r="I3330" s="1" t="s">
        <v>20</v>
      </c>
      <c r="J3330" s="1" t="s">
        <v>14607</v>
      </c>
      <c r="K3330" s="1" t="s">
        <v>22</v>
      </c>
      <c r="L3330" s="1" t="str">
        <f>HYPERLINK("https://files.afu.se/Downloads/Transcripts/0%20-%20Government/USA%20-%20NASA%20Johnson/2011 07 10 - NASA Johnson - Shuttle Showcase  STS-30_ker0KDYzklU - transcript (automated).pdf","Transcript Link")</f>
        <v>Transcript Link</v>
      </c>
      <c r="M3330" s="2" t="str">
        <f>HYPERLINK("https://files.afu.se/Downloads/Transcripts/0%20-%20Government/USA%20-%20NASA%20Johnson/2011 07 10 - NASA Johnson - Shuttle Showcase  STS-30_ker0KDYzklU - transcript (automated).pdf","Transcript Link")</f>
        <v>Transcript Link</v>
      </c>
    </row>
    <row r="3331" ht="180" spans="1:13">
      <c r="A3331" s="1" t="s">
        <v>14579</v>
      </c>
      <c r="B3331" s="1" t="s">
        <v>13</v>
      </c>
      <c r="C3331" s="4" t="s">
        <v>14608</v>
      </c>
      <c r="D3331" s="1" t="s">
        <v>14609</v>
      </c>
      <c r="E3331" s="1" t="s">
        <v>14610</v>
      </c>
      <c r="F3331" s="4" t="s">
        <v>17</v>
      </c>
      <c r="G3331" s="1" t="s">
        <v>18</v>
      </c>
      <c r="H3331" s="1" t="s">
        <v>19</v>
      </c>
      <c r="I3331" s="1" t="s">
        <v>20</v>
      </c>
      <c r="J3331" s="1" t="s">
        <v>14611</v>
      </c>
      <c r="K3331" s="1" t="s">
        <v>22</v>
      </c>
      <c r="L3331" s="1" t="str">
        <f>HYPERLINK("https://files.afu.se/Downloads/Transcripts/0%20-%20Government/USA%20-%20NASA%20Johnson/2011 07 10 - NASA Johnson - Shuttle Showcase  STS-1_nMDMzCw0Cug - transcript (automated).pdf","Transcript Link")</f>
        <v>Transcript Link</v>
      </c>
      <c r="M3331" s="2" t="str">
        <f>HYPERLINK("https://files.afu.se/Downloads/Transcripts/0%20-%20Government/USA%20-%20NASA%20Johnson/2011 07 10 - NASA Johnson - Shuttle Showcase  STS-1_nMDMzCw0Cug - transcript (automated).pdf","Transcript Link")</f>
        <v>Transcript Link</v>
      </c>
    </row>
    <row r="3332" ht="180" spans="1:13">
      <c r="A3332" s="1" t="s">
        <v>14579</v>
      </c>
      <c r="B3332" s="1" t="s">
        <v>13</v>
      </c>
      <c r="C3332" s="4" t="s">
        <v>14612</v>
      </c>
      <c r="D3332" s="1" t="s">
        <v>14613</v>
      </c>
      <c r="E3332" s="1" t="s">
        <v>14614</v>
      </c>
      <c r="F3332" s="4" t="s">
        <v>17</v>
      </c>
      <c r="G3332" s="1" t="s">
        <v>18</v>
      </c>
      <c r="H3332" s="1" t="s">
        <v>19</v>
      </c>
      <c r="I3332" s="1" t="s">
        <v>20</v>
      </c>
      <c r="J3332" s="1" t="s">
        <v>14615</v>
      </c>
      <c r="K3332" s="1" t="s">
        <v>22</v>
      </c>
      <c r="L3332" s="1" t="str">
        <f>HYPERLINK("https://files.afu.se/Downloads/Transcripts/0%20-%20Government/USA%20-%20NASA%20Johnson/2011 07 10 - NASA Johnson - Shuttle Showcase  Firsts_B9Mgbduz3Tk - transcript (automated).pdf","Transcript Link")</f>
        <v>Transcript Link</v>
      </c>
      <c r="M3332" s="2" t="str">
        <f>HYPERLINK("https://files.afu.se/Downloads/Transcripts/0%20-%20Government/USA%20-%20NASA%20Johnson/2011 07 10 - NASA Johnson - Shuttle Showcase  Firsts_B9Mgbduz3Tk - transcript (automated).pdf","Transcript Link")</f>
        <v>Transcript Link</v>
      </c>
    </row>
    <row r="3333" ht="180" spans="1:13">
      <c r="A3333" s="1" t="s">
        <v>14579</v>
      </c>
      <c r="B3333" s="1" t="s">
        <v>13</v>
      </c>
      <c r="C3333" s="4" t="s">
        <v>14616</v>
      </c>
      <c r="D3333" s="1" t="s">
        <v>14617</v>
      </c>
      <c r="E3333" s="1" t="s">
        <v>14618</v>
      </c>
      <c r="F3333" s="4" t="s">
        <v>17</v>
      </c>
      <c r="G3333" s="1" t="s">
        <v>18</v>
      </c>
      <c r="H3333" s="1" t="s">
        <v>19</v>
      </c>
      <c r="I3333" s="1" t="s">
        <v>20</v>
      </c>
      <c r="J3333" s="1" t="s">
        <v>14619</v>
      </c>
      <c r="K3333" s="1" t="s">
        <v>22</v>
      </c>
      <c r="L3333" s="1" t="str">
        <f>HYPERLINK("https://files.afu.se/Downloads/Transcripts/0%20-%20Government/USA%20-%20NASA%20Johnson/2011 07 10 - NASA Johnson - STS-135  Rendezvous Pitch Maneuver_ONNc0RX-3RQ - transcript (automated).pdf","Transcript Link")</f>
        <v>Transcript Link</v>
      </c>
      <c r="M3333" s="2" t="str">
        <f>HYPERLINK("https://files.afu.se/Downloads/Transcripts/0%20-%20Government/USA%20-%20NASA%20Johnson/2011 07 10 - NASA Johnson - STS-135  Rendezvous Pitch Maneuver_ONNc0RX-3RQ - transcript (automated).pdf","Transcript Link")</f>
        <v>Transcript Link</v>
      </c>
    </row>
    <row r="3334" ht="180" spans="1:13">
      <c r="A3334" s="1" t="s">
        <v>14579</v>
      </c>
      <c r="B3334" s="1" t="s">
        <v>13</v>
      </c>
      <c r="C3334" s="4" t="s">
        <v>14620</v>
      </c>
      <c r="D3334" s="1" t="s">
        <v>14621</v>
      </c>
      <c r="E3334" s="1" t="s">
        <v>14622</v>
      </c>
      <c r="F3334" s="4" t="s">
        <v>17</v>
      </c>
      <c r="G3334" s="1" t="s">
        <v>18</v>
      </c>
      <c r="H3334" s="1" t="s">
        <v>19</v>
      </c>
      <c r="I3334" s="1" t="s">
        <v>20</v>
      </c>
      <c r="J3334" s="1" t="s">
        <v>14623</v>
      </c>
      <c r="K3334" s="1" t="s">
        <v>22</v>
      </c>
      <c r="L3334" s="1" t="str">
        <f>HYPERLINK("https://files.afu.se/Downloads/Transcripts/0%20-%20Government/USA%20-%20NASA%20Johnson/2011 07 10 - NASA Johnson - STS-135 Flight Day 3 Crew Wake Up Call_ug0vIR1_W6M - transcript (automated).pdf","Transcript Link")</f>
        <v>Transcript Link</v>
      </c>
      <c r="M3334" s="2" t="str">
        <f>HYPERLINK("https://files.afu.se/Downloads/Transcripts/0%20-%20Government/USA%20-%20NASA%20Johnson/2011 07 10 - NASA Johnson - STS-135 Flight Day 3 Crew Wake Up Call_ug0vIR1_W6M - transcript (automated).pdf","Transcript Link")</f>
        <v>Transcript Link</v>
      </c>
    </row>
    <row r="3335" ht="180" spans="1:13">
      <c r="A3335" s="1" t="s">
        <v>14579</v>
      </c>
      <c r="B3335" s="1" t="s">
        <v>13</v>
      </c>
      <c r="C3335" s="4" t="s">
        <v>14624</v>
      </c>
      <c r="D3335" s="1" t="s">
        <v>14625</v>
      </c>
      <c r="E3335" s="1" t="s">
        <v>14626</v>
      </c>
      <c r="F3335" s="4" t="s">
        <v>17</v>
      </c>
      <c r="G3335" s="1" t="s">
        <v>18</v>
      </c>
      <c r="H3335" s="1" t="s">
        <v>19</v>
      </c>
      <c r="I3335" s="1" t="s">
        <v>20</v>
      </c>
      <c r="J3335" s="1" t="s">
        <v>14627</v>
      </c>
      <c r="K3335" s="1" t="s">
        <v>22</v>
      </c>
      <c r="L3335" s="1" t="str">
        <f>HYPERLINK("https://files.afu.se/Downloads/Transcripts/0%20-%20Government/USA%20-%20NASA%20Johnson/2011 07 10 - NASA Johnson - STS-135 Daily Mission Recap - Flight Day 2_NLOLYR6t7lY - transcript (automated).pdf","Transcript Link")</f>
        <v>Transcript Link</v>
      </c>
      <c r="M3335" s="2" t="str">
        <f>HYPERLINK("https://files.afu.se/Downloads/Transcripts/0%20-%20Government/USA%20-%20NASA%20Johnson/2011 07 10 - NASA Johnson - STS-135 Daily Mission Recap - Flight Day 2_NLOLYR6t7lY - transcript (automated).pdf","Transcript Link")</f>
        <v>Transcript Link</v>
      </c>
    </row>
    <row r="3336" ht="180" spans="1:13">
      <c r="A3336" s="1" t="s">
        <v>14628</v>
      </c>
      <c r="B3336" s="1" t="s">
        <v>13</v>
      </c>
      <c r="C3336" s="4" t="s">
        <v>14629</v>
      </c>
      <c r="D3336" s="1" t="s">
        <v>14630</v>
      </c>
      <c r="E3336" s="1" t="s">
        <v>14631</v>
      </c>
      <c r="F3336" s="4" t="s">
        <v>17</v>
      </c>
      <c r="G3336" s="1" t="s">
        <v>18</v>
      </c>
      <c r="H3336" s="1" t="s">
        <v>19</v>
      </c>
      <c r="I3336" s="1" t="s">
        <v>20</v>
      </c>
      <c r="J3336" s="1" t="s">
        <v>14632</v>
      </c>
      <c r="K3336" s="1" t="s">
        <v>22</v>
      </c>
      <c r="L3336" s="1" t="str">
        <f>HYPERLINK("https://files.afu.se/Downloads/Transcripts/0%20-%20Government/USA%20-%20NASA%20Johnson/2011 07 09 - NASA Johnson - Mission Control Roses_t0EDWhwVd68 - transcript (automated).pdf","Transcript Link")</f>
        <v>Transcript Link</v>
      </c>
      <c r="M3336" s="2" t="str">
        <f>HYPERLINK("https://files.afu.se/Downloads/Transcripts/0%20-%20Government/USA%20-%20NASA%20Johnson/2011 07 09 - NASA Johnson - Mission Control Roses_t0EDWhwVd68 - transcript (automated).pdf","Transcript Link")</f>
        <v>Transcript Link</v>
      </c>
    </row>
    <row r="3337" ht="180" spans="1:13">
      <c r="A3337" s="1" t="s">
        <v>14628</v>
      </c>
      <c r="B3337" s="1" t="s">
        <v>13</v>
      </c>
      <c r="C3337" s="4" t="s">
        <v>14633</v>
      </c>
      <c r="D3337" s="1" t="s">
        <v>14634</v>
      </c>
      <c r="E3337" s="1" t="s">
        <v>14635</v>
      </c>
      <c r="F3337" s="4" t="s">
        <v>17</v>
      </c>
      <c r="G3337" s="1" t="s">
        <v>18</v>
      </c>
      <c r="H3337" s="1" t="s">
        <v>19</v>
      </c>
      <c r="I3337" s="1" t="s">
        <v>20</v>
      </c>
      <c r="J3337" s="1" t="s">
        <v>14636</v>
      </c>
      <c r="K3337" s="1" t="s">
        <v>22</v>
      </c>
      <c r="L3337" s="1" t="str">
        <f>HYPERLINK("https://files.afu.se/Downloads/Transcripts/0%20-%20Government/USA%20-%20NASA%20Johnson/2011 07 09 - NASA Johnson - Marshall Space Flight Center Wakes STS-135 Crew_7MYmpG9d7XA - transcript (automated).pdf","Transcript Link")</f>
        <v>Transcript Link</v>
      </c>
      <c r="M3337" s="2" t="str">
        <f>HYPERLINK("https://files.afu.se/Downloads/Transcripts/0%20-%20Government/USA%20-%20NASA%20Johnson/2011 07 09 - NASA Johnson - Marshall Space Flight Center Wakes STS-135 Crew_7MYmpG9d7XA - transcript (automated).pdf","Transcript Link")</f>
        <v>Transcript Link</v>
      </c>
    </row>
    <row r="3338" ht="180" spans="1:13">
      <c r="A3338" s="1" t="s">
        <v>14637</v>
      </c>
      <c r="B3338" s="1" t="s">
        <v>13</v>
      </c>
      <c r="C3338" s="4" t="s">
        <v>14638</v>
      </c>
      <c r="D3338" s="1" t="s">
        <v>14639</v>
      </c>
      <c r="E3338" s="1" t="s">
        <v>14640</v>
      </c>
      <c r="F3338" s="4" t="s">
        <v>17</v>
      </c>
      <c r="G3338" s="1" t="s">
        <v>18</v>
      </c>
      <c r="H3338" s="1" t="s">
        <v>19</v>
      </c>
      <c r="I3338" s="1" t="s">
        <v>20</v>
      </c>
      <c r="J3338" s="1" t="s">
        <v>14641</v>
      </c>
      <c r="K3338" s="1" t="s">
        <v>22</v>
      </c>
      <c r="L3338" s="1" t="str">
        <f>HYPERLINK("https://files.afu.se/Downloads/Transcripts/0%20-%20Government/USA%20-%20NASA%20Johnson/2011 07 08 - NASA Johnson - STS-135 Daily Mission Recap - Flight Day 1_rYjBukIVxO8 - transcript (automated).pdf","Transcript Link")</f>
        <v>Transcript Link</v>
      </c>
      <c r="M3338" s="2" t="str">
        <f>HYPERLINK("https://files.afu.se/Downloads/Transcripts/0%20-%20Government/USA%20-%20NASA%20Johnson/2011 07 08 - NASA Johnson - STS-135 Daily Mission Recap - Flight Day 1_rYjBukIVxO8 - transcript (automated).pdf","Transcript Link")</f>
        <v>Transcript Link</v>
      </c>
    </row>
    <row r="3339" ht="180" spans="1:13">
      <c r="A3339" s="1" t="s">
        <v>14637</v>
      </c>
      <c r="B3339" s="1" t="s">
        <v>13</v>
      </c>
      <c r="C3339" s="4" t="s">
        <v>14642</v>
      </c>
      <c r="D3339" s="1" t="s">
        <v>14643</v>
      </c>
      <c r="E3339" s="1" t="s">
        <v>14644</v>
      </c>
      <c r="F3339" s="4" t="s">
        <v>17</v>
      </c>
      <c r="G3339" s="1" t="s">
        <v>18</v>
      </c>
      <c r="H3339" s="1" t="s">
        <v>19</v>
      </c>
      <c r="I3339" s="1" t="s">
        <v>20</v>
      </c>
      <c r="J3339" s="1" t="s">
        <v>14645</v>
      </c>
      <c r="K3339" s="1" t="s">
        <v>22</v>
      </c>
      <c r="L3339" s="1" t="str">
        <f>HYPERLINK("https://files.afu.se/Downloads/Transcripts/0%20-%20Government/USA%20-%20NASA%20Johnson/2011 07 08 - NASA Johnson - Orion  The Journey Begins_GLgnZ89b8Po - transcript (automated).pdf","Transcript Link")</f>
        <v>Transcript Link</v>
      </c>
      <c r="M3339" s="2" t="str">
        <f>HYPERLINK("https://files.afu.se/Downloads/Transcripts/0%20-%20Government/USA%20-%20NASA%20Johnson/2011 07 08 - NASA Johnson - Orion  The Journey Begins_GLgnZ89b8Po - transcript (automated).pdf","Transcript Link")</f>
        <v>Transcript Link</v>
      </c>
    </row>
    <row r="3340" ht="180" spans="1:13">
      <c r="A3340" s="1" t="s">
        <v>14637</v>
      </c>
      <c r="B3340" s="1" t="s">
        <v>13</v>
      </c>
      <c r="C3340" s="4" t="s">
        <v>14646</v>
      </c>
      <c r="D3340" s="1" t="s">
        <v>14647</v>
      </c>
      <c r="E3340" s="1" t="s">
        <v>14648</v>
      </c>
      <c r="F3340" s="4" t="s">
        <v>17</v>
      </c>
      <c r="G3340" s="1" t="s">
        <v>18</v>
      </c>
      <c r="H3340" s="1" t="s">
        <v>19</v>
      </c>
      <c r="I3340" s="1" t="s">
        <v>20</v>
      </c>
      <c r="J3340" s="1" t="s">
        <v>14649</v>
      </c>
      <c r="K3340" s="1" t="s">
        <v>22</v>
      </c>
      <c r="L3340" s="1" t="str">
        <f>HYPERLINK("https://files.afu.se/Downloads/Transcripts/0%20-%20Government/USA%20-%20NASA%20Johnson/2011 07 08 - NASA Johnson - What Kind of World Do You Want _YYh6BD6-Hc8 - transcript (automated).pdf","Transcript Link")</f>
        <v>Transcript Link</v>
      </c>
      <c r="M3340" s="2" t="str">
        <f>HYPERLINK("https://files.afu.se/Downloads/Transcripts/0%20-%20Government/USA%20-%20NASA%20Johnson/2011 07 08 - NASA Johnson - What Kind of World Do You Want _YYh6BD6-Hc8 - transcript (automated).pdf","Transcript Link")</f>
        <v>Transcript Link</v>
      </c>
    </row>
    <row r="3341" ht="180" spans="1:13">
      <c r="A3341" s="1" t="s">
        <v>14650</v>
      </c>
      <c r="B3341" s="1" t="s">
        <v>13</v>
      </c>
      <c r="C3341" s="4" t="s">
        <v>14651</v>
      </c>
      <c r="D3341" s="1" t="s">
        <v>14652</v>
      </c>
      <c r="E3341" s="1" t="s">
        <v>14653</v>
      </c>
      <c r="F3341" s="4" t="s">
        <v>17</v>
      </c>
      <c r="G3341" s="1" t="s">
        <v>18</v>
      </c>
      <c r="H3341" s="1" t="s">
        <v>19</v>
      </c>
      <c r="I3341" s="1" t="s">
        <v>20</v>
      </c>
      <c r="J3341" s="1" t="s">
        <v>14654</v>
      </c>
      <c r="K3341" s="1" t="s">
        <v>22</v>
      </c>
      <c r="L3341" s="1" t="str">
        <f>HYPERLINK("https://files.afu.se/Downloads/Transcripts/0%20-%20Government/USA%20-%20NASA%20Johnson/2011 07 05 - NASA Johnson - Launching Our Dreams  A Shuttle Retrospective_72OLN4lBpSQ - transcript (automated).pdf","Transcript Link")</f>
        <v>Transcript Link</v>
      </c>
      <c r="M3341" s="2" t="str">
        <f>HYPERLINK("https://files.afu.se/Downloads/Transcripts/0%20-%20Government/USA%20-%20NASA%20Johnson/2011 07 05 - NASA Johnson - Launching Our Dreams  A Shuttle Retrospective_72OLN4lBpSQ - transcript (automated).pdf","Transcript Link")</f>
        <v>Transcript Link</v>
      </c>
    </row>
    <row r="3342" ht="180" spans="1:13">
      <c r="A3342" s="1" t="s">
        <v>14655</v>
      </c>
      <c r="B3342" s="1" t="s">
        <v>13</v>
      </c>
      <c r="C3342" s="4" t="s">
        <v>14656</v>
      </c>
      <c r="D3342" s="1" t="s">
        <v>14657</v>
      </c>
      <c r="E3342" s="1" t="s">
        <v>14658</v>
      </c>
      <c r="F3342" s="4" t="s">
        <v>17</v>
      </c>
      <c r="G3342" s="1" t="s">
        <v>18</v>
      </c>
      <c r="H3342" s="1" t="s">
        <v>19</v>
      </c>
      <c r="I3342" s="1" t="s">
        <v>20</v>
      </c>
      <c r="J3342" s="1" t="s">
        <v>14659</v>
      </c>
      <c r="K3342" s="1" t="s">
        <v>22</v>
      </c>
      <c r="L3342" s="1" t="str">
        <f>HYPERLINK("https://files.afu.se/Downloads/Transcripts/0%20-%20Government/USA%20-%20NASA%20Johnson/2011 06 30 - NASA Johnson - STS-135 Overview Animation_MBADi5nJI2o - transcript (automated).pdf","Transcript Link")</f>
        <v>Transcript Link</v>
      </c>
      <c r="M3342" s="2" t="str">
        <f>HYPERLINK("https://files.afu.se/Downloads/Transcripts/0%20-%20Government/USA%20-%20NASA%20Johnson/2011 06 30 - NASA Johnson - STS-135 Overview Animation_MBADi5nJI2o - transcript (automated).pdf","Transcript Link")</f>
        <v>Transcript Link</v>
      </c>
    </row>
    <row r="3343" ht="180" spans="1:13">
      <c r="A3343" s="1" t="s">
        <v>14660</v>
      </c>
      <c r="B3343" s="1" t="s">
        <v>13</v>
      </c>
      <c r="C3343" s="4" t="s">
        <v>14661</v>
      </c>
      <c r="D3343" s="1" t="s">
        <v>14662</v>
      </c>
      <c r="E3343" s="1" t="s">
        <v>14663</v>
      </c>
      <c r="F3343" s="4" t="s">
        <v>17</v>
      </c>
      <c r="G3343" s="1" t="s">
        <v>18</v>
      </c>
      <c r="H3343" s="1" t="s">
        <v>19</v>
      </c>
      <c r="I3343" s="1" t="s">
        <v>20</v>
      </c>
      <c r="J3343" s="1" t="s">
        <v>14664</v>
      </c>
      <c r="K3343" s="1" t="s">
        <v>22</v>
      </c>
      <c r="L3343" s="1" t="str">
        <f>HYPERLINK("https://files.afu.se/Downloads/Transcripts/0%20-%20Government/USA%20-%20NASA%20Johnson/2011 06 27 - NASA Johnson - STS-135 Mission Overview_g2aoKTfPUtc - transcript (automated).pdf","Transcript Link")</f>
        <v>Transcript Link</v>
      </c>
      <c r="M3343" s="2" t="str">
        <f>HYPERLINK("https://files.afu.se/Downloads/Transcripts/0%20-%20Government/USA%20-%20NASA%20Johnson/2011 06 27 - NASA Johnson - STS-135 Mission Overview_g2aoKTfPUtc - transcript (automated).pdf","Transcript Link")</f>
        <v>Transcript Link</v>
      </c>
    </row>
    <row r="3344" ht="180" spans="1:13">
      <c r="A3344" s="1" t="s">
        <v>14665</v>
      </c>
      <c r="B3344" s="1" t="s">
        <v>13</v>
      </c>
      <c r="C3344" s="4" t="s">
        <v>14666</v>
      </c>
      <c r="D3344" s="1" t="s">
        <v>14667</v>
      </c>
      <c r="E3344" s="1" t="s">
        <v>14668</v>
      </c>
      <c r="F3344" s="4" t="s">
        <v>17</v>
      </c>
      <c r="G3344" s="1" t="s">
        <v>18</v>
      </c>
      <c r="H3344" s="1" t="s">
        <v>19</v>
      </c>
      <c r="I3344" s="1" t="s">
        <v>20</v>
      </c>
      <c r="J3344" s="1" t="s">
        <v>14669</v>
      </c>
      <c r="K3344" s="1" t="s">
        <v>22</v>
      </c>
      <c r="L3344" s="1" t="str">
        <f>HYPERLINK("https://files.afu.se/Downloads/Transcripts/0%20-%20Government/USA%20-%20NASA%20Johnson/2011 06 21 - NASA Johnson - STS-135 Crew Profile_NACbbyl1ciA - transcript (automated).pdf","Transcript Link")</f>
        <v>Transcript Link</v>
      </c>
      <c r="M3344" s="2" t="str">
        <f>HYPERLINK("https://files.afu.se/Downloads/Transcripts/0%20-%20Government/USA%20-%20NASA%20Johnson/2011 06 21 - NASA Johnson - STS-135 Crew Profile_NACbbyl1ciA - transcript (automated).pdf","Transcript Link")</f>
        <v>Transcript Link</v>
      </c>
    </row>
    <row r="3345" ht="180" spans="1:13">
      <c r="A3345" s="1" t="s">
        <v>14670</v>
      </c>
      <c r="B3345" s="1" t="s">
        <v>13</v>
      </c>
      <c r="C3345" s="4" t="s">
        <v>14671</v>
      </c>
      <c r="D3345" s="1" t="s">
        <v>14672</v>
      </c>
      <c r="E3345" s="1" t="s">
        <v>14673</v>
      </c>
      <c r="F3345" s="4" t="s">
        <v>17</v>
      </c>
      <c r="G3345" s="1" t="s">
        <v>18</v>
      </c>
      <c r="H3345" s="1" t="s">
        <v>19</v>
      </c>
      <c r="I3345" s="1" t="s">
        <v>20</v>
      </c>
      <c r="J3345" s="1" t="s">
        <v>14674</v>
      </c>
      <c r="K3345" s="1" t="s">
        <v>22</v>
      </c>
      <c r="L3345" s="1" t="str">
        <f>HYPERLINK("https://files.afu.se/Downloads/Transcripts/0%20-%20Government/USA%20-%20NASA%20Johnson/2011 06 20 - NASA Johnson - Behind the Scenes  Landing the Soyuz_zxO-pM1lLZ0 - transcript (automated).pdf","Transcript Link")</f>
        <v>Transcript Link</v>
      </c>
      <c r="M3345" s="2" t="str">
        <f>HYPERLINK("https://files.afu.se/Downloads/Transcripts/0%20-%20Government/USA%20-%20NASA%20Johnson/2011 06 20 - NASA Johnson - Behind the Scenes  Landing the Soyuz_zxO-pM1lLZ0 - transcript (automated).pdf","Transcript Link")</f>
        <v>Transcript Link</v>
      </c>
    </row>
    <row r="3346" ht="180" spans="1:13">
      <c r="A3346" s="1" t="s">
        <v>14675</v>
      </c>
      <c r="B3346" s="1" t="s">
        <v>13</v>
      </c>
      <c r="C3346" s="4" t="s">
        <v>14676</v>
      </c>
      <c r="D3346" s="1" t="s">
        <v>14677</v>
      </c>
      <c r="E3346" s="1" t="s">
        <v>14678</v>
      </c>
      <c r="F3346" s="4" t="s">
        <v>17</v>
      </c>
      <c r="G3346" s="1" t="s">
        <v>18</v>
      </c>
      <c r="H3346" s="1" t="s">
        <v>19</v>
      </c>
      <c r="I3346" s="1" t="s">
        <v>20</v>
      </c>
      <c r="J3346" s="1" t="s">
        <v>14679</v>
      </c>
      <c r="K3346" s="1" t="s">
        <v>22</v>
      </c>
      <c r="L3346" s="1" t="str">
        <f>HYPERLINK("https://files.afu.se/Downloads/Transcripts/0%20-%20Government/USA%20-%20NASA%20Johnson/2011 06 15 - NASA Johnson - Space Shuttle Launch and Landing Highlights_uCVt0kpefHM - transcript (automated).pdf","Transcript Link")</f>
        <v>Transcript Link</v>
      </c>
      <c r="M3346" s="2" t="str">
        <f>HYPERLINK("https://files.afu.se/Downloads/Transcripts/0%20-%20Government/USA%20-%20NASA%20Johnson/2011 06 15 - NASA Johnson - Space Shuttle Launch and Landing Highlights_uCVt0kpefHM - transcript (automated).pdf","Transcript Link")</f>
        <v>Transcript Link</v>
      </c>
    </row>
    <row r="3347" ht="180" spans="1:13">
      <c r="A3347" s="1" t="s">
        <v>14680</v>
      </c>
      <c r="B3347" s="1" t="s">
        <v>13</v>
      </c>
      <c r="C3347" s="4" t="s">
        <v>14681</v>
      </c>
      <c r="D3347" s="1" t="s">
        <v>14682</v>
      </c>
      <c r="E3347" s="1" t="s">
        <v>14683</v>
      </c>
      <c r="F3347" s="4" t="s">
        <v>17</v>
      </c>
      <c r="G3347" s="1" t="s">
        <v>18</v>
      </c>
      <c r="H3347" s="1" t="s">
        <v>19</v>
      </c>
      <c r="I3347" s="1" t="s">
        <v>20</v>
      </c>
      <c r="J3347" s="1" t="s">
        <v>14684</v>
      </c>
      <c r="K3347" s="1" t="s">
        <v>22</v>
      </c>
      <c r="L3347" s="1" t="str">
        <f>HYPERLINK("https://files.afu.se/Downloads/Transcripts/0%20-%20Government/USA%20-%20NASA%20Johnson/2011 06 10 - NASA Johnson - New Trio Welcomed Aboard Station_yzWFvlK0Ifc - transcript (automated).pdf","Transcript Link")</f>
        <v>Transcript Link</v>
      </c>
      <c r="M3347" s="2" t="str">
        <f>HYPERLINK("https://files.afu.se/Downloads/Transcripts/0%20-%20Government/USA%20-%20NASA%20Johnson/2011 06 10 - NASA Johnson - New Trio Welcomed Aboard Station_yzWFvlK0Ifc - transcript (automated).pdf","Transcript Link")</f>
        <v>Transcript Link</v>
      </c>
    </row>
    <row r="3348" ht="180" spans="1:13">
      <c r="A3348" s="1" t="s">
        <v>14685</v>
      </c>
      <c r="B3348" s="1" t="s">
        <v>13</v>
      </c>
      <c r="C3348" s="4" t="s">
        <v>14686</v>
      </c>
      <c r="D3348" s="1" t="s">
        <v>14687</v>
      </c>
      <c r="E3348" s="1" t="s">
        <v>14688</v>
      </c>
      <c r="F3348" s="4" t="s">
        <v>17</v>
      </c>
      <c r="G3348" s="1" t="s">
        <v>18</v>
      </c>
      <c r="H3348" s="1" t="s">
        <v>19</v>
      </c>
      <c r="I3348" s="1" t="s">
        <v>20</v>
      </c>
      <c r="J3348" s="1" t="s">
        <v>14689</v>
      </c>
      <c r="K3348" s="1" t="s">
        <v>22</v>
      </c>
      <c r="L3348" s="1" t="str">
        <f>HYPERLINK("https://files.afu.se/Downloads/Transcripts/0%20-%20Government/USA%20-%20NASA%20Johnson/2011 06 09 - NASA Johnson - New Crew Members Arrive at Station_ElX2b-PnaaQ - transcript (automated).pdf","Transcript Link")</f>
        <v>Transcript Link</v>
      </c>
      <c r="M3348" s="2" t="str">
        <f>HYPERLINK("https://files.afu.se/Downloads/Transcripts/0%20-%20Government/USA%20-%20NASA%20Johnson/2011 06 09 - NASA Johnson - New Crew Members Arrive at Station_ElX2b-PnaaQ - transcript (automated).pdf","Transcript Link")</f>
        <v>Transcript Link</v>
      </c>
    </row>
    <row r="3349" ht="180" spans="1:13">
      <c r="A3349" s="1" t="s">
        <v>14685</v>
      </c>
      <c r="B3349" s="1" t="s">
        <v>13</v>
      </c>
      <c r="C3349" s="4" t="s">
        <v>14690</v>
      </c>
      <c r="D3349" s="1" t="s">
        <v>14691</v>
      </c>
      <c r="E3349" s="1" t="s">
        <v>14692</v>
      </c>
      <c r="F3349" s="4" t="s">
        <v>17</v>
      </c>
      <c r="G3349" s="1" t="s">
        <v>18</v>
      </c>
      <c r="H3349" s="1" t="s">
        <v>19</v>
      </c>
      <c r="I3349" s="1" t="s">
        <v>20</v>
      </c>
      <c r="J3349" s="1" t="s">
        <v>14693</v>
      </c>
      <c r="K3349" s="1" t="s">
        <v>22</v>
      </c>
      <c r="L3349" s="1" t="str">
        <f>HYPERLINK("https://files.afu.se/Downloads/Transcripts/0%20-%20Government/USA%20-%20NASA%20Johnson/2011 06 09 - NASA Johnson - STS-134 Daily Mission Recap - Flight Day 7_ThRVzDIrrKA - transcript (automated).pdf","Transcript Link")</f>
        <v>Transcript Link</v>
      </c>
      <c r="M3349" s="2" t="str">
        <f>HYPERLINK("https://files.afu.se/Downloads/Transcripts/0%20-%20Government/USA%20-%20NASA%20Johnson/2011 06 09 - NASA Johnson - STS-134 Daily Mission Recap - Flight Day 7_ThRVzDIrrKA - transcript (automated).pdf","Transcript Link")</f>
        <v>Transcript Link</v>
      </c>
    </row>
    <row r="3350" ht="180" spans="1:13">
      <c r="A3350" s="1" t="s">
        <v>14694</v>
      </c>
      <c r="B3350" s="1" t="s">
        <v>13</v>
      </c>
      <c r="C3350" s="4" t="s">
        <v>14695</v>
      </c>
      <c r="D3350" s="1" t="s">
        <v>14696</v>
      </c>
      <c r="E3350" s="1" t="s">
        <v>14697</v>
      </c>
      <c r="F3350" s="4" t="s">
        <v>17</v>
      </c>
      <c r="G3350" s="1" t="s">
        <v>18</v>
      </c>
      <c r="H3350" s="1" t="s">
        <v>19</v>
      </c>
      <c r="I3350" s="1" t="s">
        <v>20</v>
      </c>
      <c r="J3350" s="1" t="s">
        <v>14698</v>
      </c>
      <c r="K3350" s="1" t="s">
        <v>22</v>
      </c>
      <c r="L3350" s="1" t="str">
        <f>HYPERLINK("https://files.afu.se/Downloads/Transcripts/0%20-%20Government/USA%20-%20NASA%20Johnson/2011 06 08 - NASA Johnson - Rocket Rock  Soyuz Crew Gets a Sendoff Song from ZZ Top_Ob9WXozrLdQ - transcript (automated).pdf","Transcript Link")</f>
        <v>Transcript Link</v>
      </c>
      <c r="M3350" s="2" t="str">
        <f>HYPERLINK("https://files.afu.se/Downloads/Transcripts/0%20-%20Government/USA%20-%20NASA%20Johnson/2011 06 08 - NASA Johnson - Rocket Rock  Soyuz Crew Gets a Sendoff Song from ZZ Top_Ob9WXozrLdQ - transcript (automated).pdf","Transcript Link")</f>
        <v>Transcript Link</v>
      </c>
    </row>
    <row r="3351" ht="180" spans="1:13">
      <c r="A3351" s="1" t="s">
        <v>14694</v>
      </c>
      <c r="B3351" s="1" t="s">
        <v>13</v>
      </c>
      <c r="C3351" s="4" t="s">
        <v>14699</v>
      </c>
      <c r="D3351" s="1" t="s">
        <v>14700</v>
      </c>
      <c r="E3351" s="1" t="s">
        <v>14701</v>
      </c>
      <c r="F3351" s="4" t="s">
        <v>17</v>
      </c>
      <c r="G3351" s="1" t="s">
        <v>18</v>
      </c>
      <c r="H3351" s="1" t="s">
        <v>19</v>
      </c>
      <c r="I3351" s="1" t="s">
        <v>20</v>
      </c>
      <c r="J3351" s="1" t="s">
        <v>14702</v>
      </c>
      <c r="K3351" s="1" t="s">
        <v>22</v>
      </c>
      <c r="L3351" s="1" t="str">
        <f>HYPERLINK("https://files.afu.se/Downloads/Transcripts/0%20-%20Government/USA%20-%20NASA%20Johnson/2011 06 08 - NASA Johnson - Shuttle Endeavour Docked to Station_NYFu3UNENyI - transcript (automated).pdf","Transcript Link")</f>
        <v>Transcript Link</v>
      </c>
      <c r="M3351" s="2" t="str">
        <f>HYPERLINK("https://files.afu.se/Downloads/Transcripts/0%20-%20Government/USA%20-%20NASA%20Johnson/2011 06 08 - NASA Johnson - Shuttle Endeavour Docked to Station_NYFu3UNENyI - transcript (automated).pdf","Transcript Link")</f>
        <v>Transcript Link</v>
      </c>
    </row>
    <row r="3352" ht="180" spans="1:13">
      <c r="A3352" s="1" t="s">
        <v>14703</v>
      </c>
      <c r="B3352" s="1" t="s">
        <v>13</v>
      </c>
      <c r="C3352" s="4" t="s">
        <v>14704</v>
      </c>
      <c r="D3352" s="1" t="s">
        <v>14705</v>
      </c>
      <c r="E3352" s="1" t="s">
        <v>14706</v>
      </c>
      <c r="F3352" s="4" t="s">
        <v>17</v>
      </c>
      <c r="G3352" s="1" t="s">
        <v>18</v>
      </c>
      <c r="H3352" s="1" t="s">
        <v>19</v>
      </c>
      <c r="I3352" s="1" t="s">
        <v>20</v>
      </c>
      <c r="J3352" s="1" t="s">
        <v>14707</v>
      </c>
      <c r="K3352" s="1" t="s">
        <v>22</v>
      </c>
      <c r="L3352" s="1" t="str">
        <f>HYPERLINK("https://files.afu.se/Downloads/Transcripts/0%20-%20Government/USA%20-%20NASA%20Johnson/2011 06 01 - NASA Johnson - Endeavour's Crew Wakes to Song Contest Winner_e7ltSFWfAlU - transcript (automated).pdf","Transcript Link")</f>
        <v>Transcript Link</v>
      </c>
      <c r="M3352" s="2" t="str">
        <f>HYPERLINK("https://files.afu.se/Downloads/Transcripts/0%20-%20Government/USA%20-%20NASA%20Johnson/2011 06 01 - NASA Johnson - Endeavour's Crew Wakes to Song Contest Winner_e7ltSFWfAlU - transcript (automated).pdf","Transcript Link")</f>
        <v>Transcript Link</v>
      </c>
    </row>
    <row r="3353" ht="180" spans="1:13">
      <c r="A3353" s="1" t="s">
        <v>14703</v>
      </c>
      <c r="B3353" s="1" t="s">
        <v>13</v>
      </c>
      <c r="C3353" s="4" t="s">
        <v>14708</v>
      </c>
      <c r="D3353" s="1" t="s">
        <v>14709</v>
      </c>
      <c r="E3353" s="1" t="s">
        <v>14710</v>
      </c>
      <c r="F3353" s="4" t="s">
        <v>17</v>
      </c>
      <c r="G3353" s="1" t="s">
        <v>18</v>
      </c>
      <c r="H3353" s="1" t="s">
        <v>19</v>
      </c>
      <c r="I3353" s="1" t="s">
        <v>20</v>
      </c>
      <c r="J3353" s="1" t="s">
        <v>14711</v>
      </c>
      <c r="K3353" s="1" t="s">
        <v>22</v>
      </c>
      <c r="L3353" s="1" t="str">
        <f>HYPERLINK("https://files.afu.se/Downloads/Transcripts/0%20-%20Government/USA%20-%20NASA%20Johnson/2011 06 01 - NASA Johnson - STS-134 Crew Wakes to Song Contest Runner-Up_9ci2j7ammio - transcript (automated).pdf","Transcript Link")</f>
        <v>Transcript Link</v>
      </c>
      <c r="M3353" s="2" t="str">
        <f>HYPERLINK("https://files.afu.se/Downloads/Transcripts/0%20-%20Government/USA%20-%20NASA%20Johnson/2011 06 01 - NASA Johnson - STS-134 Crew Wakes to Song Contest Runner-Up_9ci2j7ammio - transcript (automated).pdf","Transcript Link")</f>
        <v>Transcript Link</v>
      </c>
    </row>
    <row r="3354" ht="180" spans="1:13">
      <c r="A3354" s="1" t="s">
        <v>14712</v>
      </c>
      <c r="B3354" s="1" t="s">
        <v>13</v>
      </c>
      <c r="C3354" s="4" t="s">
        <v>14713</v>
      </c>
      <c r="D3354" s="1" t="s">
        <v>14714</v>
      </c>
      <c r="E3354" s="1" t="s">
        <v>14715</v>
      </c>
      <c r="F3354" s="4" t="s">
        <v>17</v>
      </c>
      <c r="G3354" s="1" t="s">
        <v>18</v>
      </c>
      <c r="H3354" s="1" t="s">
        <v>19</v>
      </c>
      <c r="I3354" s="1" t="s">
        <v>20</v>
      </c>
      <c r="J3354" s="1" t="s">
        <v>14716</v>
      </c>
      <c r="K3354" s="1" t="s">
        <v>22</v>
      </c>
      <c r="L3354" s="1" t="str">
        <f>HYPERLINK("https://files.afu.se/Downloads/Transcripts/0%20-%20Government/USA%20-%20NASA%20Johnson/2011 05 31 - NASA Johnson - STS-134 Daily Mission Recap - Flight Day 16_4TLTpGivmco - transcript (automated).pdf","Transcript Link")</f>
        <v>Transcript Link</v>
      </c>
      <c r="M3354" s="2" t="str">
        <f>HYPERLINK("https://files.afu.se/Downloads/Transcripts/0%20-%20Government/USA%20-%20NASA%20Johnson/2011 05 31 - NASA Johnson - STS-134 Daily Mission Recap - Flight Day 16_4TLTpGivmco - transcript (automated).pdf","Transcript Link")</f>
        <v>Transcript Link</v>
      </c>
    </row>
    <row r="3355" ht="180" spans="1:13">
      <c r="A3355" s="1" t="s">
        <v>14712</v>
      </c>
      <c r="B3355" s="1" t="s">
        <v>13</v>
      </c>
      <c r="C3355" s="4" t="s">
        <v>14717</v>
      </c>
      <c r="D3355" s="1" t="s">
        <v>14718</v>
      </c>
      <c r="E3355" s="1" t="s">
        <v>14719</v>
      </c>
      <c r="F3355" s="4" t="s">
        <v>17</v>
      </c>
      <c r="G3355" s="1" t="s">
        <v>18</v>
      </c>
      <c r="H3355" s="1" t="s">
        <v>19</v>
      </c>
      <c r="I3355" s="1" t="s">
        <v>20</v>
      </c>
      <c r="J3355" s="1" t="s">
        <v>14720</v>
      </c>
      <c r="K3355" s="1" t="s">
        <v>22</v>
      </c>
      <c r="L3355" s="1" t="str">
        <f>HYPERLINK("https://files.afu.se/Downloads/Transcripts/0%20-%20Government/USA%20-%20NASA%20Johnson/2011 05 31 - NASA Johnson - STS-134 Tribute to Endeavour_0qOENXuZiTs - transcript (automated).pdf","Transcript Link")</f>
        <v>Transcript Link</v>
      </c>
      <c r="M3355" s="2" t="str">
        <f>HYPERLINK("https://files.afu.se/Downloads/Transcripts/0%20-%20Government/USA%20-%20NASA%20Johnson/2011 05 31 - NASA Johnson - STS-134 Tribute to Endeavour_0qOENXuZiTs - transcript (automated).pdf","Transcript Link")</f>
        <v>Transcript Link</v>
      </c>
    </row>
    <row r="3356" ht="255" spans="1:13">
      <c r="A3356" s="1" t="s">
        <v>14721</v>
      </c>
      <c r="B3356" s="1" t="s">
        <v>13</v>
      </c>
      <c r="C3356" s="4" t="s">
        <v>14722</v>
      </c>
      <c r="D3356" s="1" t="s">
        <v>14723</v>
      </c>
      <c r="E3356" s="1" t="s">
        <v>14724</v>
      </c>
      <c r="F3356" s="4" t="s">
        <v>17</v>
      </c>
      <c r="G3356" s="1" t="s">
        <v>18</v>
      </c>
      <c r="H3356" s="1" t="s">
        <v>19</v>
      </c>
      <c r="I3356" s="1" t="s">
        <v>20</v>
      </c>
      <c r="J3356" s="1" t="s">
        <v>14725</v>
      </c>
      <c r="K3356" s="1" t="s">
        <v>22</v>
      </c>
      <c r="L3356" s="1" t="str">
        <f>HYPERLINK("https://files.afu.se/Downloads/Transcripts/0%20-%20Government/USA%20-%20NASA%20Johnson/2011 05 30 - NASA Johnson - Last Station Flyaround for Space Shuttle Endeavour_HP7uND5Ocek - transcript (automated).pdf","Transcript Link")</f>
        <v>Transcript Link</v>
      </c>
      <c r="M3356" s="2" t="str">
        <f>HYPERLINK("https://files.afu.se/Downloads/Transcripts/0%20-%20Government/USA%20-%20NASA%20Johnson/2011 05 30 - NASA Johnson - Last Station Flyaround for Space Shuttle Endeavour_HP7uND5Ocek - transcript (automated).pdf","Transcript Link")</f>
        <v>Transcript Link</v>
      </c>
    </row>
    <row r="3357" ht="180" spans="1:13">
      <c r="A3357" s="1" t="s">
        <v>14726</v>
      </c>
      <c r="B3357" s="1" t="s">
        <v>13</v>
      </c>
      <c r="C3357" s="4" t="s">
        <v>14727</v>
      </c>
      <c r="D3357" s="1" t="s">
        <v>14728</v>
      </c>
      <c r="E3357" s="1" t="s">
        <v>14729</v>
      </c>
      <c r="F3357" s="4" t="s">
        <v>17</v>
      </c>
      <c r="G3357" s="1" t="s">
        <v>18</v>
      </c>
      <c r="H3357" s="1" t="s">
        <v>19</v>
      </c>
      <c r="I3357" s="1" t="s">
        <v>20</v>
      </c>
      <c r="J3357" s="1" t="s">
        <v>14730</v>
      </c>
      <c r="K3357" s="1" t="s">
        <v>22</v>
      </c>
      <c r="L3357" s="1" t="str">
        <f>HYPERLINK("https://files.afu.se/Downloads/Transcripts/0%20-%20Government/USA%20-%20NASA%20Johnson/2011 05 29 - NASA Johnson - STS-134 Daily Mission Recap - Flight Day 14_fg1_cZM9HEU - transcript (automated).pdf","Transcript Link")</f>
        <v>Transcript Link</v>
      </c>
      <c r="M3357" s="2" t="str">
        <f>HYPERLINK("https://files.afu.se/Downloads/Transcripts/0%20-%20Government/USA%20-%20NASA%20Johnson/2011 05 29 - NASA Johnson - STS-134 Daily Mission Recap - Flight Day 14_fg1_cZM9HEU - transcript (automated).pdf","Transcript Link")</f>
        <v>Transcript Link</v>
      </c>
    </row>
    <row r="3358" ht="180" spans="1:13">
      <c r="A3358" s="1" t="s">
        <v>14726</v>
      </c>
      <c r="B3358" s="1" t="s">
        <v>13</v>
      </c>
      <c r="C3358" s="4" t="s">
        <v>14731</v>
      </c>
      <c r="D3358" s="1" t="s">
        <v>14732</v>
      </c>
      <c r="E3358" s="1" t="s">
        <v>14733</v>
      </c>
      <c r="F3358" s="4" t="s">
        <v>17</v>
      </c>
      <c r="G3358" s="1" t="s">
        <v>18</v>
      </c>
      <c r="H3358" s="1" t="s">
        <v>19</v>
      </c>
      <c r="I3358" s="1" t="s">
        <v>20</v>
      </c>
      <c r="J3358" s="1" t="s">
        <v>14734</v>
      </c>
      <c r="K3358" s="1" t="s">
        <v>22</v>
      </c>
      <c r="L3358" s="1" t="str">
        <f>HYPERLINK("https://files.afu.se/Downloads/Transcripts/0%20-%20Government/USA%20-%20NASA%20Johnson/2011 05 29 - NASA Johnson - Shuttle Crew Says Farewell, Closes Hatches_32zm5J5NkTc - transcript (automated).pdf","Transcript Link")</f>
        <v>Transcript Link</v>
      </c>
      <c r="M3358" s="2" t="str">
        <f>HYPERLINK("https://files.afu.se/Downloads/Transcripts/0%20-%20Government/USA%20-%20NASA%20Johnson/2011 05 29 - NASA Johnson - Shuttle Crew Says Farewell, Closes Hatches_32zm5J5NkTc - transcript (automated).pdf","Transcript Link")</f>
        <v>Transcript Link</v>
      </c>
    </row>
    <row r="3359" ht="180" spans="1:13">
      <c r="A3359" s="1" t="s">
        <v>14726</v>
      </c>
      <c r="B3359" s="1" t="s">
        <v>13</v>
      </c>
      <c r="C3359" s="4" t="s">
        <v>14735</v>
      </c>
      <c r="D3359" s="1" t="s">
        <v>14736</v>
      </c>
      <c r="E3359" s="1" t="s">
        <v>14737</v>
      </c>
      <c r="F3359" s="4" t="s">
        <v>17</v>
      </c>
      <c r="G3359" s="1" t="s">
        <v>18</v>
      </c>
      <c r="H3359" s="1" t="s">
        <v>19</v>
      </c>
      <c r="I3359" s="1" t="s">
        <v>20</v>
      </c>
      <c r="J3359" s="1" t="s">
        <v>14738</v>
      </c>
      <c r="K3359" s="1" t="s">
        <v>22</v>
      </c>
      <c r="L3359" s="1" t="str">
        <f>HYPERLINK("https://files.afu.se/Downloads/Transcripts/0%20-%20Government/USA%20-%20NASA%20Johnson/2011 05 29 - NASA Johnson - STS-134 Memorial Day Message_Sf0j3oHKBZ8 - transcript (automated).pdf","Transcript Link")</f>
        <v>Transcript Link</v>
      </c>
      <c r="M3359" s="2" t="str">
        <f>HYPERLINK("https://files.afu.se/Downloads/Transcripts/0%20-%20Government/USA%20-%20NASA%20Johnson/2011 05 29 - NASA Johnson - STS-134 Memorial Day Message_Sf0j3oHKBZ8 - transcript (automated).pdf","Transcript Link")</f>
        <v>Transcript Link</v>
      </c>
    </row>
    <row r="3360" ht="180" spans="1:13">
      <c r="A3360" s="1" t="s">
        <v>14726</v>
      </c>
      <c r="B3360" s="1" t="s">
        <v>13</v>
      </c>
      <c r="C3360" s="4" t="s">
        <v>14739</v>
      </c>
      <c r="D3360" s="1" t="s">
        <v>14740</v>
      </c>
      <c r="E3360" s="1" t="s">
        <v>14741</v>
      </c>
      <c r="F3360" s="4" t="s">
        <v>17</v>
      </c>
      <c r="G3360" s="1" t="s">
        <v>18</v>
      </c>
      <c r="H3360" s="1" t="s">
        <v>19</v>
      </c>
      <c r="I3360" s="1" t="s">
        <v>20</v>
      </c>
      <c r="J3360" s="1" t="s">
        <v>14742</v>
      </c>
      <c r="K3360" s="1" t="s">
        <v>22</v>
      </c>
      <c r="L3360" s="1" t="str">
        <f>HYPERLINK("https://files.afu.se/Downloads/Transcripts/0%20-%20Government/USA%20-%20NASA%20Johnson/2011 05 29 - NASA Johnson - STS-134 Ascent Imagery Highlights_DO7ZBp4HXQA - transcript (automated).pdf","Transcript Link")</f>
        <v>Transcript Link</v>
      </c>
      <c r="M3360" s="2" t="str">
        <f>HYPERLINK("https://files.afu.se/Downloads/Transcripts/0%20-%20Government/USA%20-%20NASA%20Johnson/2011 05 29 - NASA Johnson - STS-134 Ascent Imagery Highlights_DO7ZBp4HXQA - transcript (automated).pdf","Transcript Link")</f>
        <v>Transcript Link</v>
      </c>
    </row>
    <row r="3361" ht="180" spans="1:13">
      <c r="A3361" s="1" t="s">
        <v>14743</v>
      </c>
      <c r="B3361" s="1" t="s">
        <v>13</v>
      </c>
      <c r="C3361" s="4" t="s">
        <v>14744</v>
      </c>
      <c r="D3361" s="1" t="s">
        <v>14745</v>
      </c>
      <c r="E3361" s="1" t="s">
        <v>14746</v>
      </c>
      <c r="F3361" s="4" t="s">
        <v>17</v>
      </c>
      <c r="G3361" s="1" t="s">
        <v>18</v>
      </c>
      <c r="H3361" s="1" t="s">
        <v>19</v>
      </c>
      <c r="I3361" s="1" t="s">
        <v>20</v>
      </c>
      <c r="J3361" s="1" t="s">
        <v>14747</v>
      </c>
      <c r="K3361" s="1" t="s">
        <v>22</v>
      </c>
      <c r="L3361" s="1" t="str">
        <f>HYPERLINK("https://files.afu.se/Downloads/Transcripts/0%20-%20Government/USA%20-%20NASA%20Johnson/2011 05 28 - NASA Johnson - STS-134 Daily Mission Recap - Flight Day 13_rhHJRwBcr1M - transcript (automated).pdf","Transcript Link")</f>
        <v>Transcript Link</v>
      </c>
      <c r="M3361" s="2" t="str">
        <f>HYPERLINK("https://files.afu.se/Downloads/Transcripts/0%20-%20Government/USA%20-%20NASA%20Johnson/2011 05 28 - NASA Johnson - STS-134 Daily Mission Recap - Flight Day 13_rhHJRwBcr1M - transcript (automated).pdf","Transcript Link")</f>
        <v>Transcript Link</v>
      </c>
    </row>
    <row r="3362" ht="180" spans="1:13">
      <c r="A3362" s="1" t="s">
        <v>14748</v>
      </c>
      <c r="B3362" s="1" t="s">
        <v>13</v>
      </c>
      <c r="C3362" s="4" t="s">
        <v>14749</v>
      </c>
      <c r="D3362" s="1" t="s">
        <v>14750</v>
      </c>
      <c r="E3362" s="1" t="s">
        <v>14751</v>
      </c>
      <c r="F3362" s="4" t="s">
        <v>17</v>
      </c>
      <c r="G3362" s="1" t="s">
        <v>18</v>
      </c>
      <c r="H3362" s="1" t="s">
        <v>19</v>
      </c>
      <c r="I3362" s="1" t="s">
        <v>20</v>
      </c>
      <c r="J3362" s="1" t="s">
        <v>14752</v>
      </c>
      <c r="K3362" s="1" t="s">
        <v>22</v>
      </c>
      <c r="L3362" s="1" t="str">
        <f>HYPERLINK("https://files.afu.se/Downloads/Transcripts/0%20-%20Government/USA%20-%20NASA%20Johnson/2011 05 27 - NASA Johnson - STS-134 Daily Mission Recap - Flight Day 12_Hh4-B91mTWg - transcript (automated).pdf","Transcript Link")</f>
        <v>Transcript Link</v>
      </c>
      <c r="M3362" s="2" t="str">
        <f>HYPERLINK("https://files.afu.se/Downloads/Transcripts/0%20-%20Government/USA%20-%20NASA%20Johnson/2011 05 27 - NASA Johnson - STS-134 Daily Mission Recap - Flight Day 12_Hh4-B91mTWg - transcript (automated).pdf","Transcript Link")</f>
        <v>Transcript Link</v>
      </c>
    </row>
    <row r="3363" ht="180" spans="1:13">
      <c r="A3363" s="1" t="s">
        <v>14753</v>
      </c>
      <c r="B3363" s="1" t="s">
        <v>13</v>
      </c>
      <c r="C3363" s="4" t="s">
        <v>14754</v>
      </c>
      <c r="D3363" s="1" t="s">
        <v>14755</v>
      </c>
      <c r="E3363" s="1" t="s">
        <v>14756</v>
      </c>
      <c r="F3363" s="4" t="s">
        <v>17</v>
      </c>
      <c r="G3363" s="1" t="s">
        <v>18</v>
      </c>
      <c r="H3363" s="1" t="s">
        <v>19</v>
      </c>
      <c r="I3363" s="1" t="s">
        <v>20</v>
      </c>
      <c r="J3363" s="1" t="s">
        <v>14757</v>
      </c>
      <c r="K3363" s="1" t="s">
        <v>22</v>
      </c>
      <c r="L3363" s="1" t="str">
        <f>HYPERLINK("https://files.afu.se/Downloads/Transcripts/0%20-%20Government/USA%20-%20NASA%20Johnson/2011 05 26 - NASA Johnson - STS-134 Daily Mission Recap - Flight Day 11_aTXuwi_1d0Q - transcript (automated).pdf","Transcript Link")</f>
        <v>Transcript Link</v>
      </c>
      <c r="M3363" s="2" t="str">
        <f>HYPERLINK("https://files.afu.se/Downloads/Transcripts/0%20-%20Government/USA%20-%20NASA%20Johnson/2011 05 26 - NASA Johnson - STS-134 Daily Mission Recap - Flight Day 11_aTXuwi_1d0Q - transcript (automated).pdf","Transcript Link")</f>
        <v>Transcript Link</v>
      </c>
    </row>
    <row r="3364" ht="180" spans="1:13">
      <c r="A3364" s="1" t="s">
        <v>14758</v>
      </c>
      <c r="B3364" s="1" t="s">
        <v>13</v>
      </c>
      <c r="C3364" s="4" t="s">
        <v>14759</v>
      </c>
      <c r="D3364" s="1" t="s">
        <v>14760</v>
      </c>
      <c r="E3364" s="1" t="s">
        <v>14761</v>
      </c>
      <c r="F3364" s="4" t="s">
        <v>17</v>
      </c>
      <c r="G3364" s="1" t="s">
        <v>18</v>
      </c>
      <c r="H3364" s="1" t="s">
        <v>19</v>
      </c>
      <c r="I3364" s="1" t="s">
        <v>20</v>
      </c>
      <c r="J3364" s="1" t="s">
        <v>14762</v>
      </c>
      <c r="K3364" s="1" t="s">
        <v>22</v>
      </c>
      <c r="L3364" s="1" t="str">
        <f>HYPERLINK("https://files.afu.se/Downloads/Transcripts/0%20-%20Government/USA%20-%20NASA%20Johnson/2011 05 25 - NASA Johnson - Shuttle Astronauts Play Chess_1mdtpFFNwUg - transcript (automated).pdf","Transcript Link")</f>
        <v>Transcript Link</v>
      </c>
      <c r="M3364" s="2" t="str">
        <f>HYPERLINK("https://files.afu.se/Downloads/Transcripts/0%20-%20Government/USA%20-%20NASA%20Johnson/2011 05 25 - NASA Johnson - Shuttle Astronauts Play Chess_1mdtpFFNwUg - transcript (automated).pdf","Transcript Link")</f>
        <v>Transcript Link</v>
      </c>
    </row>
    <row r="3365" ht="180" spans="1:13">
      <c r="A3365" s="1" t="s">
        <v>14758</v>
      </c>
      <c r="B3365" s="1" t="s">
        <v>13</v>
      </c>
      <c r="C3365" s="4" t="s">
        <v>14763</v>
      </c>
      <c r="D3365" s="1" t="s">
        <v>14764</v>
      </c>
      <c r="E3365" s="1" t="s">
        <v>14765</v>
      </c>
      <c r="F3365" s="4" t="s">
        <v>17</v>
      </c>
      <c r="G3365" s="1" t="s">
        <v>18</v>
      </c>
      <c r="H3365" s="1" t="s">
        <v>19</v>
      </c>
      <c r="I3365" s="1" t="s">
        <v>20</v>
      </c>
      <c r="J3365" s="1" t="s">
        <v>14766</v>
      </c>
      <c r="K3365" s="1" t="s">
        <v>22</v>
      </c>
      <c r="L3365" s="1" t="str">
        <f>HYPERLINK("https://files.afu.se/Downloads/Transcripts/0%20-%20Government/USA%20-%20NASA%20Johnson/2011 05 25 - NASA Johnson - STS-134 Daily Mission Recap - Flight Day 10_c0jbhAj_5kI - transcript (automated).pdf","Transcript Link")</f>
        <v>Transcript Link</v>
      </c>
      <c r="M3365" s="2" t="str">
        <f>HYPERLINK("https://files.afu.se/Downloads/Transcripts/0%20-%20Government/USA%20-%20NASA%20Johnson/2011 05 25 - NASA Johnson - STS-134 Daily Mission Recap - Flight Day 10_c0jbhAj_5kI - transcript (automated).pdf","Transcript Link")</f>
        <v>Transcript Link</v>
      </c>
    </row>
    <row r="3366" ht="180" spans="1:13">
      <c r="A3366" s="1" t="s">
        <v>14767</v>
      </c>
      <c r="B3366" s="1" t="s">
        <v>13</v>
      </c>
      <c r="C3366" s="4" t="s">
        <v>14768</v>
      </c>
      <c r="D3366" s="1" t="s">
        <v>14769</v>
      </c>
      <c r="E3366" s="1" t="s">
        <v>14770</v>
      </c>
      <c r="F3366" s="4" t="s">
        <v>17</v>
      </c>
      <c r="G3366" s="1" t="s">
        <v>18</v>
      </c>
      <c r="H3366" s="1" t="s">
        <v>19</v>
      </c>
      <c r="I3366" s="1" t="s">
        <v>20</v>
      </c>
      <c r="J3366" s="1" t="s">
        <v>14771</v>
      </c>
      <c r="K3366" s="1" t="s">
        <v>22</v>
      </c>
      <c r="L3366" s="1" t="str">
        <f>HYPERLINK("https://files.afu.se/Downloads/Transcripts/0%20-%20Government/USA%20-%20NASA%20Johnson/2011 05 24 - NASA Johnson - STS-134 Daily Mission Recap - Flight Day 9_rP0pM6PwqPs - transcript (automated).pdf","Transcript Link")</f>
        <v>Transcript Link</v>
      </c>
      <c r="M3366" s="2" t="str">
        <f>HYPERLINK("https://files.afu.se/Downloads/Transcripts/0%20-%20Government/USA%20-%20NASA%20Johnson/2011 05 24 - NASA Johnson - STS-134 Daily Mission Recap - Flight Day 9_rP0pM6PwqPs - transcript (automated).pdf","Transcript Link")</f>
        <v>Transcript Link</v>
      </c>
    </row>
    <row r="3367" ht="180" spans="1:13">
      <c r="A3367" s="1" t="s">
        <v>14767</v>
      </c>
      <c r="B3367" s="1" t="s">
        <v>13</v>
      </c>
      <c r="C3367" s="4" t="s">
        <v>14772</v>
      </c>
      <c r="D3367" s="1" t="s">
        <v>14773</v>
      </c>
      <c r="E3367" s="1" t="s">
        <v>14774</v>
      </c>
      <c r="F3367" s="4" t="s">
        <v>17</v>
      </c>
      <c r="G3367" s="1" t="s">
        <v>18</v>
      </c>
      <c r="H3367" s="1" t="s">
        <v>19</v>
      </c>
      <c r="I3367" s="1" t="s">
        <v>20</v>
      </c>
      <c r="J3367" s="1" t="s">
        <v>14775</v>
      </c>
      <c r="K3367" s="1" t="s">
        <v>22</v>
      </c>
      <c r="L3367" s="1" t="str">
        <f>HYPERLINK("https://files.afu.se/Downloads/Transcripts/0%20-%20Government/USA%20-%20NASA%20Johnson/2011 05 24 - NASA Johnson - Expedition 27 Undocks from the Station_S0Ux4MUxZ9c - transcript (automated).pdf","Transcript Link")</f>
        <v>Transcript Link</v>
      </c>
      <c r="M3367" s="2" t="str">
        <f>HYPERLINK("https://files.afu.se/Downloads/Transcripts/0%20-%20Government/USA%20-%20NASA%20Johnson/2011 05 24 - NASA Johnson - Expedition 27 Undocks from the Station_S0Ux4MUxZ9c - transcript (automated).pdf","Transcript Link")</f>
        <v>Transcript Link</v>
      </c>
    </row>
    <row r="3368" ht="180" spans="1:13">
      <c r="A3368" s="1" t="s">
        <v>14767</v>
      </c>
      <c r="B3368" s="1" t="s">
        <v>13</v>
      </c>
      <c r="C3368" s="4" t="s">
        <v>14776</v>
      </c>
      <c r="D3368" s="1" t="s">
        <v>14777</v>
      </c>
      <c r="E3368" s="1" t="s">
        <v>14778</v>
      </c>
      <c r="F3368" s="4" t="s">
        <v>17</v>
      </c>
      <c r="G3368" s="1" t="s">
        <v>18</v>
      </c>
      <c r="H3368" s="1" t="s">
        <v>19</v>
      </c>
      <c r="I3368" s="1" t="s">
        <v>20</v>
      </c>
      <c r="J3368" s="1" t="s">
        <v>14779</v>
      </c>
      <c r="K3368" s="1" t="s">
        <v>22</v>
      </c>
      <c r="L3368" s="1" t="str">
        <f>HYPERLINK("https://files.afu.se/Downloads/Transcripts/0%20-%20Government/USA%20-%20NASA%20Johnson/2011 05 24 - NASA Johnson - Expedition 27 Says Goodbye_UQC_8_SP-zM - transcript (automated).pdf","Transcript Link")</f>
        <v>Transcript Link</v>
      </c>
      <c r="M3368" s="2" t="str">
        <f>HYPERLINK("https://files.afu.se/Downloads/Transcripts/0%20-%20Government/USA%20-%20NASA%20Johnson/2011 05 24 - NASA Johnson - Expedition 27 Says Goodbye_UQC_8_SP-zM - transcript (automated).pdf","Transcript Link")</f>
        <v>Transcript Link</v>
      </c>
    </row>
    <row r="3369" ht="180" spans="1:13">
      <c r="A3369" s="1" t="s">
        <v>14780</v>
      </c>
      <c r="B3369" s="1" t="s">
        <v>13</v>
      </c>
      <c r="C3369" s="4" t="s">
        <v>14781</v>
      </c>
      <c r="D3369" s="1" t="s">
        <v>14782</v>
      </c>
      <c r="E3369" s="1" t="s">
        <v>14783</v>
      </c>
      <c r="F3369" s="4" t="s">
        <v>17</v>
      </c>
      <c r="G3369" s="1" t="s">
        <v>18</v>
      </c>
      <c r="H3369" s="1" t="s">
        <v>19</v>
      </c>
      <c r="I3369" s="1" t="s">
        <v>20</v>
      </c>
      <c r="J3369" s="1" t="s">
        <v>14784</v>
      </c>
      <c r="K3369" s="1" t="s">
        <v>22</v>
      </c>
      <c r="L3369" s="1" t="str">
        <f>HYPERLINK("https://files.afu.se/Downloads/Transcripts/0%20-%20Government/USA%20-%20NASA%20Johnson/2011 05 23 - NASA Johnson - STS-134 Daily Mission Recap - Flight Day 8_val6DfAwM8s - transcript (automated).pdf","Transcript Link")</f>
        <v>Transcript Link</v>
      </c>
      <c r="M3369" s="2" t="str">
        <f>HYPERLINK("https://files.afu.se/Downloads/Transcripts/0%20-%20Government/USA%20-%20NASA%20Johnson/2011 05 23 - NASA Johnson - STS-134 Daily Mission Recap - Flight Day 8_val6DfAwM8s - transcript (automated).pdf","Transcript Link")</f>
        <v>Transcript Link</v>
      </c>
    </row>
    <row r="3370" ht="180" spans="1:13">
      <c r="A3370" s="1" t="s">
        <v>14780</v>
      </c>
      <c r="B3370" s="1" t="s">
        <v>13</v>
      </c>
      <c r="C3370" s="4" t="s">
        <v>14785</v>
      </c>
      <c r="D3370" s="1" t="s">
        <v>14786</v>
      </c>
      <c r="E3370" s="1" t="s">
        <v>14787</v>
      </c>
      <c r="F3370" s="4" t="s">
        <v>17</v>
      </c>
      <c r="G3370" s="1" t="s">
        <v>18</v>
      </c>
      <c r="H3370" s="1" t="s">
        <v>19</v>
      </c>
      <c r="I3370" s="1" t="s">
        <v>20</v>
      </c>
      <c r="J3370" s="1" t="s">
        <v>14788</v>
      </c>
      <c r="K3370" s="1" t="s">
        <v>22</v>
      </c>
      <c r="L3370" s="1" t="str">
        <f>HYPERLINK("https://files.afu.se/Downloads/Transcripts/0%20-%20Government/USA%20-%20NASA%20Johnson/2011 05 23 - NASA Johnson - Astronauts Talk to Students in Tucson_uJttwRg9MLE - transcript (automated).pdf","Transcript Link")</f>
        <v>Transcript Link</v>
      </c>
      <c r="M3370" s="2" t="str">
        <f>HYPERLINK("https://files.afu.se/Downloads/Transcripts/0%20-%20Government/USA%20-%20NASA%20Johnson/2011 05 23 - NASA Johnson - Astronauts Talk to Students in Tucson_uJttwRg9MLE - transcript (automated).pdf","Transcript Link")</f>
        <v>Transcript Link</v>
      </c>
    </row>
    <row r="3371" ht="180" spans="1:13">
      <c r="A3371" s="1" t="s">
        <v>14789</v>
      </c>
      <c r="B3371" s="1" t="s">
        <v>13</v>
      </c>
      <c r="C3371" s="4" t="s">
        <v>14790</v>
      </c>
      <c r="D3371" s="1" t="s">
        <v>14791</v>
      </c>
      <c r="E3371" s="1" t="s">
        <v>14792</v>
      </c>
      <c r="F3371" s="4" t="s">
        <v>17</v>
      </c>
      <c r="G3371" s="1" t="s">
        <v>18</v>
      </c>
      <c r="H3371" s="1" t="s">
        <v>19</v>
      </c>
      <c r="I3371" s="1" t="s">
        <v>20</v>
      </c>
      <c r="J3371" s="1" t="s">
        <v>14793</v>
      </c>
      <c r="K3371" s="1" t="s">
        <v>22</v>
      </c>
      <c r="L3371" s="1" t="str">
        <f>HYPERLINK("https://files.afu.se/Downloads/Transcripts/0%20-%20Government/USA%20-%20NASA%20Johnson/2011 05 22 - NASA Johnson - Expedition 27 28 Change of Command Ceremony_5wyH_6Z6b00 - transcript (automated).pdf","Transcript Link")</f>
        <v>Transcript Link</v>
      </c>
      <c r="M3371" s="2" t="str">
        <f>HYPERLINK("https://files.afu.se/Downloads/Transcripts/0%20-%20Government/USA%20-%20NASA%20Johnson/2011 05 22 - NASA Johnson - Expedition 27 28 Change of Command Ceremony_5wyH_6Z6b00 - transcript (automated).pdf","Transcript Link")</f>
        <v>Transcript Link</v>
      </c>
    </row>
    <row r="3372" ht="180" spans="1:13">
      <c r="A3372" s="1" t="s">
        <v>14789</v>
      </c>
      <c r="B3372" s="1" t="s">
        <v>13</v>
      </c>
      <c r="C3372" s="4" t="s">
        <v>14794</v>
      </c>
      <c r="D3372" s="1" t="s">
        <v>14795</v>
      </c>
      <c r="E3372" s="1" t="s">
        <v>14796</v>
      </c>
      <c r="F3372" s="4" t="s">
        <v>17</v>
      </c>
      <c r="G3372" s="1" t="s">
        <v>18</v>
      </c>
      <c r="H3372" s="1" t="s">
        <v>19</v>
      </c>
      <c r="I3372" s="1" t="s">
        <v>20</v>
      </c>
      <c r="J3372" s="1" t="s">
        <v>14797</v>
      </c>
      <c r="K3372" s="1" t="s">
        <v>22</v>
      </c>
      <c r="L3372" s="1" t="str">
        <f>HYPERLINK("https://files.afu.se/Downloads/Transcripts/0%20-%20Government/USA%20-%20NASA%20Johnson/2011 05 22 - NASA Johnson - STS-134 Daily Mission Recap - Flight Day 6_ryTnDTqTrQk - transcript (automated).pdf","Transcript Link")</f>
        <v>Transcript Link</v>
      </c>
      <c r="M3372" s="2" t="str">
        <f>HYPERLINK("https://files.afu.se/Downloads/Transcripts/0%20-%20Government/USA%20-%20NASA%20Johnson/2011 05 22 - NASA Johnson - STS-134 Daily Mission Recap - Flight Day 6_ryTnDTqTrQk - transcript (automated).pdf","Transcript Link")</f>
        <v>Transcript Link</v>
      </c>
    </row>
    <row r="3373" ht="180" spans="1:13">
      <c r="A3373" s="1" t="s">
        <v>14798</v>
      </c>
      <c r="B3373" s="1" t="s">
        <v>13</v>
      </c>
      <c r="C3373" s="4" t="s">
        <v>14799</v>
      </c>
      <c r="D3373" s="1" t="s">
        <v>14800</v>
      </c>
      <c r="E3373" s="1" t="s">
        <v>14801</v>
      </c>
      <c r="F3373" s="4" t="s">
        <v>17</v>
      </c>
      <c r="G3373" s="1" t="s">
        <v>18</v>
      </c>
      <c r="H3373" s="1" t="s">
        <v>19</v>
      </c>
      <c r="I3373" s="1" t="s">
        <v>20</v>
      </c>
      <c r="J3373" s="1" t="s">
        <v>14802</v>
      </c>
      <c r="K3373" s="1" t="s">
        <v>22</v>
      </c>
      <c r="L3373" s="1" t="str">
        <f>HYPERLINK("https://files.afu.se/Downloads/Transcripts/0%20-%20Government/USA%20-%20NASA%20Johnson/2011 05 21 - NASA Johnson - Crews Speak with Pope Benedict XVI_kj3BjfcJDHI - transcript (automated).pdf","Transcript Link")</f>
        <v>Transcript Link</v>
      </c>
      <c r="M3373" s="2" t="str">
        <f>HYPERLINK("https://files.afu.se/Downloads/Transcripts/0%20-%20Government/USA%20-%20NASA%20Johnson/2011 05 21 - NASA Johnson - Crews Speak with Pope Benedict XVI_kj3BjfcJDHI - transcript (automated).pdf","Transcript Link")</f>
        <v>Transcript Link</v>
      </c>
    </row>
    <row r="3374" ht="180" spans="1:13">
      <c r="A3374" s="1" t="s">
        <v>14798</v>
      </c>
      <c r="B3374" s="1" t="s">
        <v>13</v>
      </c>
      <c r="C3374" s="4" t="s">
        <v>14803</v>
      </c>
      <c r="D3374" s="1" t="s">
        <v>14804</v>
      </c>
      <c r="E3374" s="1" t="s">
        <v>14805</v>
      </c>
      <c r="F3374" s="4" t="s">
        <v>17</v>
      </c>
      <c r="G3374" s="1" t="s">
        <v>18</v>
      </c>
      <c r="H3374" s="1" t="s">
        <v>19</v>
      </c>
      <c r="I3374" s="1" t="s">
        <v>20</v>
      </c>
      <c r="J3374" s="1" t="s">
        <v>14806</v>
      </c>
      <c r="K3374" s="1" t="s">
        <v>22</v>
      </c>
      <c r="L3374" s="1" t="str">
        <f>HYPERLINK("https://files.afu.se/Downloads/Transcripts/0%20-%20Government/USA%20-%20NASA%20Johnson/2011 05 21 - NASA Johnson - Expedition 27  Spiders in Space_6USwy2NdO5c - transcript (automated).pdf","Transcript Link")</f>
        <v>Transcript Link</v>
      </c>
      <c r="M3374" s="2" t="str">
        <f>HYPERLINK("https://files.afu.se/Downloads/Transcripts/0%20-%20Government/USA%20-%20NASA%20Johnson/2011 05 21 - NASA Johnson - Expedition 27  Spiders in Space_6USwy2NdO5c - transcript (automated).pdf","Transcript Link")</f>
        <v>Transcript Link</v>
      </c>
    </row>
    <row r="3375" ht="180" spans="1:13">
      <c r="A3375" s="1" t="s">
        <v>14807</v>
      </c>
      <c r="B3375" s="1" t="s">
        <v>13</v>
      </c>
      <c r="C3375" s="4" t="s">
        <v>14808</v>
      </c>
      <c r="D3375" s="1" t="s">
        <v>14809</v>
      </c>
      <c r="E3375" s="1" t="s">
        <v>14810</v>
      </c>
      <c r="F3375" s="4" t="s">
        <v>17</v>
      </c>
      <c r="G3375" s="1" t="s">
        <v>18</v>
      </c>
      <c r="H3375" s="1" t="s">
        <v>19</v>
      </c>
      <c r="I3375" s="1" t="s">
        <v>20</v>
      </c>
      <c r="J3375" s="1" t="s">
        <v>14811</v>
      </c>
      <c r="K3375" s="1" t="s">
        <v>22</v>
      </c>
      <c r="L3375" s="1" t="str">
        <f>HYPERLINK("https://files.afu.se/Downloads/Transcripts/0%20-%20Government/USA%20-%20NASA%20Johnson/2011 05 20 - NASA Johnson - STS-134 Daily Mission Recap - Flight Day 5_-s71i5X90ug - transcript (automated).pdf","Transcript Link")</f>
        <v>Transcript Link</v>
      </c>
      <c r="M3375" s="2" t="str">
        <f>HYPERLINK("https://files.afu.se/Downloads/Transcripts/0%20-%20Government/USA%20-%20NASA%20Johnson/2011 05 20 - NASA Johnson - STS-134 Daily Mission Recap - Flight Day 5_-s71i5X90ug - transcript (automated).pdf","Transcript Link")</f>
        <v>Transcript Link</v>
      </c>
    </row>
    <row r="3376" ht="180" spans="1:13">
      <c r="A3376" s="1" t="s">
        <v>14807</v>
      </c>
      <c r="B3376" s="1" t="s">
        <v>13</v>
      </c>
      <c r="C3376" s="4" t="s">
        <v>14812</v>
      </c>
      <c r="D3376" s="1" t="s">
        <v>14813</v>
      </c>
      <c r="E3376" s="1" t="s">
        <v>14814</v>
      </c>
      <c r="F3376" s="4" t="s">
        <v>17</v>
      </c>
      <c r="G3376" s="1" t="s">
        <v>18</v>
      </c>
      <c r="H3376" s="1" t="s">
        <v>19</v>
      </c>
      <c r="I3376" s="1" t="s">
        <v>20</v>
      </c>
      <c r="J3376" s="1" t="s">
        <v>14815</v>
      </c>
      <c r="K3376" s="1" t="s">
        <v>22</v>
      </c>
      <c r="L3376" s="1" t="str">
        <f>HYPERLINK("https://files.afu.se/Downloads/Transcripts/0%20-%20Government/USA%20-%20NASA%20Johnson/2011 05 20 - NASA Johnson - Expedition 27 Trains for Soyuz Undocking_KpARJPkHo8M - transcript (automated).pdf","Transcript Link")</f>
        <v>Transcript Link</v>
      </c>
      <c r="M3376" s="2" t="str">
        <f>HYPERLINK("https://files.afu.se/Downloads/Transcripts/0%20-%20Government/USA%20-%20NASA%20Johnson/2011 05 20 - NASA Johnson - Expedition 27 Trains for Soyuz Undocking_KpARJPkHo8M - transcript (automated).pdf","Transcript Link")</f>
        <v>Transcript Link</v>
      </c>
    </row>
    <row r="3377" ht="180" spans="1:13">
      <c r="A3377" s="1" t="s">
        <v>14807</v>
      </c>
      <c r="B3377" s="1" t="s">
        <v>13</v>
      </c>
      <c r="C3377" s="4" t="s">
        <v>14816</v>
      </c>
      <c r="D3377" s="1" t="s">
        <v>14817</v>
      </c>
      <c r="E3377" s="1" t="s">
        <v>14818</v>
      </c>
      <c r="F3377" s="4" t="s">
        <v>17</v>
      </c>
      <c r="G3377" s="1" t="s">
        <v>18</v>
      </c>
      <c r="H3377" s="1" t="s">
        <v>19</v>
      </c>
      <c r="I3377" s="1" t="s">
        <v>20</v>
      </c>
      <c r="J3377" s="1" t="s">
        <v>14819</v>
      </c>
      <c r="K3377" s="1" t="s">
        <v>22</v>
      </c>
      <c r="L3377" s="1" t="str">
        <f>HYPERLINK("https://files.afu.se/Downloads/Transcripts/0%20-%20Government/USA%20-%20NASA%20Johnson/2011 05 20 - NASA Johnson - Soyuz Flyaround Animation_nrGNiK3vEfI - transcript (automated).pdf","Transcript Link")</f>
        <v>Transcript Link</v>
      </c>
      <c r="M3377" s="2" t="str">
        <f>HYPERLINK("https://files.afu.se/Downloads/Transcripts/0%20-%20Government/USA%20-%20NASA%20Johnson/2011 05 20 - NASA Johnson - Soyuz Flyaround Animation_nrGNiK3vEfI - transcript (automated).pdf","Transcript Link")</f>
        <v>Transcript Link</v>
      </c>
    </row>
    <row r="3378" ht="180" spans="1:13">
      <c r="A3378" s="1" t="s">
        <v>14807</v>
      </c>
      <c r="B3378" s="1" t="s">
        <v>13</v>
      </c>
      <c r="C3378" s="4" t="s">
        <v>14820</v>
      </c>
      <c r="D3378" s="1" t="s">
        <v>14821</v>
      </c>
      <c r="E3378" s="1" t="s">
        <v>14822</v>
      </c>
      <c r="F3378" s="4" t="s">
        <v>17</v>
      </c>
      <c r="G3378" s="1" t="s">
        <v>18</v>
      </c>
      <c r="H3378" s="1" t="s">
        <v>19</v>
      </c>
      <c r="I3378" s="1" t="s">
        <v>20</v>
      </c>
      <c r="J3378" s="1" t="s">
        <v>14823</v>
      </c>
      <c r="K3378" s="1" t="s">
        <v>22</v>
      </c>
      <c r="L3378" s="1" t="str">
        <f>HYPERLINK("https://files.afu.se/Downloads/Transcripts/0%20-%20Government/USA%20-%20NASA%20Johnson/2011 05 20 - NASA Johnson - STS-134 Daily Mission Recap - Flight Day 4_GHuJELfSNuU - transcript (automated).pdf","Transcript Link")</f>
        <v>Transcript Link</v>
      </c>
      <c r="M3378" s="2" t="str">
        <f>HYPERLINK("https://files.afu.se/Downloads/Transcripts/0%20-%20Government/USA%20-%20NASA%20Johnson/2011 05 20 - NASA Johnson - STS-134 Daily Mission Recap - Flight Day 4_GHuJELfSNuU - transcript (automated).pdf","Transcript Link")</f>
        <v>Transcript Link</v>
      </c>
    </row>
    <row r="3379" ht="180" spans="1:13">
      <c r="A3379" s="1" t="s">
        <v>14824</v>
      </c>
      <c r="B3379" s="1" t="s">
        <v>13</v>
      </c>
      <c r="C3379" s="4" t="s">
        <v>14825</v>
      </c>
      <c r="D3379" s="1" t="s">
        <v>14826</v>
      </c>
      <c r="E3379" s="1" t="s">
        <v>14827</v>
      </c>
      <c r="F3379" s="4" t="s">
        <v>17</v>
      </c>
      <c r="G3379" s="1" t="s">
        <v>18</v>
      </c>
      <c r="H3379" s="1" t="s">
        <v>19</v>
      </c>
      <c r="I3379" s="1" t="s">
        <v>20</v>
      </c>
      <c r="J3379" s="1" t="s">
        <v>14828</v>
      </c>
      <c r="K3379" s="1" t="s">
        <v>22</v>
      </c>
      <c r="L3379" s="1" t="str">
        <f>HYPERLINK("https://files.afu.se/Downloads/Transcripts/0%20-%20Government/USA%20-%20NASA%20Johnson/2011 05 19 - NASA Johnson - STS-134 Daily Mission Recap - Flight Day 3_G7q2-dV76zc - transcript (automated).pdf","Transcript Link")</f>
        <v>Transcript Link</v>
      </c>
      <c r="M3379" s="2" t="str">
        <f>HYPERLINK("https://files.afu.se/Downloads/Transcripts/0%20-%20Government/USA%20-%20NASA%20Johnson/2011 05 19 - NASA Johnson - STS-134 Daily Mission Recap - Flight Day 3_G7q2-dV76zc - transcript (automated).pdf","Transcript Link")</f>
        <v>Transcript Link</v>
      </c>
    </row>
    <row r="3380" ht="180" spans="1:13">
      <c r="A3380" s="1" t="s">
        <v>14829</v>
      </c>
      <c r="B3380" s="1" t="s">
        <v>13</v>
      </c>
      <c r="C3380" s="4" t="s">
        <v>14830</v>
      </c>
      <c r="D3380" s="1" t="s">
        <v>14831</v>
      </c>
      <c r="E3380" s="1" t="s">
        <v>14832</v>
      </c>
      <c r="F3380" s="4" t="s">
        <v>17</v>
      </c>
      <c r="G3380" s="1" t="s">
        <v>18</v>
      </c>
      <c r="H3380" s="1" t="s">
        <v>19</v>
      </c>
      <c r="I3380" s="1" t="s">
        <v>20</v>
      </c>
      <c r="J3380" s="1" t="s">
        <v>14833</v>
      </c>
      <c r="K3380" s="1" t="s">
        <v>22</v>
      </c>
      <c r="L3380" s="1" t="str">
        <f>HYPERLINK("https://files.afu.se/Downloads/Transcripts/0%20-%20Government/USA%20-%20NASA%20Johnson/2011 05 18 - NASA Johnson - STS-134  Rendezvous Pitch Maneuver_19Bvj_g6XAM - transcript (automated).pdf","Transcript Link")</f>
        <v>Transcript Link</v>
      </c>
      <c r="M3380" s="2" t="str">
        <f>HYPERLINK("https://files.afu.se/Downloads/Transcripts/0%20-%20Government/USA%20-%20NASA%20Johnson/2011 05 18 - NASA Johnson - STS-134  Rendezvous Pitch Maneuver_19Bvj_g6XAM - transcript (automated).pdf","Transcript Link")</f>
        <v>Transcript Link</v>
      </c>
    </row>
    <row r="3381" ht="180" spans="1:13">
      <c r="A3381" s="1" t="s">
        <v>14834</v>
      </c>
      <c r="B3381" s="1" t="s">
        <v>13</v>
      </c>
      <c r="C3381" s="4" t="s">
        <v>14835</v>
      </c>
      <c r="D3381" s="1" t="s">
        <v>14836</v>
      </c>
      <c r="E3381" s="1" t="s">
        <v>14837</v>
      </c>
      <c r="F3381" s="4" t="s">
        <v>17</v>
      </c>
      <c r="G3381" s="1" t="s">
        <v>18</v>
      </c>
      <c r="H3381" s="1" t="s">
        <v>19</v>
      </c>
      <c r="I3381" s="1" t="s">
        <v>20</v>
      </c>
      <c r="J3381" s="1" t="s">
        <v>14838</v>
      </c>
      <c r="K3381" s="1" t="s">
        <v>22</v>
      </c>
      <c r="L3381" s="1" t="str">
        <f>HYPERLINK("https://files.afu.se/Downloads/Transcripts/0%20-%20Government/USA%20-%20NASA%20Johnson/2011 05 17 - NASA Johnson - STS-134 Daily Mission Recap - Flight Day 2_zkGMy1r2p5A - transcript (automated).pdf","Transcript Link")</f>
        <v>Transcript Link</v>
      </c>
      <c r="M3381" s="2" t="str">
        <f>HYPERLINK("https://files.afu.se/Downloads/Transcripts/0%20-%20Government/USA%20-%20NASA%20Johnson/2011 05 17 - NASA Johnson - STS-134 Daily Mission Recap - Flight Day 2_zkGMy1r2p5A - transcript (automated).pdf","Transcript Link")</f>
        <v>Transcript Link</v>
      </c>
    </row>
    <row r="3382" ht="180" spans="1:13">
      <c r="A3382" s="1" t="s">
        <v>14834</v>
      </c>
      <c r="B3382" s="1" t="s">
        <v>13</v>
      </c>
      <c r="C3382" s="4" t="s">
        <v>14839</v>
      </c>
      <c r="D3382" s="1" t="s">
        <v>14840</v>
      </c>
      <c r="E3382" s="1" t="s">
        <v>14841</v>
      </c>
      <c r="F3382" s="4" t="s">
        <v>17</v>
      </c>
      <c r="G3382" s="1" t="s">
        <v>18</v>
      </c>
      <c r="H3382" s="1" t="s">
        <v>19</v>
      </c>
      <c r="I3382" s="1" t="s">
        <v>20</v>
      </c>
      <c r="J3382" s="1" t="s">
        <v>14842</v>
      </c>
      <c r="K3382" s="1" t="s">
        <v>22</v>
      </c>
      <c r="L3382" s="1" t="str">
        <f>HYPERLINK("https://files.afu.se/Downloads/Transcripts/0%20-%20Government/USA%20-%20NASA%20Johnson/2011 05 17 - NASA Johnson - STS-134 Daily Mission Recap - Flight Day 1_fQRYP0U7h0w - transcript (automated).pdf","Transcript Link")</f>
        <v>Transcript Link</v>
      </c>
      <c r="M3382" s="2" t="str">
        <f>HYPERLINK("https://files.afu.se/Downloads/Transcripts/0%20-%20Government/USA%20-%20NASA%20Johnson/2011 05 17 - NASA Johnson - STS-134 Daily Mission Recap - Flight Day 1_fQRYP0U7h0w - transcript (automated).pdf","Transcript Link")</f>
        <v>Transcript Link</v>
      </c>
    </row>
    <row r="3383" ht="180" spans="1:13">
      <c r="A3383" s="1" t="s">
        <v>14843</v>
      </c>
      <c r="B3383" s="1" t="s">
        <v>13</v>
      </c>
      <c r="C3383" s="4" t="s">
        <v>14844</v>
      </c>
      <c r="D3383" s="1" t="s">
        <v>14845</v>
      </c>
      <c r="E3383" s="1" t="s">
        <v>14846</v>
      </c>
      <c r="F3383" s="4" t="s">
        <v>17</v>
      </c>
      <c r="G3383" s="1" t="s">
        <v>18</v>
      </c>
      <c r="H3383" s="1" t="s">
        <v>19</v>
      </c>
      <c r="I3383" s="1" t="s">
        <v>20</v>
      </c>
      <c r="J3383" s="1" t="s">
        <v>14847</v>
      </c>
      <c r="K3383" s="1" t="s">
        <v>22</v>
      </c>
      <c r="L3383" s="1" t="str">
        <f>HYPERLINK("https://files.afu.se/Downloads/Transcripts/0%20-%20Government/USA%20-%20NASA%20Johnson/2011 05 09 - NASA Johnson - STORRM Overview_lUsNBAJ62pQ - transcript (automated).pdf","Transcript Link")</f>
        <v>Transcript Link</v>
      </c>
      <c r="M3383" s="2" t="str">
        <f>HYPERLINK("https://files.afu.se/Downloads/Transcripts/0%20-%20Government/USA%20-%20NASA%20Johnson/2011 05 09 - NASA Johnson - STORRM Overview_lUsNBAJ62pQ - transcript (automated).pdf","Transcript Link")</f>
        <v>Transcript Link</v>
      </c>
    </row>
    <row r="3384" ht="180" spans="1:13">
      <c r="A3384" s="1" t="s">
        <v>14843</v>
      </c>
      <c r="B3384" s="1" t="s">
        <v>13</v>
      </c>
      <c r="C3384" s="4" t="s">
        <v>14848</v>
      </c>
      <c r="D3384" s="1" t="s">
        <v>14849</v>
      </c>
      <c r="E3384" s="1" t="s">
        <v>14850</v>
      </c>
      <c r="F3384" s="4" t="s">
        <v>17</v>
      </c>
      <c r="G3384" s="1" t="s">
        <v>18</v>
      </c>
      <c r="H3384" s="1" t="s">
        <v>19</v>
      </c>
      <c r="I3384" s="1" t="s">
        <v>20</v>
      </c>
      <c r="J3384" s="1" t="s">
        <v>14851</v>
      </c>
      <c r="K3384" s="1" t="s">
        <v>22</v>
      </c>
      <c r="L3384" s="1" t="str">
        <f>HYPERLINK("https://files.afu.se/Downloads/Transcripts/0%20-%20Government/USA%20-%20NASA%20Johnson/2011 05 09 - NASA Johnson - Expedition 27 Crew Profile_hG-bqgVRDFs - transcript (automated).pdf","Transcript Link")</f>
        <v>Transcript Link</v>
      </c>
      <c r="M3384" s="2" t="str">
        <f>HYPERLINK("https://files.afu.se/Downloads/Transcripts/0%20-%20Government/USA%20-%20NASA%20Johnson/2011 05 09 - NASA Johnson - Expedition 27 Crew Profile_hG-bqgVRDFs - transcript (automated).pdf","Transcript Link")</f>
        <v>Transcript Link</v>
      </c>
    </row>
    <row r="3385" ht="180" spans="1:13">
      <c r="A3385" s="1" t="s">
        <v>14843</v>
      </c>
      <c r="B3385" s="1" t="s">
        <v>13</v>
      </c>
      <c r="C3385" s="4" t="s">
        <v>14852</v>
      </c>
      <c r="D3385" s="1" t="s">
        <v>14853</v>
      </c>
      <c r="E3385" s="1" t="s">
        <v>14854</v>
      </c>
      <c r="F3385" s="4" t="s">
        <v>17</v>
      </c>
      <c r="G3385" s="1" t="s">
        <v>18</v>
      </c>
      <c r="H3385" s="1" t="s">
        <v>19</v>
      </c>
      <c r="I3385" s="1" t="s">
        <v>20</v>
      </c>
      <c r="J3385" s="1" t="s">
        <v>14855</v>
      </c>
      <c r="K3385" s="1" t="s">
        <v>22</v>
      </c>
      <c r="L3385" s="1" t="str">
        <f>HYPERLINK("https://files.afu.se/Downloads/Transcripts/0%20-%20Government/USA%20-%20NASA%20Johnson/2011 05 09 - NASA Johnson - Expedition 27 Mission Overview_HH-bFLyyrZM - transcript (automated).pdf","Transcript Link")</f>
        <v>Transcript Link</v>
      </c>
      <c r="M3385" s="2" t="str">
        <f>HYPERLINK("https://files.afu.se/Downloads/Transcripts/0%20-%20Government/USA%20-%20NASA%20Johnson/2011 05 09 - NASA Johnson - Expedition 27 Mission Overview_HH-bFLyyrZM - transcript (automated).pdf","Transcript Link")</f>
        <v>Transcript Link</v>
      </c>
    </row>
    <row r="3386" ht="180" spans="1:13">
      <c r="A3386" s="1" t="s">
        <v>14856</v>
      </c>
      <c r="B3386" s="1" t="s">
        <v>13</v>
      </c>
      <c r="C3386" s="4" t="s">
        <v>14857</v>
      </c>
      <c r="D3386" s="1" t="s">
        <v>14858</v>
      </c>
      <c r="E3386" s="1" t="s">
        <v>14859</v>
      </c>
      <c r="F3386" s="4" t="s">
        <v>17</v>
      </c>
      <c r="G3386" s="1" t="s">
        <v>18</v>
      </c>
      <c r="H3386" s="1" t="s">
        <v>19</v>
      </c>
      <c r="I3386" s="1" t="s">
        <v>20</v>
      </c>
      <c r="J3386" s="1" t="s">
        <v>14860</v>
      </c>
      <c r="K3386" s="1" t="s">
        <v>22</v>
      </c>
      <c r="L3386" s="1" t="str">
        <f>HYPERLINK("https://files.afu.se/Downloads/Transcripts/0%20-%20Government/USA%20-%20NASA%20Johnson/2011 04 29 - NASA Johnson - Expedition 27 Royal Message_c7bs-Nhl2M8 - transcript (automated).pdf","Transcript Link")</f>
        <v>Transcript Link</v>
      </c>
      <c r="M3386" s="2" t="str">
        <f>HYPERLINK("https://files.afu.se/Downloads/Transcripts/0%20-%20Government/USA%20-%20NASA%20Johnson/2011 04 29 - NASA Johnson - Expedition 27 Royal Message_c7bs-Nhl2M8 - transcript (automated).pdf","Transcript Link")</f>
        <v>Transcript Link</v>
      </c>
    </row>
    <row r="3387" ht="180" spans="1:13">
      <c r="A3387" s="1" t="s">
        <v>14861</v>
      </c>
      <c r="B3387" s="1" t="s">
        <v>13</v>
      </c>
      <c r="C3387" s="4" t="s">
        <v>14862</v>
      </c>
      <c r="D3387" s="1" t="s">
        <v>14863</v>
      </c>
      <c r="E3387" s="1" t="s">
        <v>14864</v>
      </c>
      <c r="F3387" s="4" t="s">
        <v>17</v>
      </c>
      <c r="G3387" s="1" t="s">
        <v>18</v>
      </c>
      <c r="H3387" s="1" t="s">
        <v>19</v>
      </c>
      <c r="I3387" s="1" t="s">
        <v>20</v>
      </c>
      <c r="J3387" s="1" t="s">
        <v>14865</v>
      </c>
      <c r="K3387" s="1" t="s">
        <v>22</v>
      </c>
      <c r="L3387" s="1" t="str">
        <f>HYPERLINK("https://files.afu.se/Downloads/Transcripts/0%20-%20Government/USA%20-%20NASA%20Johnson/2011 04 28 - NASA Johnson - Views of England_DWT4AFuHCuU - transcript (automated).pdf","Transcript Link")</f>
        <v>Transcript Link</v>
      </c>
      <c r="M3387" s="2" t="str">
        <f>HYPERLINK("https://files.afu.se/Downloads/Transcripts/0%20-%20Government/USA%20-%20NASA%20Johnson/2011 04 28 - NASA Johnson - Views of England_DWT4AFuHCuU - transcript (automated).pdf","Transcript Link")</f>
        <v>Transcript Link</v>
      </c>
    </row>
    <row r="3388" ht="390" spans="1:13">
      <c r="A3388" s="1" t="s">
        <v>14866</v>
      </c>
      <c r="B3388" s="1" t="s">
        <v>13</v>
      </c>
      <c r="C3388" s="4" t="s">
        <v>14867</v>
      </c>
      <c r="D3388" s="1" t="s">
        <v>14868</v>
      </c>
      <c r="E3388" s="1" t="s">
        <v>14869</v>
      </c>
      <c r="F3388" s="4" t="s">
        <v>17</v>
      </c>
      <c r="G3388" s="1" t="s">
        <v>18</v>
      </c>
      <c r="H3388" s="1" t="s">
        <v>19</v>
      </c>
      <c r="I3388" s="1" t="s">
        <v>20</v>
      </c>
      <c r="J3388" s="1" t="s">
        <v>14870</v>
      </c>
      <c r="K3388" s="1" t="s">
        <v>22</v>
      </c>
      <c r="L3388" s="1" t="str">
        <f>HYPERLINK("https://files.afu.se/Downloads/Transcripts/0%20-%20Government/USA%20-%20NASA%20Johnson/2011 04 26 - NASA Johnson - Spinning Off With NASA_NCRO3o6f01w - transcript (automated).pdf","Transcript Link")</f>
        <v>Transcript Link</v>
      </c>
      <c r="M3388" s="2" t="str">
        <f>HYPERLINK("https://files.afu.se/Downloads/Transcripts/0%20-%20Government/USA%20-%20NASA%20Johnson/2011 04 26 - NASA Johnson - Spinning Off With NASA_NCRO3o6f01w - transcript (automated).pdf","Transcript Link")</f>
        <v>Transcript Link</v>
      </c>
    </row>
    <row r="3389" ht="180" spans="1:13">
      <c r="A3389" s="1" t="s">
        <v>14871</v>
      </c>
      <c r="B3389" s="1" t="s">
        <v>13</v>
      </c>
      <c r="C3389" s="4" t="s">
        <v>14872</v>
      </c>
      <c r="D3389" s="1" t="s">
        <v>14873</v>
      </c>
      <c r="E3389" s="1" t="s">
        <v>14874</v>
      </c>
      <c r="F3389" s="4" t="s">
        <v>17</v>
      </c>
      <c r="G3389" s="1" t="s">
        <v>18</v>
      </c>
      <c r="H3389" s="1" t="s">
        <v>19</v>
      </c>
      <c r="I3389" s="1" t="s">
        <v>20</v>
      </c>
      <c r="J3389" s="1" t="s">
        <v>14875</v>
      </c>
      <c r="K3389" s="1" t="s">
        <v>22</v>
      </c>
      <c r="L3389" s="1" t="str">
        <f>HYPERLINK("https://files.afu.se/Downloads/Transcripts/0%20-%20Government/USA%20-%20NASA%20Johnson/2011 04 22 - NASA Johnson - Helicopter Rover Innovation Project_qydRiaGscE0 - transcript (automated).pdf","Transcript Link")</f>
        <v>Transcript Link</v>
      </c>
      <c r="M3389" s="2" t="str">
        <f>HYPERLINK("https://files.afu.se/Downloads/Transcripts/0%20-%20Government/USA%20-%20NASA%20Johnson/2011 04 22 - NASA Johnson - Helicopter Rover Innovation Project_qydRiaGscE0 - transcript (automated).pdf","Transcript Link")</f>
        <v>Transcript Link</v>
      </c>
    </row>
    <row r="3390" ht="180" spans="1:13">
      <c r="A3390" s="1" t="s">
        <v>14876</v>
      </c>
      <c r="B3390" s="1" t="s">
        <v>13</v>
      </c>
      <c r="C3390" s="4" t="s">
        <v>14877</v>
      </c>
      <c r="D3390" s="1" t="s">
        <v>14878</v>
      </c>
      <c r="E3390" s="1" t="s">
        <v>14879</v>
      </c>
      <c r="F3390" s="4" t="s">
        <v>17</v>
      </c>
      <c r="G3390" s="1" t="s">
        <v>18</v>
      </c>
      <c r="H3390" s="1" t="s">
        <v>19</v>
      </c>
      <c r="I3390" s="1" t="s">
        <v>20</v>
      </c>
      <c r="J3390" s="1" t="s">
        <v>14880</v>
      </c>
      <c r="K3390" s="1" t="s">
        <v>22</v>
      </c>
      <c r="L3390" s="1" t="str">
        <f>HYPERLINK("https://files.afu.se/Downloads/Transcripts/0%20-%20Government/USA%20-%20NASA%20Johnson/2011 04 21 - NASA Johnson - ISS Tour -- April 21, 2011_n8lFhaMihTg - transcript (automated).pdf","Transcript Link")</f>
        <v>Transcript Link</v>
      </c>
      <c r="M3390" s="2" t="str">
        <f>HYPERLINK("https://files.afu.se/Downloads/Transcripts/0%20-%20Government/USA%20-%20NASA%20Johnson/2011 04 21 - NASA Johnson - ISS Tour -- April 21, 2011_n8lFhaMihTg - transcript (automated).pdf","Transcript Link")</f>
        <v>Transcript Link</v>
      </c>
    </row>
    <row r="3391" ht="180" spans="1:13">
      <c r="A3391" s="1" t="s">
        <v>14881</v>
      </c>
      <c r="B3391" s="1" t="s">
        <v>13</v>
      </c>
      <c r="C3391" s="4" t="s">
        <v>14882</v>
      </c>
      <c r="D3391" s="1" t="s">
        <v>14883</v>
      </c>
      <c r="E3391" s="1" t="s">
        <v>14884</v>
      </c>
      <c r="F3391" s="4" t="s">
        <v>17</v>
      </c>
      <c r="G3391" s="1" t="s">
        <v>18</v>
      </c>
      <c r="H3391" s="1" t="s">
        <v>19</v>
      </c>
      <c r="I3391" s="1" t="s">
        <v>20</v>
      </c>
      <c r="J3391" s="1" t="s">
        <v>14885</v>
      </c>
      <c r="K3391" s="1" t="s">
        <v>22</v>
      </c>
      <c r="L3391" s="1" t="str">
        <f>HYPERLINK("https://files.afu.se/Downloads/Transcripts/0%20-%20Government/USA%20-%20NASA%20Johnson/2011 04 19 - NASA Johnson - A Message from Mike Suffredini Commemorating the 10th Anniversary of Canadarm2_5Z8pKpgTD7o - transcript (automated).pdf","Transcript Link")</f>
        <v>Transcript Link</v>
      </c>
      <c r="M3391" s="2" t="str">
        <f>HYPERLINK("https://files.afu.se/Downloads/Transcripts/0%20-%20Government/USA%20-%20NASA%20Johnson/2011 04 19 - NASA Johnson - A Message from Mike Suffredini Commemorating the 10th Anniversary of Canadarm2_5Z8pKpgTD7o - transcript (automated).pdf","Transcript Link")</f>
        <v>Transcript Link</v>
      </c>
    </row>
    <row r="3392" ht="180" spans="1:13">
      <c r="A3392" s="1" t="s">
        <v>14881</v>
      </c>
      <c r="B3392" s="1" t="s">
        <v>13</v>
      </c>
      <c r="C3392" s="4" t="s">
        <v>14886</v>
      </c>
      <c r="D3392" s="1" t="s">
        <v>14887</v>
      </c>
      <c r="E3392" s="1" t="s">
        <v>14888</v>
      </c>
      <c r="F3392" s="4" t="s">
        <v>17</v>
      </c>
      <c r="G3392" s="1" t="s">
        <v>18</v>
      </c>
      <c r="H3392" s="1" t="s">
        <v>19</v>
      </c>
      <c r="I3392" s="1" t="s">
        <v>20</v>
      </c>
      <c r="J3392" s="1" t="s">
        <v>14889</v>
      </c>
      <c r="K3392" s="1" t="s">
        <v>22</v>
      </c>
      <c r="L3392" s="1" t="str">
        <f>HYPERLINK("https://files.afu.se/Downloads/Transcripts/0%20-%20Government/USA%20-%20NASA%20Johnson/2011 04 19 - NASA Johnson - A Message from the Expediton 27 Crew Commemorating Canadarm2's 10th Anniversary_-7WgPQPU7hk - transcript (automated).pdf","Transcript Link")</f>
        <v>Transcript Link</v>
      </c>
      <c r="M3392" s="2" t="str">
        <f>HYPERLINK("https://files.afu.se/Downloads/Transcripts/0%20-%20Government/USA%20-%20NASA%20Johnson/2011 04 19 - NASA Johnson - A Message from the Expediton 27 Crew Commemorating Canadarm2's 10th Anniversary_-7WgPQPU7hk - transcript (automated).pdf","Transcript Link")</f>
        <v>Transcript Link</v>
      </c>
    </row>
    <row r="3393" ht="180" spans="1:13">
      <c r="A3393" s="1" t="s">
        <v>14881</v>
      </c>
      <c r="B3393" s="1" t="s">
        <v>13</v>
      </c>
      <c r="C3393" s="4" t="s">
        <v>14890</v>
      </c>
      <c r="D3393" s="1" t="s">
        <v>14891</v>
      </c>
      <c r="E3393" s="1" t="s">
        <v>14892</v>
      </c>
      <c r="F3393" s="4" t="s">
        <v>17</v>
      </c>
      <c r="G3393" s="1" t="s">
        <v>18</v>
      </c>
      <c r="H3393" s="1" t="s">
        <v>19</v>
      </c>
      <c r="I3393" s="1" t="s">
        <v>20</v>
      </c>
      <c r="J3393" s="1" t="s">
        <v>14893</v>
      </c>
      <c r="K3393" s="1" t="s">
        <v>22</v>
      </c>
      <c r="L3393" s="1" t="str">
        <f>HYPERLINK("https://files.afu.se/Downloads/Transcripts/0%20-%20Government/USA%20-%20NASA%20Johnson/2011 04 19 - NASA Johnson - Alpha Magnetic Spectrometer (AMS) Overview_mnVyllDIZ5k - transcript (automated).pdf","Transcript Link")</f>
        <v>Transcript Link</v>
      </c>
      <c r="M3393" s="2" t="str">
        <f>HYPERLINK("https://files.afu.se/Downloads/Transcripts/0%20-%20Government/USA%20-%20NASA%20Johnson/2011 04 19 - NASA Johnson - Alpha Magnetic Spectrometer (AMS) Overview_mnVyllDIZ5k - transcript (automated).pdf","Transcript Link")</f>
        <v>Transcript Link</v>
      </c>
    </row>
    <row r="3394" ht="180" spans="1:13">
      <c r="A3394" s="1" t="s">
        <v>14894</v>
      </c>
      <c r="B3394" s="1" t="s">
        <v>13</v>
      </c>
      <c r="C3394" s="4" t="s">
        <v>14895</v>
      </c>
      <c r="D3394" s="1" t="s">
        <v>14896</v>
      </c>
      <c r="F3394" s="4" t="s">
        <v>17</v>
      </c>
      <c r="G3394" s="1" t="s">
        <v>18</v>
      </c>
      <c r="H3394" s="1" t="s">
        <v>19</v>
      </c>
      <c r="I3394" s="1" t="s">
        <v>20</v>
      </c>
      <c r="J3394" s="1" t="s">
        <v>14897</v>
      </c>
      <c r="K3394" s="1" t="s">
        <v>22</v>
      </c>
      <c r="L3394" s="1" t="str">
        <f>HYPERLINK("https://files.afu.se/Downloads/Transcripts/0%20-%20Government/USA%20-%20NASA%20Johnson/2011 04 18 - NASA Johnson - Expedition 27 Flight Engineer Ron Garan Education Message_QPdsPMo1qJE - transcript (automated).pdf","Transcript Link")</f>
        <v>Transcript Link</v>
      </c>
      <c r="M3394" s="2" t="str">
        <f>HYPERLINK("https://files.afu.se/Downloads/Transcripts/0%20-%20Government/USA%20-%20NASA%20Johnson/2011 04 18 - NASA Johnson - Expedition 27 Flight Engineer Ron Garan Education Message_QPdsPMo1qJE - transcript (automated).pdf","Transcript Link")</f>
        <v>Transcript Link</v>
      </c>
    </row>
    <row r="3395" ht="180" spans="1:13">
      <c r="A3395" s="1" t="s">
        <v>14894</v>
      </c>
      <c r="B3395" s="1" t="s">
        <v>13</v>
      </c>
      <c r="C3395" s="4" t="s">
        <v>14898</v>
      </c>
      <c r="D3395" s="1" t="s">
        <v>14899</v>
      </c>
      <c r="F3395" s="4" t="s">
        <v>17</v>
      </c>
      <c r="G3395" s="1" t="s">
        <v>18</v>
      </c>
      <c r="H3395" s="1" t="s">
        <v>19</v>
      </c>
      <c r="I3395" s="1" t="s">
        <v>20</v>
      </c>
      <c r="J3395" s="1" t="s">
        <v>14900</v>
      </c>
      <c r="K3395" s="1" t="s">
        <v>22</v>
      </c>
      <c r="L3395" s="1" t="str">
        <f>HYPERLINK("https://files.afu.se/Downloads/Transcripts/0%20-%20Government/USA%20-%20NASA%20Johnson/2011 04 18 - NASA Johnson - Expedition 27 Flight Engineer Cady Coleman Education Message_bEiqPu9sT-g - transcript (automated).pdf","Transcript Link")</f>
        <v>Transcript Link</v>
      </c>
      <c r="M3395" s="2" t="str">
        <f>HYPERLINK("https://files.afu.se/Downloads/Transcripts/0%20-%20Government/USA%20-%20NASA%20Johnson/2011 04 18 - NASA Johnson - Expedition 27 Flight Engineer Cady Coleman Education Message_bEiqPu9sT-g - transcript (automated).pdf","Transcript Link")</f>
        <v>Transcript Link</v>
      </c>
    </row>
    <row r="3396" ht="180" spans="1:13">
      <c r="A3396" s="1" t="s">
        <v>14894</v>
      </c>
      <c r="B3396" s="1" t="s">
        <v>13</v>
      </c>
      <c r="C3396" s="4" t="s">
        <v>14901</v>
      </c>
      <c r="D3396" s="1" t="s">
        <v>14902</v>
      </c>
      <c r="E3396" s="1" t="s">
        <v>14903</v>
      </c>
      <c r="F3396" s="4" t="s">
        <v>17</v>
      </c>
      <c r="G3396" s="1" t="s">
        <v>18</v>
      </c>
      <c r="H3396" s="1" t="s">
        <v>19</v>
      </c>
      <c r="I3396" s="1" t="s">
        <v>20</v>
      </c>
      <c r="J3396" s="1" t="s">
        <v>14904</v>
      </c>
      <c r="K3396" s="1" t="s">
        <v>22</v>
      </c>
      <c r="L3396" s="1" t="str">
        <f>HYPERLINK("https://files.afu.se/Downloads/Transcripts/0%20-%20Government/USA%20-%20NASA%20Johnson/2011 04 18 - NASA Johnson - STS-134 Commander Mark Kelly Education Message_05rGa6LUAgU - transcript (automated).pdf","Transcript Link")</f>
        <v>Transcript Link</v>
      </c>
      <c r="M3396" s="2" t="str">
        <f>HYPERLINK("https://files.afu.se/Downloads/Transcripts/0%20-%20Government/USA%20-%20NASA%20Johnson/2011 04 18 - NASA Johnson - STS-134 Commander Mark Kelly Education Message_05rGa6LUAgU - transcript (automated).pdf","Transcript Link")</f>
        <v>Transcript Link</v>
      </c>
    </row>
    <row r="3397" ht="180" spans="1:13">
      <c r="A3397" s="1" t="s">
        <v>14894</v>
      </c>
      <c r="B3397" s="1" t="s">
        <v>13</v>
      </c>
      <c r="C3397" s="4" t="s">
        <v>14905</v>
      </c>
      <c r="D3397" s="1" t="s">
        <v>14906</v>
      </c>
      <c r="F3397" s="4" t="s">
        <v>17</v>
      </c>
      <c r="G3397" s="1" t="s">
        <v>18</v>
      </c>
      <c r="H3397" s="1" t="s">
        <v>19</v>
      </c>
      <c r="I3397" s="1" t="s">
        <v>20</v>
      </c>
      <c r="J3397" s="1" t="s">
        <v>14907</v>
      </c>
      <c r="K3397" s="1" t="s">
        <v>22</v>
      </c>
      <c r="L3397" s="1" t="str">
        <f>HYPERLINK("https://files.afu.se/Downloads/Transcripts/0%20-%20Government/USA%20-%20NASA%20Johnson/2011 04 18 - NASA Johnson - STS-134 Mission Specialist Andrew Feustel Education Message_rQ-sE_vBbJI - transcript (automated).pdf","Transcript Link")</f>
        <v>Transcript Link</v>
      </c>
      <c r="M3397" s="2" t="str">
        <f>HYPERLINK("https://files.afu.se/Downloads/Transcripts/0%20-%20Government/USA%20-%20NASA%20Johnson/2011 04 18 - NASA Johnson - STS-134 Mission Specialist Andrew Feustel Education Message_rQ-sE_vBbJI - transcript (automated).pdf","Transcript Link")</f>
        <v>Transcript Link</v>
      </c>
    </row>
    <row r="3398" ht="180" spans="1:13">
      <c r="A3398" s="1" t="s">
        <v>14908</v>
      </c>
      <c r="B3398" s="1" t="s">
        <v>13</v>
      </c>
      <c r="C3398" s="4" t="s">
        <v>14909</v>
      </c>
      <c r="D3398" s="1" t="s">
        <v>14910</v>
      </c>
      <c r="E3398" s="1" t="s">
        <v>14911</v>
      </c>
      <c r="F3398" s="4" t="s">
        <v>17</v>
      </c>
      <c r="G3398" s="1" t="s">
        <v>18</v>
      </c>
      <c r="H3398" s="1" t="s">
        <v>19</v>
      </c>
      <c r="I3398" s="1" t="s">
        <v>20</v>
      </c>
      <c r="J3398" s="1" t="s">
        <v>14912</v>
      </c>
      <c r="K3398" s="1" t="s">
        <v>22</v>
      </c>
      <c r="L3398" s="1" t="str">
        <f>HYPERLINK("https://files.afu.se/Downloads/Transcripts/0%20-%20Government/USA%20-%20NASA%20Johnson/2011 04 15 - NASA Johnson - STS-133 Post-Flight_2MpAQ8RumX0 - transcript (automated).pdf","Transcript Link")</f>
        <v>Transcript Link</v>
      </c>
      <c r="M3398" s="2" t="str">
        <f>HYPERLINK("https://files.afu.se/Downloads/Transcripts/0%20-%20Government/USA%20-%20NASA%20Johnson/2011 04 15 - NASA Johnson - STS-133 Post-Flight_2MpAQ8RumX0 - transcript (automated).pdf","Transcript Link")</f>
        <v>Transcript Link</v>
      </c>
    </row>
    <row r="3399" ht="180" spans="1:13">
      <c r="A3399" s="1" t="s">
        <v>14913</v>
      </c>
      <c r="B3399" s="1" t="s">
        <v>13</v>
      </c>
      <c r="C3399" s="4" t="s">
        <v>14914</v>
      </c>
      <c r="D3399" s="1" t="s">
        <v>14915</v>
      </c>
      <c r="E3399" s="1" t="s">
        <v>14916</v>
      </c>
      <c r="F3399" s="4" t="s">
        <v>17</v>
      </c>
      <c r="G3399" s="1" t="s">
        <v>18</v>
      </c>
      <c r="H3399" s="1" t="s">
        <v>19</v>
      </c>
      <c r="I3399" s="1" t="s">
        <v>20</v>
      </c>
      <c r="J3399" s="1" t="s">
        <v>14917</v>
      </c>
      <c r="K3399" s="1" t="s">
        <v>22</v>
      </c>
      <c r="L3399" s="1" t="str">
        <f>HYPERLINK("https://files.afu.se/Downloads/Transcripts/0%20-%20Government/USA%20-%20NASA%20Johnson/2011 04 14 - NASA Johnson - Mission Control Center Named for Legendary Flight Director_0IuxVxfELc4 - transcript (automated).pdf","Transcript Link")</f>
        <v>Transcript Link</v>
      </c>
      <c r="M3399" s="2" t="str">
        <f>HYPERLINK("https://files.afu.se/Downloads/Transcripts/0%20-%20Government/USA%20-%20NASA%20Johnson/2011 04 14 - NASA Johnson - Mission Control Center Named for Legendary Flight Director_0IuxVxfELc4 - transcript (automated).pdf","Transcript Link")</f>
        <v>Transcript Link</v>
      </c>
    </row>
    <row r="3400" ht="180" spans="1:13">
      <c r="A3400" s="1" t="s">
        <v>14918</v>
      </c>
      <c r="B3400" s="1" t="s">
        <v>13</v>
      </c>
      <c r="C3400" s="4" t="s">
        <v>14919</v>
      </c>
      <c r="D3400" s="1" t="s">
        <v>14920</v>
      </c>
      <c r="E3400" s="1" t="s">
        <v>14921</v>
      </c>
      <c r="F3400" s="4" t="s">
        <v>17</v>
      </c>
      <c r="G3400" s="1" t="s">
        <v>18</v>
      </c>
      <c r="H3400" s="1" t="s">
        <v>19</v>
      </c>
      <c r="I3400" s="1" t="s">
        <v>20</v>
      </c>
      <c r="J3400" s="1" t="s">
        <v>14922</v>
      </c>
      <c r="K3400" s="1" t="s">
        <v>22</v>
      </c>
      <c r="L3400" s="1" t="str">
        <f>HYPERLINK("https://files.afu.se/Downloads/Transcripts/0%20-%20Government/USA%20-%20NASA%20Johnson/2011 04 11 - NASA Johnson - Meet the STS-134 Crew_LuK9GqhNLgI - transcript (automated).pdf","Transcript Link")</f>
        <v>Transcript Link</v>
      </c>
      <c r="M3400" s="2" t="str">
        <f>HYPERLINK("https://files.afu.se/Downloads/Transcripts/0%20-%20Government/USA%20-%20NASA%20Johnson/2011 04 11 - NASA Johnson - Meet the STS-134 Crew_LuK9GqhNLgI - transcript (automated).pdf","Transcript Link")</f>
        <v>Transcript Link</v>
      </c>
    </row>
    <row r="3401" ht="180" spans="1:13">
      <c r="A3401" s="1" t="s">
        <v>14918</v>
      </c>
      <c r="B3401" s="1" t="s">
        <v>13</v>
      </c>
      <c r="C3401" s="4" t="s">
        <v>14923</v>
      </c>
      <c r="D3401" s="1" t="s">
        <v>14924</v>
      </c>
      <c r="E3401" s="1" t="s">
        <v>14925</v>
      </c>
      <c r="F3401" s="4" t="s">
        <v>17</v>
      </c>
      <c r="G3401" s="1" t="s">
        <v>18</v>
      </c>
      <c r="H3401" s="1" t="s">
        <v>19</v>
      </c>
      <c r="I3401" s="1" t="s">
        <v>20</v>
      </c>
      <c r="J3401" s="1" t="s">
        <v>14926</v>
      </c>
      <c r="K3401" s="1" t="s">
        <v>22</v>
      </c>
      <c r="L3401" s="1" t="str">
        <f>HYPERLINK("https://files.afu.se/Downloads/Transcripts/0%20-%20Government/USA%20-%20NASA%20Johnson/2011 04 11 - NASA Johnson - STS-134  Legacy of Endeavour_n3xWRE2OfH4 - transcript (automated).pdf","Transcript Link")</f>
        <v>Transcript Link</v>
      </c>
      <c r="M3401" s="2" t="str">
        <f>HYPERLINK("https://files.afu.se/Downloads/Transcripts/0%20-%20Government/USA%20-%20NASA%20Johnson/2011 04 11 - NASA Johnson - STS-134  Legacy of Endeavour_n3xWRE2OfH4 - transcript (automated).pdf","Transcript Link")</f>
        <v>Transcript Link</v>
      </c>
    </row>
    <row r="3402" ht="180" spans="1:13">
      <c r="A3402" s="1" t="s">
        <v>14927</v>
      </c>
      <c r="B3402" s="1" t="s">
        <v>13</v>
      </c>
      <c r="C3402" s="4" t="s">
        <v>14928</v>
      </c>
      <c r="D3402" s="1" t="s">
        <v>14929</v>
      </c>
      <c r="E3402" s="1" t="s">
        <v>14930</v>
      </c>
      <c r="F3402" s="4" t="s">
        <v>17</v>
      </c>
      <c r="G3402" s="1" t="s">
        <v>18</v>
      </c>
      <c r="H3402" s="1" t="s">
        <v>19</v>
      </c>
      <c r="I3402" s="1" t="s">
        <v>20</v>
      </c>
      <c r="J3402" s="1" t="s">
        <v>14931</v>
      </c>
      <c r="K3402" s="1" t="s">
        <v>22</v>
      </c>
      <c r="L3402" s="1" t="str">
        <f>HYPERLINK("https://files.afu.se/Downloads/Transcripts/0%20-%20Government/USA%20-%20NASA%20Johnson/2011 04 07 - NASA Johnson - New Expedition 27 Trio Docks to Station__1NSYrbKFQQ - transcript (automated).pdf","Transcript Link")</f>
        <v>Transcript Link</v>
      </c>
      <c r="M3402" s="2" t="str">
        <f>HYPERLINK("https://files.afu.se/Downloads/Transcripts/0%20-%20Government/USA%20-%20NASA%20Johnson/2011 04 07 - NASA Johnson - New Expedition 27 Trio Docks to Station__1NSYrbKFQQ - transcript (automated).pdf","Transcript Link")</f>
        <v>Transcript Link</v>
      </c>
    </row>
    <row r="3403" ht="180" spans="1:13">
      <c r="A3403" s="1" t="s">
        <v>14932</v>
      </c>
      <c r="B3403" s="1" t="s">
        <v>13</v>
      </c>
      <c r="C3403" s="4" t="s">
        <v>14933</v>
      </c>
      <c r="D3403" s="1" t="s">
        <v>14934</v>
      </c>
      <c r="E3403" s="1" t="s">
        <v>14935</v>
      </c>
      <c r="F3403" s="4" t="s">
        <v>17</v>
      </c>
      <c r="G3403" s="1" t="s">
        <v>18</v>
      </c>
      <c r="H3403" s="1" t="s">
        <v>19</v>
      </c>
      <c r="I3403" s="1" t="s">
        <v>20</v>
      </c>
      <c r="J3403" s="1" t="s">
        <v>14936</v>
      </c>
      <c r="K3403" s="1" t="s">
        <v>22</v>
      </c>
      <c r="L3403" s="1" t="str">
        <f>HYPERLINK("https://files.afu.se/Downloads/Transcripts/0%20-%20Government/USA%20-%20NASA%20Johnson/2011 04 05 - NASA Johnson - Behind the Scenes  STS-134 Crew Training_n0JbyTtHWNs - transcript (automated).pdf","Transcript Link")</f>
        <v>Transcript Link</v>
      </c>
      <c r="M3403" s="2" t="str">
        <f>HYPERLINK("https://files.afu.se/Downloads/Transcripts/0%20-%20Government/USA%20-%20NASA%20Johnson/2011 04 05 - NASA Johnson - Behind the Scenes  STS-134 Crew Training_n0JbyTtHWNs - transcript (automated).pdf","Transcript Link")</f>
        <v>Transcript Link</v>
      </c>
    </row>
    <row r="3404" ht="180" spans="1:13">
      <c r="A3404" s="1" t="s">
        <v>14937</v>
      </c>
      <c r="B3404" s="1" t="s">
        <v>13</v>
      </c>
      <c r="C3404" s="4" t="s">
        <v>14938</v>
      </c>
      <c r="D3404" s="1" t="s">
        <v>14939</v>
      </c>
      <c r="E3404" s="1" t="s">
        <v>14940</v>
      </c>
      <c r="F3404" s="4" t="s">
        <v>17</v>
      </c>
      <c r="G3404" s="1" t="s">
        <v>18</v>
      </c>
      <c r="H3404" s="1" t="s">
        <v>19</v>
      </c>
      <c r="I3404" s="1" t="s">
        <v>20</v>
      </c>
      <c r="J3404" s="1" t="s">
        <v>14941</v>
      </c>
      <c r="K3404" s="1" t="s">
        <v>22</v>
      </c>
      <c r="L3404" s="1" t="str">
        <f>HYPERLINK("https://files.afu.se/Downloads/Transcripts/0%20-%20Government/USA%20-%20NASA%20Johnson/2011 04 04 - NASA Johnson - Expedition 27 Launch_QN9ZxNozBvI - transcript (automated).pdf","Transcript Link")</f>
        <v>Transcript Link</v>
      </c>
      <c r="M3404" s="2" t="str">
        <f>HYPERLINK("https://files.afu.se/Downloads/Transcripts/0%20-%20Government/USA%20-%20NASA%20Johnson/2011 04 04 - NASA Johnson - Expedition 27 Launch_QN9ZxNozBvI - transcript (automated).pdf","Transcript Link")</f>
        <v>Transcript Link</v>
      </c>
    </row>
    <row r="3405" ht="180" spans="1:13">
      <c r="A3405" s="1" t="s">
        <v>14942</v>
      </c>
      <c r="B3405" s="1" t="s">
        <v>13</v>
      </c>
      <c r="C3405" s="4" t="s">
        <v>14943</v>
      </c>
      <c r="D3405" s="1" t="s">
        <v>14944</v>
      </c>
      <c r="E3405" s="1" t="s">
        <v>14945</v>
      </c>
      <c r="F3405" s="4" t="s">
        <v>17</v>
      </c>
      <c r="G3405" s="1" t="s">
        <v>18</v>
      </c>
      <c r="H3405" s="1" t="s">
        <v>19</v>
      </c>
      <c r="I3405" s="1" t="s">
        <v>20</v>
      </c>
      <c r="J3405" s="1" t="s">
        <v>14946</v>
      </c>
      <c r="K3405" s="1" t="s">
        <v>22</v>
      </c>
      <c r="L3405" s="1" t="str">
        <f>HYPERLINK("https://files.afu.se/Downloads/Transcripts/0%20-%20Government/USA%20-%20NASA%20Johnson/2011 04 01 - NASA Johnson - Endeavour Retrospective_Q8QbJe-_5Y0 - transcript (automated).pdf","Transcript Link")</f>
        <v>Transcript Link</v>
      </c>
      <c r="M3405" s="2" t="str">
        <f>HYPERLINK("https://files.afu.se/Downloads/Transcripts/0%20-%20Government/USA%20-%20NASA%20Johnson/2011 04 01 - NASA Johnson - Endeavour Retrospective_Q8QbJe-_5Y0 - transcript (automated).pdf","Transcript Link")</f>
        <v>Transcript Link</v>
      </c>
    </row>
    <row r="3406" ht="180" spans="1:13">
      <c r="A3406" s="1" t="s">
        <v>14942</v>
      </c>
      <c r="B3406" s="1" t="s">
        <v>13</v>
      </c>
      <c r="C3406" s="4" t="s">
        <v>14947</v>
      </c>
      <c r="D3406" s="1" t="s">
        <v>14948</v>
      </c>
      <c r="E3406" s="1" t="s">
        <v>14949</v>
      </c>
      <c r="F3406" s="4" t="s">
        <v>17</v>
      </c>
      <c r="G3406" s="1" t="s">
        <v>18</v>
      </c>
      <c r="H3406" s="1" t="s">
        <v>19</v>
      </c>
      <c r="I3406" s="1" t="s">
        <v>20</v>
      </c>
      <c r="J3406" s="1" t="s">
        <v>14950</v>
      </c>
      <c r="K3406" s="1" t="s">
        <v>22</v>
      </c>
      <c r="L3406" s="1" t="str">
        <f>HYPERLINK("https://files.afu.se/Downloads/Transcripts/0%20-%20Government/USA%20-%20NASA%20Johnson/2011 04 01 - NASA Johnson - Atlantis Retrospective_hTkIimQux74 - transcript (automated).pdf","Transcript Link")</f>
        <v>Transcript Link</v>
      </c>
      <c r="M3406" s="2" t="str">
        <f>HYPERLINK("https://files.afu.se/Downloads/Transcripts/0%20-%20Government/USA%20-%20NASA%20Johnson/2011 04 01 - NASA Johnson - Atlantis Retrospective_hTkIimQux74 - transcript (automated).pdf","Transcript Link")</f>
        <v>Transcript Link</v>
      </c>
    </row>
    <row r="3407" ht="180" spans="1:13">
      <c r="A3407" s="1" t="s">
        <v>14951</v>
      </c>
      <c r="B3407" s="1" t="s">
        <v>13</v>
      </c>
      <c r="C3407" s="4" t="s">
        <v>14952</v>
      </c>
      <c r="D3407" s="1" t="s">
        <v>14953</v>
      </c>
      <c r="E3407" s="1" t="s">
        <v>14954</v>
      </c>
      <c r="F3407" s="4" t="s">
        <v>17</v>
      </c>
      <c r="G3407" s="1" t="s">
        <v>18</v>
      </c>
      <c r="H3407" s="1" t="s">
        <v>19</v>
      </c>
      <c r="I3407" s="1" t="s">
        <v>20</v>
      </c>
      <c r="J3407" s="1" t="s">
        <v>14955</v>
      </c>
      <c r="K3407" s="1" t="s">
        <v>22</v>
      </c>
      <c r="L3407" s="1" t="str">
        <f>HYPERLINK("https://files.afu.se/Downloads/Transcripts/0%20-%20Government/USA%20-%20NASA%20Johnson/2011 03 31 - NASA Johnson - Behind the Scenes  STS-134 Spacewalk Training_xqBmvR9XEBI - transcript (automated).pdf","Transcript Link")</f>
        <v>Transcript Link</v>
      </c>
      <c r="M3407" s="2" t="str">
        <f>HYPERLINK("https://files.afu.se/Downloads/Transcripts/0%20-%20Government/USA%20-%20NASA%20Johnson/2011 03 31 - NASA Johnson - Behind the Scenes  STS-134 Spacewalk Training_xqBmvR9XEBI - transcript (automated).pdf","Transcript Link")</f>
        <v>Transcript Link</v>
      </c>
    </row>
    <row r="3408" ht="180" spans="1:13">
      <c r="A3408" s="1" t="s">
        <v>14956</v>
      </c>
      <c r="B3408" s="1" t="s">
        <v>13</v>
      </c>
      <c r="C3408" s="4" t="s">
        <v>14957</v>
      </c>
      <c r="D3408" s="1" t="s">
        <v>14958</v>
      </c>
      <c r="E3408" s="1" t="s">
        <v>14959</v>
      </c>
      <c r="F3408" s="4" t="s">
        <v>17</v>
      </c>
      <c r="G3408" s="1" t="s">
        <v>18</v>
      </c>
      <c r="H3408" s="1" t="s">
        <v>19</v>
      </c>
      <c r="I3408" s="1" t="s">
        <v>20</v>
      </c>
      <c r="J3408" s="1" t="s">
        <v>14960</v>
      </c>
      <c r="K3408" s="1" t="s">
        <v>22</v>
      </c>
      <c r="L3408" s="1" t="str">
        <f>HYPERLINK("https://files.afu.se/Downloads/Transcripts/0%20-%20Government/USA%20-%20NASA%20Johnson/2011 03 17 - NASA Johnson - Station Crew Unpacks Robonaut 2_5sr6pXaJohA - transcript (automated).pdf","Transcript Link")</f>
        <v>Transcript Link</v>
      </c>
      <c r="M3408" s="2" t="str">
        <f>HYPERLINK("https://files.afu.se/Downloads/Transcripts/0%20-%20Government/USA%20-%20NASA%20Johnson/2011 03 17 - NASA Johnson - Station Crew Unpacks Robonaut 2_5sr6pXaJohA - transcript (automated).pdf","Transcript Link")</f>
        <v>Transcript Link</v>
      </c>
    </row>
    <row r="3409" ht="180" spans="1:13">
      <c r="A3409" s="1" t="s">
        <v>14956</v>
      </c>
      <c r="B3409" s="1" t="s">
        <v>13</v>
      </c>
      <c r="C3409" s="4" t="s">
        <v>14961</v>
      </c>
      <c r="D3409" s="1" t="s">
        <v>14962</v>
      </c>
      <c r="E3409" s="1" t="s">
        <v>14963</v>
      </c>
      <c r="F3409" s="4" t="s">
        <v>17</v>
      </c>
      <c r="G3409" s="1" t="s">
        <v>18</v>
      </c>
      <c r="H3409" s="1" t="s">
        <v>19</v>
      </c>
      <c r="I3409" s="1" t="s">
        <v>20</v>
      </c>
      <c r="J3409" s="1" t="s">
        <v>14964</v>
      </c>
      <c r="K3409" s="1" t="s">
        <v>22</v>
      </c>
      <c r="L3409" s="1" t="str">
        <f>HYPERLINK("https://files.afu.se/Downloads/Transcripts/0%20-%20Government/USA%20-%20NASA%20Johnson/2011 03 17 - NASA Johnson - St. Patrick's Day Greeting From Space_vX-5n_YcxgQ - transcript (automated).pdf","Transcript Link")</f>
        <v>Transcript Link</v>
      </c>
      <c r="M3409" s="2" t="str">
        <f>HYPERLINK("https://files.afu.se/Downloads/Transcripts/0%20-%20Government/USA%20-%20NASA%20Johnson/2011 03 17 - NASA Johnson - St. Patrick's Day Greeting From Space_vX-5n_YcxgQ - transcript (automated).pdf","Transcript Link")</f>
        <v>Transcript Link</v>
      </c>
    </row>
    <row r="3410" ht="180" spans="1:13">
      <c r="A3410" s="1" t="s">
        <v>14956</v>
      </c>
      <c r="B3410" s="1" t="s">
        <v>13</v>
      </c>
      <c r="C3410" s="4" t="s">
        <v>14965</v>
      </c>
      <c r="D3410" s="1" t="s">
        <v>14966</v>
      </c>
      <c r="E3410" s="1" t="s">
        <v>14967</v>
      </c>
      <c r="F3410" s="4" t="s">
        <v>17</v>
      </c>
      <c r="G3410" s="1" t="s">
        <v>18</v>
      </c>
      <c r="H3410" s="1" t="s">
        <v>19</v>
      </c>
      <c r="I3410" s="1" t="s">
        <v>20</v>
      </c>
      <c r="J3410" s="1" t="s">
        <v>14968</v>
      </c>
      <c r="K3410" s="1" t="s">
        <v>22</v>
      </c>
      <c r="L3410" s="1" t="str">
        <f>HYPERLINK("https://files.afu.se/Downloads/Transcripts/0%20-%20Government/USA%20-%20NASA%20Johnson/2011 03 17 - NASA Johnson - Expedition 26 Landing_1wx6rQHnaTM - transcript (automated).pdf","Transcript Link")</f>
        <v>Transcript Link</v>
      </c>
      <c r="M3410" s="2" t="str">
        <f>HYPERLINK("https://files.afu.se/Downloads/Transcripts/0%20-%20Government/USA%20-%20NASA%20Johnson/2011 03 17 - NASA Johnson - Expedition 26 Landing_1wx6rQHnaTM - transcript (automated).pdf","Transcript Link")</f>
        <v>Transcript Link</v>
      </c>
    </row>
    <row r="3411" ht="180" spans="1:13">
      <c r="A3411" s="1" t="s">
        <v>14956</v>
      </c>
      <c r="B3411" s="1" t="s">
        <v>13</v>
      </c>
      <c r="C3411" s="4" t="s">
        <v>14969</v>
      </c>
      <c r="D3411" s="1" t="s">
        <v>14970</v>
      </c>
      <c r="E3411" s="1" t="s">
        <v>14971</v>
      </c>
      <c r="F3411" s="4" t="s">
        <v>17</v>
      </c>
      <c r="G3411" s="1" t="s">
        <v>18</v>
      </c>
      <c r="H3411" s="1" t="s">
        <v>19</v>
      </c>
      <c r="I3411" s="1" t="s">
        <v>20</v>
      </c>
      <c r="J3411" s="1" t="s">
        <v>14972</v>
      </c>
      <c r="K3411" s="1" t="s">
        <v>22</v>
      </c>
      <c r="L3411" s="1" t="str">
        <f>HYPERLINK("https://files.afu.se/Downloads/Transcripts/0%20-%20Government/USA%20-%20NASA%20Johnson/2011 03 17 - NASA Johnson - Scott Kelly Post-Landing Interview_3UiMaVPpXKk - transcript (automated).pdf","Transcript Link")</f>
        <v>Transcript Link</v>
      </c>
      <c r="M3411" s="2" t="str">
        <f>HYPERLINK("https://files.afu.se/Downloads/Transcripts/0%20-%20Government/USA%20-%20NASA%20Johnson/2011 03 17 - NASA Johnson - Scott Kelly Post-Landing Interview_3UiMaVPpXKk - transcript (automated).pdf","Transcript Link")</f>
        <v>Transcript Link</v>
      </c>
    </row>
    <row r="3412" ht="180" spans="1:13">
      <c r="A3412" s="1" t="s">
        <v>14973</v>
      </c>
      <c r="B3412" s="1" t="s">
        <v>13</v>
      </c>
      <c r="C3412" s="4" t="s">
        <v>14974</v>
      </c>
      <c r="D3412" s="1" t="s">
        <v>4392</v>
      </c>
      <c r="E3412" s="1" t="s">
        <v>14975</v>
      </c>
      <c r="F3412" s="4" t="s">
        <v>17</v>
      </c>
      <c r="G3412" s="1" t="s">
        <v>18</v>
      </c>
      <c r="H3412" s="1" t="s">
        <v>19</v>
      </c>
      <c r="I3412" s="1" t="s">
        <v>20</v>
      </c>
      <c r="J3412" s="1" t="s">
        <v>14976</v>
      </c>
      <c r="K3412" s="1" t="s">
        <v>22</v>
      </c>
      <c r="L3412" s="1" t="str">
        <f>HYPERLINK("https://files.afu.se/Downloads/Transcripts/0%20-%20Government/USA%20-%20NASA%20Johnson/2011 03 14 - NASA Johnson - Station Change of Command Ceremony_SHrue7jV4C4 - transcript (automated).pdf","Transcript Link")</f>
        <v>Transcript Link</v>
      </c>
      <c r="M3412" s="2" t="str">
        <f>HYPERLINK("https://files.afu.se/Downloads/Transcripts/0%20-%20Government/USA%20-%20NASA%20Johnson/2011 03 14 - NASA Johnson - Station Change of Command Ceremony_SHrue7jV4C4 - transcript (automated).pdf","Transcript Link")</f>
        <v>Transcript Link</v>
      </c>
    </row>
    <row r="3413" ht="180" spans="1:13">
      <c r="A3413" s="1" t="s">
        <v>14977</v>
      </c>
      <c r="B3413" s="1" t="s">
        <v>13</v>
      </c>
      <c r="C3413" s="4" t="s">
        <v>14978</v>
      </c>
      <c r="D3413" s="1" t="s">
        <v>14979</v>
      </c>
      <c r="E3413" s="1" t="s">
        <v>14980</v>
      </c>
      <c r="F3413" s="4" t="s">
        <v>17</v>
      </c>
      <c r="G3413" s="1" t="s">
        <v>18</v>
      </c>
      <c r="H3413" s="1" t="s">
        <v>19</v>
      </c>
      <c r="I3413" s="1" t="s">
        <v>20</v>
      </c>
      <c r="J3413" s="1" t="s">
        <v>14981</v>
      </c>
      <c r="K3413" s="1" t="s">
        <v>22</v>
      </c>
      <c r="L3413" s="1" t="str">
        <f>HYPERLINK("https://files.afu.se/Downloads/Transcripts/0%20-%20Government/USA%20-%20NASA%20Johnson/2011 03 08 - NASA Johnson - Big Head Todd &amp; The Monsters Live Wakeup Call_xLXDRWImihA - transcript (automated).pdf","Transcript Link")</f>
        <v>Transcript Link</v>
      </c>
      <c r="M3413" s="2" t="str">
        <f>HYPERLINK("https://files.afu.se/Downloads/Transcripts/0%20-%20Government/USA%20-%20NASA%20Johnson/2011 03 08 - NASA Johnson - Big Head Todd &amp; The Monsters Live Wakeup Call_xLXDRWImihA - transcript (automated).pdf","Transcript Link")</f>
        <v>Transcript Link</v>
      </c>
    </row>
    <row r="3414" ht="180" spans="1:13">
      <c r="A3414" s="1" t="s">
        <v>14977</v>
      </c>
      <c r="B3414" s="1" t="s">
        <v>13</v>
      </c>
      <c r="C3414" s="4" t="s">
        <v>14982</v>
      </c>
      <c r="D3414" s="1" t="s">
        <v>14983</v>
      </c>
      <c r="E3414" s="1" t="s">
        <v>14984</v>
      </c>
      <c r="F3414" s="4" t="s">
        <v>17</v>
      </c>
      <c r="G3414" s="1" t="s">
        <v>18</v>
      </c>
      <c r="H3414" s="1" t="s">
        <v>19</v>
      </c>
      <c r="I3414" s="1" t="s">
        <v>20</v>
      </c>
      <c r="J3414" s="1" t="s">
        <v>14985</v>
      </c>
      <c r="K3414" s="1" t="s">
        <v>22</v>
      </c>
      <c r="L3414" s="1" t="str">
        <f>HYPERLINK("https://files.afu.se/Downloads/Transcripts/0%20-%20Government/USA%20-%20NASA%20Johnson/2011 03 08 - NASA Johnson - STS-133 Daily Mission Recap - Flight Day 12_4SqRQYeArpg - transcript (automated).pdf","Transcript Link")</f>
        <v>Transcript Link</v>
      </c>
      <c r="M3414" s="2" t="str">
        <f>HYPERLINK("https://files.afu.se/Downloads/Transcripts/0%20-%20Government/USA%20-%20NASA%20Johnson/2011 03 08 - NASA Johnson - STS-133 Daily Mission Recap - Flight Day 12_4SqRQYeArpg - transcript (automated).pdf","Transcript Link")</f>
        <v>Transcript Link</v>
      </c>
    </row>
    <row r="3415" ht="180" spans="1:13">
      <c r="A3415" s="1" t="s">
        <v>14986</v>
      </c>
      <c r="B3415" s="1" t="s">
        <v>13</v>
      </c>
      <c r="C3415" s="4" t="s">
        <v>14987</v>
      </c>
      <c r="D3415" s="1" t="s">
        <v>14988</v>
      </c>
      <c r="E3415" s="1" t="s">
        <v>14989</v>
      </c>
      <c r="F3415" s="4" t="s">
        <v>17</v>
      </c>
      <c r="G3415" s="1" t="s">
        <v>18</v>
      </c>
      <c r="H3415" s="1" t="s">
        <v>19</v>
      </c>
      <c r="I3415" s="1" t="s">
        <v>20</v>
      </c>
      <c r="J3415" s="1" t="s">
        <v>14990</v>
      </c>
      <c r="K3415" s="1" t="s">
        <v>22</v>
      </c>
      <c r="L3415" s="1" t="str">
        <f>HYPERLINK("https://files.afu.se/Downloads/Transcripts/0%20-%20Government/USA%20-%20NASA%20Johnson/2011 03 07 - NASA Johnson - STS-133 Mission Highlights_m2ZugwQVtAw - transcript (automated).pdf","Transcript Link")</f>
        <v>Transcript Link</v>
      </c>
      <c r="M3415" s="2" t="str">
        <f>HYPERLINK("https://files.afu.se/Downloads/Transcripts/0%20-%20Government/USA%20-%20NASA%20Johnson/2011 03 07 - NASA Johnson - STS-133 Mission Highlights_m2ZugwQVtAw - transcript (automated).pdf","Transcript Link")</f>
        <v>Transcript Link</v>
      </c>
    </row>
    <row r="3416" ht="180" spans="1:13">
      <c r="A3416" s="1" t="s">
        <v>14986</v>
      </c>
      <c r="B3416" s="1" t="s">
        <v>13</v>
      </c>
      <c r="C3416" s="4" t="s">
        <v>14991</v>
      </c>
      <c r="D3416" s="1" t="s">
        <v>14992</v>
      </c>
      <c r="E3416" s="1" t="s">
        <v>14993</v>
      </c>
      <c r="F3416" s="4" t="s">
        <v>17</v>
      </c>
      <c r="G3416" s="1" t="s">
        <v>18</v>
      </c>
      <c r="H3416" s="1" t="s">
        <v>19</v>
      </c>
      <c r="I3416" s="1" t="s">
        <v>20</v>
      </c>
      <c r="J3416" s="1" t="s">
        <v>14994</v>
      </c>
      <c r="K3416" s="1" t="s">
        <v>22</v>
      </c>
      <c r="L3416" s="1" t="str">
        <f>HYPERLINK("https://files.afu.se/Downloads/Transcripts/0%20-%20Government/USA%20-%20NASA%20Johnson/2011 03 07 - NASA Johnson - STS-133 Ascent Highlights_kayCLca1YMc - transcript (automated).pdf","Transcript Link")</f>
        <v>Transcript Link</v>
      </c>
      <c r="M3416" s="2" t="str">
        <f>HYPERLINK("https://files.afu.se/Downloads/Transcripts/0%20-%20Government/USA%20-%20NASA%20Johnson/2011 03 07 - NASA Johnson - STS-133 Ascent Highlights_kayCLca1YMc - transcript (automated).pdf","Transcript Link")</f>
        <v>Transcript Link</v>
      </c>
    </row>
    <row r="3417" ht="180" spans="1:13">
      <c r="A3417" s="1" t="s">
        <v>14986</v>
      </c>
      <c r="B3417" s="1" t="s">
        <v>13</v>
      </c>
      <c r="C3417" s="4" t="s">
        <v>14995</v>
      </c>
      <c r="D3417" s="1" t="s">
        <v>14996</v>
      </c>
      <c r="E3417" s="1" t="s">
        <v>14997</v>
      </c>
      <c r="F3417" s="4" t="s">
        <v>17</v>
      </c>
      <c r="G3417" s="1" t="s">
        <v>18</v>
      </c>
      <c r="H3417" s="1" t="s">
        <v>19</v>
      </c>
      <c r="I3417" s="1" t="s">
        <v>20</v>
      </c>
      <c r="J3417" s="1" t="s">
        <v>14998</v>
      </c>
      <c r="K3417" s="1" t="s">
        <v>22</v>
      </c>
      <c r="L3417" s="1" t="str">
        <f>HYPERLINK("https://files.afu.se/Downloads/Transcripts/0%20-%20Government/USA%20-%20NASA%20Johnson/2011 03 07 - NASA Johnson - STS-133 Flyaround_IiFzINiVJ48 - transcript (automated).pdf","Transcript Link")</f>
        <v>Transcript Link</v>
      </c>
      <c r="M3417" s="2" t="str">
        <f>HYPERLINK("https://files.afu.se/Downloads/Transcripts/0%20-%20Government/USA%20-%20NASA%20Johnson/2011 03 07 - NASA Johnson - STS-133 Flyaround_IiFzINiVJ48 - transcript (automated).pdf","Transcript Link")</f>
        <v>Transcript Link</v>
      </c>
    </row>
    <row r="3418" ht="330" spans="1:13">
      <c r="A3418" s="1" t="s">
        <v>14986</v>
      </c>
      <c r="B3418" s="1" t="s">
        <v>13</v>
      </c>
      <c r="C3418" s="4" t="s">
        <v>14999</v>
      </c>
      <c r="D3418" s="1" t="s">
        <v>15000</v>
      </c>
      <c r="E3418" s="1" t="s">
        <v>15001</v>
      </c>
      <c r="F3418" s="4" t="s">
        <v>17</v>
      </c>
      <c r="G3418" s="1" t="s">
        <v>18</v>
      </c>
      <c r="H3418" s="1" t="s">
        <v>19</v>
      </c>
      <c r="I3418" s="1" t="s">
        <v>20</v>
      </c>
      <c r="J3418" s="1" t="s">
        <v>15002</v>
      </c>
      <c r="K3418" s="1" t="s">
        <v>22</v>
      </c>
      <c r="L3418" s="1" t="str">
        <f>HYPERLINK("https://files.afu.se/Downloads/Transcripts/0%20-%20Government/USA%20-%20NASA%20Johnson/2011 03 07 - NASA Johnson - STS-133  Star Trek  Wakeup Call_tH1s7jBWKSY - transcript (automated).pdf","Transcript Link")</f>
        <v>Transcript Link</v>
      </c>
      <c r="M3418" s="2" t="str">
        <f>HYPERLINK("https://files.afu.se/Downloads/Transcripts/0%20-%20Government/USA%20-%20NASA%20Johnson/2011 03 07 - NASA Johnson - STS-133  Star Trek  Wakeup Call_tH1s7jBWKSY - transcript (automated).pdf","Transcript Link")</f>
        <v>Transcript Link</v>
      </c>
    </row>
    <row r="3419" ht="180" spans="1:13">
      <c r="A3419" s="1" t="s">
        <v>14986</v>
      </c>
      <c r="B3419" s="1" t="s">
        <v>13</v>
      </c>
      <c r="C3419" s="4" t="s">
        <v>15003</v>
      </c>
      <c r="D3419" s="1" t="s">
        <v>15004</v>
      </c>
      <c r="E3419" s="1" t="s">
        <v>15005</v>
      </c>
      <c r="F3419" s="4" t="s">
        <v>17</v>
      </c>
      <c r="G3419" s="1" t="s">
        <v>18</v>
      </c>
      <c r="H3419" s="1" t="s">
        <v>19</v>
      </c>
      <c r="I3419" s="1" t="s">
        <v>20</v>
      </c>
      <c r="J3419" s="1" t="s">
        <v>15006</v>
      </c>
      <c r="K3419" s="1" t="s">
        <v>22</v>
      </c>
      <c r="L3419" s="1" t="str">
        <f>HYPERLINK("https://files.afu.se/Downloads/Transcripts/0%20-%20Government/USA%20-%20NASA%20Johnson/2011 03 07 - NASA Johnson - Fair Winds and Following Seas_NZVyEA25kQ4 - transcript (automated).pdf","Transcript Link")</f>
        <v>Transcript Link</v>
      </c>
      <c r="M3419" s="2" t="str">
        <f>HYPERLINK("https://files.afu.se/Downloads/Transcripts/0%20-%20Government/USA%20-%20NASA%20Johnson/2011 03 07 - NASA Johnson - Fair Winds and Following Seas_NZVyEA25kQ4 - transcript (automated).pdf","Transcript Link")</f>
        <v>Transcript Link</v>
      </c>
    </row>
    <row r="3420" ht="180" spans="1:13">
      <c r="A3420" s="1" t="s">
        <v>14986</v>
      </c>
      <c r="B3420" s="1" t="s">
        <v>13</v>
      </c>
      <c r="C3420" s="4" t="s">
        <v>15007</v>
      </c>
      <c r="D3420" s="1" t="s">
        <v>15008</v>
      </c>
      <c r="E3420" s="1" t="s">
        <v>15009</v>
      </c>
      <c r="F3420" s="4" t="s">
        <v>17</v>
      </c>
      <c r="G3420" s="1" t="s">
        <v>18</v>
      </c>
      <c r="H3420" s="1" t="s">
        <v>19</v>
      </c>
      <c r="I3420" s="1" t="s">
        <v>20</v>
      </c>
      <c r="J3420" s="1" t="s">
        <v>15010</v>
      </c>
      <c r="K3420" s="1" t="s">
        <v>22</v>
      </c>
      <c r="L3420" s="1" t="str">
        <f>HYPERLINK("https://files.afu.se/Downloads/Transcripts/0%20-%20Government/USA%20-%20NASA%20Johnson/2011 03 07 - NASA Johnson - STS-133 Daily Mission Recap - Flight Day 11_1hszj1EAsL8 - transcript (automated).pdf","Transcript Link")</f>
        <v>Transcript Link</v>
      </c>
      <c r="M3420" s="2" t="str">
        <f>HYPERLINK("https://files.afu.se/Downloads/Transcripts/0%20-%20Government/USA%20-%20NASA%20Johnson/2011 03 07 - NASA Johnson - STS-133 Daily Mission Recap - Flight Day 11_1hszj1EAsL8 - transcript (automated).pdf","Transcript Link")</f>
        <v>Transcript Link</v>
      </c>
    </row>
    <row r="3421" ht="180" spans="1:13">
      <c r="A3421" s="1" t="s">
        <v>15011</v>
      </c>
      <c r="B3421" s="1" t="s">
        <v>13</v>
      </c>
      <c r="C3421" s="4" t="s">
        <v>15012</v>
      </c>
      <c r="D3421" s="1" t="s">
        <v>15013</v>
      </c>
      <c r="E3421" s="1" t="s">
        <v>15014</v>
      </c>
      <c r="F3421" s="4" t="s">
        <v>17</v>
      </c>
      <c r="G3421" s="1" t="s">
        <v>18</v>
      </c>
      <c r="H3421" s="1" t="s">
        <v>19</v>
      </c>
      <c r="I3421" s="1" t="s">
        <v>20</v>
      </c>
      <c r="J3421" s="1" t="s">
        <v>15015</v>
      </c>
      <c r="K3421" s="1" t="s">
        <v>22</v>
      </c>
      <c r="L3421" s="1" t="str">
        <f>HYPERLINK("https://files.afu.se/Downloads/Transcripts/0%20-%20Government/USA%20-%20NASA%20Johnson/2011 03 06 - NASA Johnson - STS-133 Daily Mission Recap - Flight Day 10_zdAE6qwV1O4 - transcript (automated).pdf","Transcript Link")</f>
        <v>Transcript Link</v>
      </c>
      <c r="M3421" s="2" t="str">
        <f>HYPERLINK("https://files.afu.se/Downloads/Transcripts/0%20-%20Government/USA%20-%20NASA%20Johnson/2011 03 06 - NASA Johnson - STS-133 Daily Mission Recap - Flight Day 10_zdAE6qwV1O4 - transcript (automated).pdf","Transcript Link")</f>
        <v>Transcript Link</v>
      </c>
    </row>
    <row r="3422" ht="180" spans="1:13">
      <c r="A3422" s="1" t="s">
        <v>15016</v>
      </c>
      <c r="B3422" s="1" t="s">
        <v>13</v>
      </c>
      <c r="C3422" s="4" t="s">
        <v>15017</v>
      </c>
      <c r="D3422" s="1" t="s">
        <v>15018</v>
      </c>
      <c r="E3422" s="1" t="s">
        <v>15019</v>
      </c>
      <c r="F3422" s="4" t="s">
        <v>17</v>
      </c>
      <c r="G3422" s="1" t="s">
        <v>18</v>
      </c>
      <c r="H3422" s="1" t="s">
        <v>19</v>
      </c>
      <c r="I3422" s="1" t="s">
        <v>20</v>
      </c>
      <c r="J3422" s="1" t="s">
        <v>15020</v>
      </c>
      <c r="K3422" s="1" t="s">
        <v>22</v>
      </c>
      <c r="L3422" s="1" t="str">
        <f>HYPERLINK("https://files.afu.se/Downloads/Transcripts/0%20-%20Government/USA%20-%20NASA%20Johnson/2011 03 05 - NASA Johnson - STS-133 Daily Mission Recap - Flight Day 9_RlFlXFTXaV4 - transcript (automated).pdf","Transcript Link")</f>
        <v>Transcript Link</v>
      </c>
      <c r="M3422" s="2" t="str">
        <f>HYPERLINK("https://files.afu.se/Downloads/Transcripts/0%20-%20Government/USA%20-%20NASA%20Johnson/2011 03 05 - NASA Johnson - STS-133 Daily Mission Recap - Flight Day 9_RlFlXFTXaV4 - transcript (automated).pdf","Transcript Link")</f>
        <v>Transcript Link</v>
      </c>
    </row>
    <row r="3423" ht="180" spans="1:13">
      <c r="A3423" s="1" t="s">
        <v>15021</v>
      </c>
      <c r="B3423" s="1" t="s">
        <v>13</v>
      </c>
      <c r="C3423" s="4" t="s">
        <v>15022</v>
      </c>
      <c r="D3423" s="1" t="s">
        <v>15023</v>
      </c>
      <c r="E3423" s="1" t="s">
        <v>15024</v>
      </c>
      <c r="F3423" s="4" t="s">
        <v>17</v>
      </c>
      <c r="G3423" s="1" t="s">
        <v>18</v>
      </c>
      <c r="H3423" s="1" t="s">
        <v>19</v>
      </c>
      <c r="I3423" s="1" t="s">
        <v>20</v>
      </c>
      <c r="J3423" s="1" t="s">
        <v>15025</v>
      </c>
      <c r="K3423" s="1" t="s">
        <v>22</v>
      </c>
      <c r="L3423" s="1" t="str">
        <f>HYPERLINK("https://files.afu.se/Downloads/Transcripts/0%20-%20Government/USA%20-%20NASA%20Johnson/2011 03 04 - NASA Johnson -  Face in Space  Thanks_2lzH_3RDOgI - transcript (automated).pdf","Transcript Link")</f>
        <v>Transcript Link</v>
      </c>
      <c r="M3423" s="2" t="str">
        <f>HYPERLINK("https://files.afu.se/Downloads/Transcripts/0%20-%20Government/USA%20-%20NASA%20Johnson/2011 03 04 - NASA Johnson -  Face in Space  Thanks_2lzH_3RDOgI - transcript (automated).pdf","Transcript Link")</f>
        <v>Transcript Link</v>
      </c>
    </row>
    <row r="3424" ht="180" spans="1:13">
      <c r="A3424" s="1" t="s">
        <v>15021</v>
      </c>
      <c r="B3424" s="1" t="s">
        <v>13</v>
      </c>
      <c r="C3424" s="4" t="s">
        <v>15026</v>
      </c>
      <c r="D3424" s="1" t="s">
        <v>15027</v>
      </c>
      <c r="E3424" s="1" t="s">
        <v>15028</v>
      </c>
      <c r="F3424" s="4" t="s">
        <v>17</v>
      </c>
      <c r="G3424" s="1" t="s">
        <v>18</v>
      </c>
      <c r="H3424" s="1" t="s">
        <v>19</v>
      </c>
      <c r="I3424" s="1" t="s">
        <v>20</v>
      </c>
      <c r="J3424" s="1" t="s">
        <v>15029</v>
      </c>
      <c r="K3424" s="1" t="s">
        <v>22</v>
      </c>
      <c r="L3424" s="1" t="str">
        <f>HYPERLINK("https://files.afu.se/Downloads/Transcripts/0%20-%20Government/USA%20-%20NASA%20Johnson/2011 03 04 - NASA Johnson - STS-133 Joint Crew News Conference_C9pqhyotN7s - transcript (automated).pdf","Transcript Link")</f>
        <v>Transcript Link</v>
      </c>
      <c r="M3424" s="2" t="str">
        <f>HYPERLINK("https://files.afu.se/Downloads/Transcripts/0%20-%20Government/USA%20-%20NASA%20Johnson/2011 03 04 - NASA Johnson - STS-133 Joint Crew News Conference_C9pqhyotN7s - transcript (automated).pdf","Transcript Link")</f>
        <v>Transcript Link</v>
      </c>
    </row>
    <row r="3425" ht="180" spans="1:13">
      <c r="A3425" s="1" t="s">
        <v>15021</v>
      </c>
      <c r="B3425" s="1" t="s">
        <v>13</v>
      </c>
      <c r="C3425" s="4" t="s">
        <v>15030</v>
      </c>
      <c r="D3425" s="1" t="s">
        <v>15031</v>
      </c>
      <c r="E3425" s="1" t="s">
        <v>15032</v>
      </c>
      <c r="F3425" s="4" t="s">
        <v>17</v>
      </c>
      <c r="G3425" s="1" t="s">
        <v>18</v>
      </c>
      <c r="H3425" s="1" t="s">
        <v>19</v>
      </c>
      <c r="I3425" s="1" t="s">
        <v>20</v>
      </c>
      <c r="J3425" s="1" t="s">
        <v>15033</v>
      </c>
      <c r="K3425" s="1" t="s">
        <v>22</v>
      </c>
      <c r="L3425" s="1" t="str">
        <f>HYPERLINK("https://files.afu.se/Downloads/Transcripts/0%20-%20Government/USA%20-%20NASA%20Johnson/2011 03 04 - NASA Johnson - Crew Looking Forward to Top Wakeup Songs_5GjTQXbhQ6o - transcript (automated).pdf","Transcript Link")</f>
        <v>Transcript Link</v>
      </c>
      <c r="M3425" s="2" t="str">
        <f>HYPERLINK("https://files.afu.se/Downloads/Transcripts/0%20-%20Government/USA%20-%20NASA%20Johnson/2011 03 04 - NASA Johnson - Crew Looking Forward to Top Wakeup Songs_5GjTQXbhQ6o - transcript (automated).pdf","Transcript Link")</f>
        <v>Transcript Link</v>
      </c>
    </row>
    <row r="3426" ht="180" spans="1:13">
      <c r="A3426" s="1" t="s">
        <v>15021</v>
      </c>
      <c r="B3426" s="1" t="s">
        <v>13</v>
      </c>
      <c r="C3426" s="4" t="s">
        <v>15034</v>
      </c>
      <c r="D3426" s="1" t="s">
        <v>15035</v>
      </c>
      <c r="E3426" s="1" t="s">
        <v>15036</v>
      </c>
      <c r="F3426" s="4" t="s">
        <v>17</v>
      </c>
      <c r="G3426" s="1" t="s">
        <v>18</v>
      </c>
      <c r="H3426" s="1" t="s">
        <v>19</v>
      </c>
      <c r="I3426" s="1" t="s">
        <v>20</v>
      </c>
      <c r="J3426" s="1" t="s">
        <v>15037</v>
      </c>
      <c r="K3426" s="1" t="s">
        <v>22</v>
      </c>
      <c r="L3426" s="1" t="str">
        <f>HYPERLINK("https://files.afu.se/Downloads/Transcripts/0%20-%20Government/USA%20-%20NASA%20Johnson/2011 03 04 - NASA Johnson - STS-133 Daily Mission Recap - Flight Day 8_XMZg34FN_fU - transcript (automated).pdf","Transcript Link")</f>
        <v>Transcript Link</v>
      </c>
      <c r="M3426" s="2" t="str">
        <f>HYPERLINK("https://files.afu.se/Downloads/Transcripts/0%20-%20Government/USA%20-%20NASA%20Johnson/2011 03 04 - NASA Johnson - STS-133 Daily Mission Recap - Flight Day 8_XMZg34FN_fU - transcript (automated).pdf","Transcript Link")</f>
        <v>Transcript Link</v>
      </c>
    </row>
    <row r="3427" ht="180" spans="1:13">
      <c r="A3427" s="1" t="s">
        <v>15038</v>
      </c>
      <c r="B3427" s="1" t="s">
        <v>13</v>
      </c>
      <c r="C3427" s="4" t="s">
        <v>15039</v>
      </c>
      <c r="D3427" s="1" t="s">
        <v>15040</v>
      </c>
      <c r="E3427" s="1" t="s">
        <v>15041</v>
      </c>
      <c r="F3427" s="4" t="s">
        <v>17</v>
      </c>
      <c r="G3427" s="1" t="s">
        <v>18</v>
      </c>
      <c r="H3427" s="1" t="s">
        <v>19</v>
      </c>
      <c r="I3427" s="1" t="s">
        <v>20</v>
      </c>
      <c r="J3427" s="1" t="s">
        <v>15042</v>
      </c>
      <c r="K3427" s="1" t="s">
        <v>22</v>
      </c>
      <c r="L3427" s="1" t="str">
        <f>HYPERLINK("https://files.afu.se/Downloads/Transcripts/0%20-%20Government/USA%20-%20NASA%20Johnson/2011 03 03 - NASA Johnson - STS-133 Daily Mission Recap - Flight Day 7_McF4zcZD-rg - transcript (automated).pdf","Transcript Link")</f>
        <v>Transcript Link</v>
      </c>
      <c r="M3427" s="2" t="str">
        <f>HYPERLINK("https://files.afu.se/Downloads/Transcripts/0%20-%20Government/USA%20-%20NASA%20Johnson/2011 03 03 - NASA Johnson - STS-133 Daily Mission Recap - Flight Day 7_McF4zcZD-rg - transcript (automated).pdf","Transcript Link")</f>
        <v>Transcript Link</v>
      </c>
    </row>
    <row r="3428" ht="180" spans="1:13">
      <c r="A3428" s="1" t="s">
        <v>15043</v>
      </c>
      <c r="B3428" s="1" t="s">
        <v>13</v>
      </c>
      <c r="C3428" s="4" t="s">
        <v>15044</v>
      </c>
      <c r="D3428" s="1" t="s">
        <v>15045</v>
      </c>
      <c r="E3428" s="1" t="s">
        <v>15046</v>
      </c>
      <c r="F3428" s="4" t="s">
        <v>17</v>
      </c>
      <c r="G3428" s="1" t="s">
        <v>18</v>
      </c>
      <c r="H3428" s="1" t="s">
        <v>19</v>
      </c>
      <c r="I3428" s="1" t="s">
        <v>20</v>
      </c>
      <c r="J3428" s="1" t="s">
        <v>15047</v>
      </c>
      <c r="K3428" s="1" t="s">
        <v>22</v>
      </c>
      <c r="L3428" s="1" t="str">
        <f>HYPERLINK("https://files.afu.se/Downloads/Transcripts/0%20-%20Government/USA%20-%20NASA%20Johnson/2011 03 02 - NASA Johnson - STS-133 Daily Mission Recap - Flight Day 6_jkoiu_Xpm0Q - transcript (automated).pdf","Transcript Link")</f>
        <v>Transcript Link</v>
      </c>
      <c r="M3428" s="2" t="str">
        <f>HYPERLINK("https://files.afu.se/Downloads/Transcripts/0%20-%20Government/USA%20-%20NASA%20Johnson/2011 03 02 - NASA Johnson - STS-133 Daily Mission Recap - Flight Day 6_jkoiu_Xpm0Q - transcript (automated).pdf","Transcript Link")</f>
        <v>Transcript Link</v>
      </c>
    </row>
    <row r="3429" ht="180" spans="1:13">
      <c r="A3429" s="1" t="s">
        <v>15048</v>
      </c>
      <c r="B3429" s="1" t="s">
        <v>13</v>
      </c>
      <c r="C3429" s="4" t="s">
        <v>15049</v>
      </c>
      <c r="D3429" s="1" t="s">
        <v>15050</v>
      </c>
      <c r="E3429" s="1" t="s">
        <v>15051</v>
      </c>
      <c r="F3429" s="4" t="s">
        <v>17</v>
      </c>
      <c r="G3429" s="1" t="s">
        <v>18</v>
      </c>
      <c r="H3429" s="1" t="s">
        <v>19</v>
      </c>
      <c r="I3429" s="1" t="s">
        <v>20</v>
      </c>
      <c r="J3429" s="1" t="s">
        <v>15052</v>
      </c>
      <c r="K3429" s="1" t="s">
        <v>22</v>
      </c>
      <c r="L3429" s="1" t="str">
        <f>HYPERLINK("https://files.afu.se/Downloads/Transcripts/0%20-%20Government/USA%20-%20NASA%20Johnson/2011 03 01 - NASA Johnson - STS-133 Daily Mission Recap - Flight Day 5_HxSOQUqvZAk - transcript (automated).pdf","Transcript Link")</f>
        <v>Transcript Link</v>
      </c>
      <c r="M3429" s="2" t="str">
        <f>HYPERLINK("https://files.afu.se/Downloads/Transcripts/0%20-%20Government/USA%20-%20NASA%20Johnson/2011 03 01 - NASA Johnson - STS-133 Daily Mission Recap - Flight Day 5_HxSOQUqvZAk - transcript (automated).pdf","Transcript Link")</f>
        <v>Transcript Link</v>
      </c>
    </row>
    <row r="3430" ht="180" spans="1:13">
      <c r="A3430" s="1" t="s">
        <v>15053</v>
      </c>
      <c r="B3430" s="1" t="s">
        <v>13</v>
      </c>
      <c r="C3430" s="4" t="s">
        <v>15054</v>
      </c>
      <c r="D3430" s="1" t="s">
        <v>15055</v>
      </c>
      <c r="E3430" s="1" t="s">
        <v>15056</v>
      </c>
      <c r="F3430" s="4" t="s">
        <v>17</v>
      </c>
      <c r="G3430" s="1" t="s">
        <v>18</v>
      </c>
      <c r="H3430" s="1" t="s">
        <v>19</v>
      </c>
      <c r="I3430" s="1" t="s">
        <v>20</v>
      </c>
      <c r="J3430" s="1" t="s">
        <v>15057</v>
      </c>
      <c r="K3430" s="1" t="s">
        <v>22</v>
      </c>
      <c r="L3430" s="1" t="str">
        <f>HYPERLINK("https://files.afu.se/Downloads/Transcripts/0%20-%20Government/USA%20-%20NASA%20Johnson/2011 02 28 - NASA Johnson - STS-133 Daily Mission Recap - Flight Day 4_z9CEgeNnKnc - transcript (automated).pdf","Transcript Link")</f>
        <v>Transcript Link</v>
      </c>
      <c r="M3430" s="2" t="str">
        <f>HYPERLINK("https://files.afu.se/Downloads/Transcripts/0%20-%20Government/USA%20-%20NASA%20Johnson/2011 02 28 - NASA Johnson - STS-133 Daily Mission Recap - Flight Day 4_z9CEgeNnKnc - transcript (automated).pdf","Transcript Link")</f>
        <v>Transcript Link</v>
      </c>
    </row>
    <row r="3431" ht="180" spans="1:13">
      <c r="A3431" s="1" t="s">
        <v>15058</v>
      </c>
      <c r="B3431" s="1" t="s">
        <v>13</v>
      </c>
      <c r="C3431" s="4" t="s">
        <v>15059</v>
      </c>
      <c r="D3431" s="1" t="s">
        <v>15060</v>
      </c>
      <c r="E3431" s="1" t="s">
        <v>15061</v>
      </c>
      <c r="F3431" s="4" t="s">
        <v>17</v>
      </c>
      <c r="G3431" s="1" t="s">
        <v>18</v>
      </c>
      <c r="H3431" s="1" t="s">
        <v>19</v>
      </c>
      <c r="I3431" s="1" t="s">
        <v>20</v>
      </c>
      <c r="J3431" s="1" t="s">
        <v>15062</v>
      </c>
      <c r="K3431" s="1" t="s">
        <v>22</v>
      </c>
      <c r="L3431" s="1" t="str">
        <f>HYPERLINK("https://files.afu.se/Downloads/Transcripts/0%20-%20Government/USA%20-%20NASA%20Johnson/2011 02 27 - NASA Johnson - STS-133  Rendezvous Pitch Maneuver_l5Qi9LWsuis - transcript (automated).pdf","Transcript Link")</f>
        <v>Transcript Link</v>
      </c>
      <c r="M3431" s="2" t="str">
        <f>HYPERLINK("https://files.afu.se/Downloads/Transcripts/0%20-%20Government/USA%20-%20NASA%20Johnson/2011 02 27 - NASA Johnson - STS-133  Rendezvous Pitch Maneuver_l5Qi9LWsuis - transcript (automated).pdf","Transcript Link")</f>
        <v>Transcript Link</v>
      </c>
    </row>
    <row r="3432" ht="180" spans="1:13">
      <c r="A3432" s="1" t="s">
        <v>15058</v>
      </c>
      <c r="B3432" s="1" t="s">
        <v>13</v>
      </c>
      <c r="C3432" s="4" t="s">
        <v>15063</v>
      </c>
      <c r="D3432" s="1" t="s">
        <v>15064</v>
      </c>
      <c r="E3432" s="1" t="s">
        <v>15065</v>
      </c>
      <c r="F3432" s="4" t="s">
        <v>17</v>
      </c>
      <c r="G3432" s="1" t="s">
        <v>18</v>
      </c>
      <c r="H3432" s="1" t="s">
        <v>19</v>
      </c>
      <c r="I3432" s="1" t="s">
        <v>20</v>
      </c>
      <c r="J3432" s="1" t="s">
        <v>15066</v>
      </c>
      <c r="K3432" s="1" t="s">
        <v>22</v>
      </c>
      <c r="L3432" s="1" t="str">
        <f>HYPERLINK("https://files.afu.se/Downloads/Transcripts/0%20-%20Government/USA%20-%20NASA%20Johnson/2011 02 27 - NASA Johnson - STS-133 Daily Mission Recap - Flight Day 3_hfOKKezrYPU - transcript (automated).pdf","Transcript Link")</f>
        <v>Transcript Link</v>
      </c>
      <c r="M3432" s="2" t="str">
        <f>HYPERLINK("https://files.afu.se/Downloads/Transcripts/0%20-%20Government/USA%20-%20NASA%20Johnson/2011 02 27 - NASA Johnson - STS-133 Daily Mission Recap - Flight Day 3_hfOKKezrYPU - transcript (automated).pdf","Transcript Link")</f>
        <v>Transcript Link</v>
      </c>
    </row>
    <row r="3433" ht="180" spans="1:13">
      <c r="A3433" s="1" t="s">
        <v>15067</v>
      </c>
      <c r="B3433" s="1" t="s">
        <v>13</v>
      </c>
      <c r="C3433" s="4" t="s">
        <v>15068</v>
      </c>
      <c r="D3433" s="1" t="s">
        <v>15069</v>
      </c>
      <c r="E3433" s="1" t="s">
        <v>15070</v>
      </c>
      <c r="F3433" s="4" t="s">
        <v>17</v>
      </c>
      <c r="G3433" s="1" t="s">
        <v>18</v>
      </c>
      <c r="H3433" s="1" t="s">
        <v>19</v>
      </c>
      <c r="I3433" s="1" t="s">
        <v>20</v>
      </c>
      <c r="J3433" s="1" t="s">
        <v>15071</v>
      </c>
      <c r="K3433" s="1" t="s">
        <v>22</v>
      </c>
      <c r="L3433" s="1" t="str">
        <f>HYPERLINK("https://files.afu.se/Downloads/Transcripts/0%20-%20Government/USA%20-%20NASA%20Johnson/2011 02 26 - NASA Johnson - International Space Station Assembly_yRqUPjl3tTQ - transcript (automated).pdf","Transcript Link")</f>
        <v>Transcript Link</v>
      </c>
      <c r="M3433" s="2" t="str">
        <f>HYPERLINK("https://files.afu.se/Downloads/Transcripts/0%20-%20Government/USA%20-%20NASA%20Johnson/2011 02 26 - NASA Johnson - International Space Station Assembly_yRqUPjl3tTQ - transcript (automated).pdf","Transcript Link")</f>
        <v>Transcript Link</v>
      </c>
    </row>
    <row r="3434" ht="180" spans="1:13">
      <c r="A3434" s="1" t="s">
        <v>15067</v>
      </c>
      <c r="B3434" s="1" t="s">
        <v>13</v>
      </c>
      <c r="C3434" s="4" t="s">
        <v>15072</v>
      </c>
      <c r="D3434" s="1" t="s">
        <v>15073</v>
      </c>
      <c r="E3434" s="1" t="s">
        <v>15074</v>
      </c>
      <c r="F3434" s="4" t="s">
        <v>17</v>
      </c>
      <c r="G3434" s="1" t="s">
        <v>18</v>
      </c>
      <c r="H3434" s="1" t="s">
        <v>19</v>
      </c>
      <c r="I3434" s="1" t="s">
        <v>20</v>
      </c>
      <c r="J3434" s="1" t="s">
        <v>15075</v>
      </c>
      <c r="K3434" s="1" t="s">
        <v>22</v>
      </c>
      <c r="L3434" s="1" t="str">
        <f>HYPERLINK("https://files.afu.se/Downloads/Transcripts/0%20-%20Government/USA%20-%20NASA%20Johnson/2011 02 26 - NASA Johnson - Discovery Performs Terminal Initiation Burn_eyWbZja2yaY - transcript (automated).pdf","Transcript Link")</f>
        <v>Transcript Link</v>
      </c>
      <c r="M3434" s="2" t="str">
        <f>HYPERLINK("https://files.afu.se/Downloads/Transcripts/0%20-%20Government/USA%20-%20NASA%20Johnson/2011 02 26 - NASA Johnson - Discovery Performs Terminal Initiation Burn_eyWbZja2yaY - transcript (automated).pdf","Transcript Link")</f>
        <v>Transcript Link</v>
      </c>
    </row>
    <row r="3435" ht="180" spans="1:13">
      <c r="A3435" s="1" t="s">
        <v>15067</v>
      </c>
      <c r="B3435" s="1" t="s">
        <v>13</v>
      </c>
      <c r="C3435" s="4" t="s">
        <v>15076</v>
      </c>
      <c r="D3435" s="1" t="s">
        <v>15077</v>
      </c>
      <c r="E3435" s="1" t="s">
        <v>15078</v>
      </c>
      <c r="F3435" s="4" t="s">
        <v>17</v>
      </c>
      <c r="G3435" s="1" t="s">
        <v>18</v>
      </c>
      <c r="H3435" s="1" t="s">
        <v>19</v>
      </c>
      <c r="I3435" s="1" t="s">
        <v>20</v>
      </c>
      <c r="J3435" s="1" t="s">
        <v>15079</v>
      </c>
      <c r="K3435" s="1" t="s">
        <v>22</v>
      </c>
      <c r="L3435" s="1" t="str">
        <f>HYPERLINK("https://files.afu.se/Downloads/Transcripts/0%20-%20Government/USA%20-%20NASA%20Johnson/2011 02 26 - NASA Johnson - STS-133 Daily Mission Recap - Flight Day 2_JCX6cF_quDQ - transcript (automated).pdf","Transcript Link")</f>
        <v>Transcript Link</v>
      </c>
      <c r="M3435" s="2" t="str">
        <f>HYPERLINK("https://files.afu.se/Downloads/Transcripts/0%20-%20Government/USA%20-%20NASA%20Johnson/2011 02 26 - NASA Johnson - STS-133 Daily Mission Recap - Flight Day 2_JCX6cF_quDQ - transcript (automated).pdf","Transcript Link")</f>
        <v>Transcript Link</v>
      </c>
    </row>
    <row r="3436" ht="180" spans="1:13">
      <c r="A3436" s="1" t="s">
        <v>15080</v>
      </c>
      <c r="B3436" s="1" t="s">
        <v>13</v>
      </c>
      <c r="C3436" s="4" t="s">
        <v>15081</v>
      </c>
      <c r="D3436" s="1" t="s">
        <v>15082</v>
      </c>
      <c r="E3436" s="1" t="s">
        <v>15083</v>
      </c>
      <c r="F3436" s="4" t="s">
        <v>17</v>
      </c>
      <c r="G3436" s="1" t="s">
        <v>18</v>
      </c>
      <c r="H3436" s="1" t="s">
        <v>19</v>
      </c>
      <c r="I3436" s="1" t="s">
        <v>20</v>
      </c>
      <c r="J3436" s="1" t="s">
        <v>15084</v>
      </c>
      <c r="K3436" s="1" t="s">
        <v>22</v>
      </c>
      <c r="L3436" s="1" t="str">
        <f>HYPERLINK("https://files.afu.se/Downloads/Transcripts/0%20-%20Government/USA%20-%20NASA%20Johnson/2011 02 25 - NASA Johnson - STS-133 Daily Mission Recap - Flight Day 1_Ti0T6A2FZf4 - transcript (automated).pdf","Transcript Link")</f>
        <v>Transcript Link</v>
      </c>
      <c r="M3436" s="2" t="str">
        <f>HYPERLINK("https://files.afu.se/Downloads/Transcripts/0%20-%20Government/USA%20-%20NASA%20Johnson/2011 02 25 - NASA Johnson - STS-133 Daily Mission Recap - Flight Day 1_Ti0T6A2FZf4 - transcript (automated).pdf","Transcript Link")</f>
        <v>Transcript Link</v>
      </c>
    </row>
    <row r="3437" ht="180" spans="1:13">
      <c r="A3437" s="1" t="s">
        <v>15085</v>
      </c>
      <c r="B3437" s="1" t="s">
        <v>13</v>
      </c>
      <c r="C3437" s="4" t="s">
        <v>15086</v>
      </c>
      <c r="D3437" s="1" t="s">
        <v>15087</v>
      </c>
      <c r="E3437" s="1" t="s">
        <v>15088</v>
      </c>
      <c r="F3437" s="4" t="s">
        <v>17</v>
      </c>
      <c r="G3437" s="1" t="s">
        <v>18</v>
      </c>
      <c r="H3437" s="1" t="s">
        <v>19</v>
      </c>
      <c r="I3437" s="1" t="s">
        <v>20</v>
      </c>
      <c r="J3437" s="1" t="s">
        <v>15089</v>
      </c>
      <c r="K3437" s="1" t="s">
        <v>22</v>
      </c>
      <c r="L3437" s="1" t="str">
        <f>HYPERLINK("https://files.afu.se/Downloads/Transcripts/0%20-%20Government/USA%20-%20NASA%20Johnson/2011 02 15 - NASA Johnson - Flight Engineer Cady Coleman Gives Station Tour_QuaIlMfB0TY - transcript (automated).pdf","Transcript Link")</f>
        <v>Transcript Link</v>
      </c>
      <c r="M3437" s="2" t="str">
        <f>HYPERLINK("https://files.afu.se/Downloads/Transcripts/0%20-%20Government/USA%20-%20NASA%20Johnson/2011 02 15 - NASA Johnson - Flight Engineer Cady Coleman Gives Station Tour_QuaIlMfB0TY - transcript (automated).pdf","Transcript Link")</f>
        <v>Transcript Link</v>
      </c>
    </row>
    <row r="3438" ht="180" spans="1:13">
      <c r="A3438" s="1" t="s">
        <v>15085</v>
      </c>
      <c r="B3438" s="1" t="s">
        <v>13</v>
      </c>
      <c r="C3438" s="4" t="s">
        <v>15090</v>
      </c>
      <c r="D3438" s="1" t="s">
        <v>15091</v>
      </c>
      <c r="E3438" s="1" t="s">
        <v>15092</v>
      </c>
      <c r="F3438" s="4" t="s">
        <v>17</v>
      </c>
      <c r="G3438" s="1" t="s">
        <v>18</v>
      </c>
      <c r="H3438" s="1" t="s">
        <v>19</v>
      </c>
      <c r="I3438" s="1" t="s">
        <v>20</v>
      </c>
      <c r="J3438" s="1" t="s">
        <v>15093</v>
      </c>
      <c r="K3438" s="1" t="s">
        <v>22</v>
      </c>
      <c r="L3438" s="1" t="str">
        <f>HYPERLINK("https://files.afu.se/Downloads/Transcripts/0%20-%20Government/USA%20-%20NASA%20Johnson/2011 02 15 - NASA Johnson - Kelly Brothers Interview Part 8_8SjOMacHxcM - transcript (automated).pdf","Transcript Link")</f>
        <v>Transcript Link</v>
      </c>
      <c r="M3438" s="2" t="str">
        <f>HYPERLINK("https://files.afu.se/Downloads/Transcripts/0%20-%20Government/USA%20-%20NASA%20Johnson/2011 02 15 - NASA Johnson - Kelly Brothers Interview Part 8_8SjOMacHxcM - transcript (automated).pdf","Transcript Link")</f>
        <v>Transcript Link</v>
      </c>
    </row>
    <row r="3439" ht="180" spans="1:13">
      <c r="A3439" s="1" t="s">
        <v>15085</v>
      </c>
      <c r="B3439" s="1" t="s">
        <v>13</v>
      </c>
      <c r="C3439" s="4" t="s">
        <v>15094</v>
      </c>
      <c r="D3439" s="1" t="s">
        <v>15095</v>
      </c>
      <c r="E3439" s="1" t="s">
        <v>15092</v>
      </c>
      <c r="F3439" s="4" t="s">
        <v>17</v>
      </c>
      <c r="G3439" s="1" t="s">
        <v>18</v>
      </c>
      <c r="H3439" s="1" t="s">
        <v>19</v>
      </c>
      <c r="I3439" s="1" t="s">
        <v>20</v>
      </c>
      <c r="J3439" s="1" t="s">
        <v>15096</v>
      </c>
      <c r="K3439" s="1" t="s">
        <v>22</v>
      </c>
      <c r="L3439" s="1" t="str">
        <f>HYPERLINK("https://files.afu.se/Downloads/Transcripts/0%20-%20Government/USA%20-%20NASA%20Johnson/2011 02 15 - NASA Johnson - Kelly Brothers Interview Part 7_UJRN5wWPlJc - transcript (automated).pdf","Transcript Link")</f>
        <v>Transcript Link</v>
      </c>
      <c r="M3439" s="2" t="str">
        <f>HYPERLINK("https://files.afu.se/Downloads/Transcripts/0%20-%20Government/USA%20-%20NASA%20Johnson/2011 02 15 - NASA Johnson - Kelly Brothers Interview Part 7_UJRN5wWPlJc - transcript (automated).pdf","Transcript Link")</f>
        <v>Transcript Link</v>
      </c>
    </row>
    <row r="3440" ht="180" spans="1:13">
      <c r="A3440" s="1" t="s">
        <v>15085</v>
      </c>
      <c r="B3440" s="1" t="s">
        <v>13</v>
      </c>
      <c r="C3440" s="4" t="s">
        <v>15097</v>
      </c>
      <c r="D3440" s="1" t="s">
        <v>15098</v>
      </c>
      <c r="E3440" s="1" t="s">
        <v>15092</v>
      </c>
      <c r="F3440" s="4" t="s">
        <v>17</v>
      </c>
      <c r="G3440" s="1" t="s">
        <v>18</v>
      </c>
      <c r="H3440" s="1" t="s">
        <v>19</v>
      </c>
      <c r="I3440" s="1" t="s">
        <v>20</v>
      </c>
      <c r="J3440" s="1" t="s">
        <v>15099</v>
      </c>
      <c r="K3440" s="1" t="s">
        <v>22</v>
      </c>
      <c r="L3440" s="1" t="str">
        <f>HYPERLINK("https://files.afu.se/Downloads/Transcripts/0%20-%20Government/USA%20-%20NASA%20Johnson/2011 02 15 - NASA Johnson - Kelly Brothers Interview Part 6_LNgJnakv8WU - transcript (automated).pdf","Transcript Link")</f>
        <v>Transcript Link</v>
      </c>
      <c r="M3440" s="2" t="str">
        <f>HYPERLINK("https://files.afu.se/Downloads/Transcripts/0%20-%20Government/USA%20-%20NASA%20Johnson/2011 02 15 - NASA Johnson - Kelly Brothers Interview Part 6_LNgJnakv8WU - transcript (automated).pdf","Transcript Link")</f>
        <v>Transcript Link</v>
      </c>
    </row>
    <row r="3441" ht="180" spans="1:13">
      <c r="A3441" s="1" t="s">
        <v>15085</v>
      </c>
      <c r="B3441" s="1" t="s">
        <v>13</v>
      </c>
      <c r="C3441" s="4" t="s">
        <v>15100</v>
      </c>
      <c r="D3441" s="1" t="s">
        <v>15101</v>
      </c>
      <c r="E3441" s="1" t="s">
        <v>15092</v>
      </c>
      <c r="F3441" s="4" t="s">
        <v>17</v>
      </c>
      <c r="G3441" s="1" t="s">
        <v>18</v>
      </c>
      <c r="H3441" s="1" t="s">
        <v>19</v>
      </c>
      <c r="I3441" s="1" t="s">
        <v>20</v>
      </c>
      <c r="J3441" s="1" t="s">
        <v>15102</v>
      </c>
      <c r="K3441" s="1" t="s">
        <v>22</v>
      </c>
      <c r="L3441" s="1" t="str">
        <f>HYPERLINK("https://files.afu.se/Downloads/Transcripts/0%20-%20Government/USA%20-%20NASA%20Johnson/2011 02 15 - NASA Johnson - Kelly Brothers Interview Part 5_p1bpO9zAekk - transcript (automated).pdf","Transcript Link")</f>
        <v>Transcript Link</v>
      </c>
      <c r="M3441" s="2" t="str">
        <f>HYPERLINK("https://files.afu.se/Downloads/Transcripts/0%20-%20Government/USA%20-%20NASA%20Johnson/2011 02 15 - NASA Johnson - Kelly Brothers Interview Part 5_p1bpO9zAekk - transcript (automated).pdf","Transcript Link")</f>
        <v>Transcript Link</v>
      </c>
    </row>
    <row r="3442" ht="180" spans="1:13">
      <c r="A3442" s="1" t="s">
        <v>15085</v>
      </c>
      <c r="B3442" s="1" t="s">
        <v>13</v>
      </c>
      <c r="C3442" s="4" t="s">
        <v>15103</v>
      </c>
      <c r="D3442" s="1" t="s">
        <v>15104</v>
      </c>
      <c r="E3442" s="1" t="s">
        <v>15092</v>
      </c>
      <c r="F3442" s="4" t="s">
        <v>17</v>
      </c>
      <c r="G3442" s="1" t="s">
        <v>18</v>
      </c>
      <c r="H3442" s="1" t="s">
        <v>19</v>
      </c>
      <c r="I3442" s="1" t="s">
        <v>20</v>
      </c>
      <c r="J3442" s="1" t="s">
        <v>15105</v>
      </c>
      <c r="K3442" s="1" t="s">
        <v>22</v>
      </c>
      <c r="L3442" s="1" t="str">
        <f>HYPERLINK("https://files.afu.se/Downloads/Transcripts/0%20-%20Government/USA%20-%20NASA%20Johnson/2011 02 15 - NASA Johnson - Kelly Brothers Interview Part 4_ILAw6cjDCxQ - transcript (automated).pdf","Transcript Link")</f>
        <v>Transcript Link</v>
      </c>
      <c r="M3442" s="2" t="str">
        <f>HYPERLINK("https://files.afu.se/Downloads/Transcripts/0%20-%20Government/USA%20-%20NASA%20Johnson/2011 02 15 - NASA Johnson - Kelly Brothers Interview Part 4_ILAw6cjDCxQ - transcript (automated).pdf","Transcript Link")</f>
        <v>Transcript Link</v>
      </c>
    </row>
    <row r="3443" ht="180" spans="1:13">
      <c r="A3443" s="1" t="s">
        <v>15106</v>
      </c>
      <c r="B3443" s="1" t="s">
        <v>13</v>
      </c>
      <c r="C3443" s="4" t="s">
        <v>15107</v>
      </c>
      <c r="D3443" s="1" t="s">
        <v>15108</v>
      </c>
      <c r="E3443" s="1" t="s">
        <v>15092</v>
      </c>
      <c r="F3443" s="4" t="s">
        <v>17</v>
      </c>
      <c r="G3443" s="1" t="s">
        <v>18</v>
      </c>
      <c r="H3443" s="1" t="s">
        <v>19</v>
      </c>
      <c r="I3443" s="1" t="s">
        <v>20</v>
      </c>
      <c r="J3443" s="1" t="s">
        <v>15109</v>
      </c>
      <c r="K3443" s="1" t="s">
        <v>22</v>
      </c>
      <c r="L3443" s="1" t="str">
        <f>HYPERLINK("https://files.afu.se/Downloads/Transcripts/0%20-%20Government/USA%20-%20NASA%20Johnson/2011 02 14 - NASA Johnson - Kelly Brothers Interview Part 3_sdUUoUqn484 - transcript (automated).pdf","Transcript Link")</f>
        <v>Transcript Link</v>
      </c>
      <c r="M3443" s="2" t="str">
        <f>HYPERLINK("https://files.afu.se/Downloads/Transcripts/0%20-%20Government/USA%20-%20NASA%20Johnson/2011 02 14 - NASA Johnson - Kelly Brothers Interview Part 3_sdUUoUqn484 - transcript (automated).pdf","Transcript Link")</f>
        <v>Transcript Link</v>
      </c>
    </row>
    <row r="3444" ht="180" spans="1:13">
      <c r="A3444" s="1" t="s">
        <v>15106</v>
      </c>
      <c r="B3444" s="1" t="s">
        <v>13</v>
      </c>
      <c r="C3444" s="4" t="s">
        <v>15110</v>
      </c>
      <c r="D3444" s="1" t="s">
        <v>15111</v>
      </c>
      <c r="E3444" s="1" t="s">
        <v>15092</v>
      </c>
      <c r="F3444" s="4" t="s">
        <v>17</v>
      </c>
      <c r="G3444" s="1" t="s">
        <v>18</v>
      </c>
      <c r="H3444" s="1" t="s">
        <v>19</v>
      </c>
      <c r="I3444" s="1" t="s">
        <v>20</v>
      </c>
      <c r="J3444" s="1" t="s">
        <v>15112</v>
      </c>
      <c r="K3444" s="1" t="s">
        <v>22</v>
      </c>
      <c r="L3444" s="1" t="str">
        <f>HYPERLINK("https://files.afu.se/Downloads/Transcripts/0%20-%20Government/USA%20-%20NASA%20Johnson/2011 02 14 - NASA Johnson - Kelly Brothers Interview Part 2_jL6aLbt7tpQ - transcript (automated).pdf","Transcript Link")</f>
        <v>Transcript Link</v>
      </c>
      <c r="M3444" s="2" t="str">
        <f>HYPERLINK("https://files.afu.se/Downloads/Transcripts/0%20-%20Government/USA%20-%20NASA%20Johnson/2011 02 14 - NASA Johnson - Kelly Brothers Interview Part 2_jL6aLbt7tpQ - transcript (automated).pdf","Transcript Link")</f>
        <v>Transcript Link</v>
      </c>
    </row>
    <row r="3445" ht="180" spans="1:13">
      <c r="A3445" s="1" t="s">
        <v>15106</v>
      </c>
      <c r="B3445" s="1" t="s">
        <v>13</v>
      </c>
      <c r="C3445" s="4" t="s">
        <v>15113</v>
      </c>
      <c r="D3445" s="1" t="s">
        <v>15114</v>
      </c>
      <c r="E3445" s="1" t="s">
        <v>15092</v>
      </c>
      <c r="F3445" s="4" t="s">
        <v>17</v>
      </c>
      <c r="G3445" s="1" t="s">
        <v>18</v>
      </c>
      <c r="H3445" s="1" t="s">
        <v>19</v>
      </c>
      <c r="I3445" s="1" t="s">
        <v>20</v>
      </c>
      <c r="J3445" s="1" t="s">
        <v>15115</v>
      </c>
      <c r="K3445" s="1" t="s">
        <v>22</v>
      </c>
      <c r="L3445" s="1" t="str">
        <f>HYPERLINK("https://files.afu.se/Downloads/Transcripts/0%20-%20Government/USA%20-%20NASA%20Johnson/2011 02 14 - NASA Johnson - Kelly Brothers Interview Part 1_0n5p-wwgQM4 - transcript (automated).pdf","Transcript Link")</f>
        <v>Transcript Link</v>
      </c>
      <c r="M3445" s="2" t="str">
        <f>HYPERLINK("https://files.afu.se/Downloads/Transcripts/0%20-%20Government/USA%20-%20NASA%20Johnson/2011 02 14 - NASA Johnson - Kelly Brothers Interview Part 1_0n5p-wwgQM4 - transcript (automated).pdf","Transcript Link")</f>
        <v>Transcript Link</v>
      </c>
    </row>
    <row r="3446" ht="180" spans="1:13">
      <c r="A3446" s="1" t="s">
        <v>15116</v>
      </c>
      <c r="B3446" s="1" t="s">
        <v>13</v>
      </c>
      <c r="C3446" s="4" t="s">
        <v>15117</v>
      </c>
      <c r="D3446" s="1" t="s">
        <v>15118</v>
      </c>
      <c r="E3446" s="1" t="s">
        <v>15119</v>
      </c>
      <c r="F3446" s="4" t="s">
        <v>17</v>
      </c>
      <c r="G3446" s="1" t="s">
        <v>18</v>
      </c>
      <c r="H3446" s="1" t="s">
        <v>19</v>
      </c>
      <c r="I3446" s="1" t="s">
        <v>20</v>
      </c>
      <c r="J3446" s="1" t="s">
        <v>15120</v>
      </c>
      <c r="K3446" s="1" t="s">
        <v>22</v>
      </c>
      <c r="L3446" s="1" t="str">
        <f>HYPERLINK("https://files.afu.se/Downloads/Transcripts/0%20-%20Government/USA%20-%20NASA%20Johnson/2011 02 11 - NASA Johnson - We Choose Space_02DB0z6Eino - transcript (automated).pdf","Transcript Link")</f>
        <v>Transcript Link</v>
      </c>
      <c r="M3446" s="2" t="str">
        <f>HYPERLINK("https://files.afu.se/Downloads/Transcripts/0%20-%20Government/USA%20-%20NASA%20Johnson/2011 02 11 - NASA Johnson - We Choose Space_02DB0z6Eino - transcript (automated).pdf","Transcript Link")</f>
        <v>Transcript Link</v>
      </c>
    </row>
    <row r="3447" ht="180" spans="1:13">
      <c r="A3447" s="1" t="s">
        <v>15116</v>
      </c>
      <c r="B3447" s="1" t="s">
        <v>13</v>
      </c>
      <c r="C3447" s="4" t="s">
        <v>15121</v>
      </c>
      <c r="D3447" s="1" t="s">
        <v>15122</v>
      </c>
      <c r="E3447" s="1" t="s">
        <v>15123</v>
      </c>
      <c r="F3447" s="4" t="s">
        <v>17</v>
      </c>
      <c r="G3447" s="1" t="s">
        <v>18</v>
      </c>
      <c r="H3447" s="1" t="s">
        <v>19</v>
      </c>
      <c r="I3447" s="1" t="s">
        <v>20</v>
      </c>
      <c r="J3447" s="1" t="s">
        <v>15124</v>
      </c>
      <c r="K3447" s="1" t="s">
        <v>22</v>
      </c>
      <c r="L3447" s="1" t="str">
        <f>HYPERLINK("https://files.afu.se/Downloads/Transcripts/0%20-%20Government/USA%20-%20NASA%20Johnson/2011 02 11 - NASA Johnson - Why Should the United States Explore Space _el3-gLxFXjI - transcript (automated).pdf","Transcript Link")</f>
        <v>Transcript Link</v>
      </c>
      <c r="M3447" s="2" t="str">
        <f>HYPERLINK("https://files.afu.se/Downloads/Transcripts/0%20-%20Government/USA%20-%20NASA%20Johnson/2011 02 11 - NASA Johnson - Why Should the United States Explore Space _el3-gLxFXjI - transcript (automated).pdf","Transcript Link")</f>
        <v>Transcript Link</v>
      </c>
    </row>
    <row r="3448" ht="180" spans="1:13">
      <c r="A3448" s="1" t="s">
        <v>15116</v>
      </c>
      <c r="B3448" s="1" t="s">
        <v>13</v>
      </c>
      <c r="C3448" s="4" t="s">
        <v>15125</v>
      </c>
      <c r="D3448" s="1" t="s">
        <v>15126</v>
      </c>
      <c r="E3448" s="1" t="s">
        <v>15127</v>
      </c>
      <c r="F3448" s="4" t="s">
        <v>17</v>
      </c>
      <c r="G3448" s="1" t="s">
        <v>18</v>
      </c>
      <c r="H3448" s="1" t="s">
        <v>19</v>
      </c>
      <c r="I3448" s="1" t="s">
        <v>20</v>
      </c>
      <c r="J3448" s="1" t="s">
        <v>15128</v>
      </c>
      <c r="K3448" s="1" t="s">
        <v>22</v>
      </c>
      <c r="L3448" s="1" t="str">
        <f>HYPERLINK("https://files.afu.se/Downloads/Transcripts/0%20-%20Government/USA%20-%20NASA%20Johnson/2011 02 11 - NASA Johnson - Generation's Dreams_J5y4qF3MgzY - transcript (automated).pdf","Transcript Link")</f>
        <v>Transcript Link</v>
      </c>
      <c r="M3448" s="2" t="str">
        <f>HYPERLINK("https://files.afu.se/Downloads/Transcripts/0%20-%20Government/USA%20-%20NASA%20Johnson/2011 02 11 - NASA Johnson - Generation's Dreams_J5y4qF3MgzY - transcript (automated).pdf","Transcript Link")</f>
        <v>Transcript Link</v>
      </c>
    </row>
    <row r="3449" ht="180" spans="1:13">
      <c r="A3449" s="1" t="s">
        <v>15129</v>
      </c>
      <c r="B3449" s="1" t="s">
        <v>13</v>
      </c>
      <c r="C3449" s="4" t="s">
        <v>15130</v>
      </c>
      <c r="D3449" s="1" t="s">
        <v>15131</v>
      </c>
      <c r="E3449" s="1" t="s">
        <v>15132</v>
      </c>
      <c r="F3449" s="4" t="s">
        <v>17</v>
      </c>
      <c r="G3449" s="1" t="s">
        <v>18</v>
      </c>
      <c r="H3449" s="1" t="s">
        <v>19</v>
      </c>
      <c r="I3449" s="1" t="s">
        <v>20</v>
      </c>
      <c r="J3449" s="1" t="s">
        <v>15133</v>
      </c>
      <c r="K3449" s="1" t="s">
        <v>22</v>
      </c>
      <c r="L3449" s="1" t="str">
        <f>HYPERLINK("https://files.afu.se/Downloads/Transcripts/0%20-%20Government/USA%20-%20NASA%20Johnson/2011 02 10 - NASA Johnson - ATV2 Interview with Michael Suffredini__e2TCdbbo-I - transcript (automated).pdf","Transcript Link")</f>
        <v>Transcript Link</v>
      </c>
      <c r="M3449" s="2" t="str">
        <f>HYPERLINK("https://files.afu.se/Downloads/Transcripts/0%20-%20Government/USA%20-%20NASA%20Johnson/2011 02 10 - NASA Johnson - ATV2 Interview with Michael Suffredini__e2TCdbbo-I - transcript (automated).pdf","Transcript Link")</f>
        <v>Transcript Link</v>
      </c>
    </row>
    <row r="3450" ht="180" spans="1:13">
      <c r="A3450" s="1" t="s">
        <v>15134</v>
      </c>
      <c r="B3450" s="1" t="s">
        <v>13</v>
      </c>
      <c r="C3450" s="4" t="s">
        <v>15135</v>
      </c>
      <c r="D3450" s="1" t="s">
        <v>15136</v>
      </c>
      <c r="E3450" s="1" t="s">
        <v>15137</v>
      </c>
      <c r="F3450" s="4" t="s">
        <v>17</v>
      </c>
      <c r="G3450" s="1" t="s">
        <v>18</v>
      </c>
      <c r="H3450" s="1" t="s">
        <v>19</v>
      </c>
      <c r="I3450" s="1" t="s">
        <v>20</v>
      </c>
      <c r="J3450" s="1" t="s">
        <v>15138</v>
      </c>
      <c r="K3450" s="1" t="s">
        <v>22</v>
      </c>
      <c r="L3450" s="1" t="str">
        <f>HYPERLINK("https://files.afu.se/Downloads/Transcripts/0%20-%20Government/USA%20-%20NASA%20Johnson/2011 02 09 - NASA Johnson - A Flute on the Space Station_A9uBPwP7DQc - transcript (automated).pdf","Transcript Link")</f>
        <v>Transcript Link</v>
      </c>
      <c r="M3450" s="2" t="str">
        <f>HYPERLINK("https://files.afu.se/Downloads/Transcripts/0%20-%20Government/USA%20-%20NASA%20Johnson/2011 02 09 - NASA Johnson - A Flute on the Space Station_A9uBPwP7DQc - transcript (automated).pdf","Transcript Link")</f>
        <v>Transcript Link</v>
      </c>
    </row>
    <row r="3451" ht="180" spans="1:13">
      <c r="A3451" s="1" t="s">
        <v>15139</v>
      </c>
      <c r="B3451" s="1" t="s">
        <v>13</v>
      </c>
      <c r="C3451" s="4" t="s">
        <v>15140</v>
      </c>
      <c r="D3451" s="1" t="s">
        <v>15141</v>
      </c>
      <c r="E3451" s="1" t="s">
        <v>15142</v>
      </c>
      <c r="F3451" s="4" t="s">
        <v>17</v>
      </c>
      <c r="G3451" s="1" t="s">
        <v>18</v>
      </c>
      <c r="H3451" s="1" t="s">
        <v>19</v>
      </c>
      <c r="I3451" s="1" t="s">
        <v>20</v>
      </c>
      <c r="J3451" s="1" t="s">
        <v>15143</v>
      </c>
      <c r="K3451" s="1" t="s">
        <v>22</v>
      </c>
      <c r="L3451" s="1" t="str">
        <f>HYPERLINK("https://files.afu.se/Downloads/Transcripts/0%20-%20Government/USA%20-%20NASA%20Johnson/2011 02 05 - NASA Johnson - Mark Kelly Resumes Training To Command STS-134_AnM1jSW7YEE - transcript (automated).pdf","Transcript Link")</f>
        <v>Transcript Link</v>
      </c>
      <c r="M3451" s="2" t="str">
        <f>HYPERLINK("https://files.afu.se/Downloads/Transcripts/0%20-%20Government/USA%20-%20NASA%20Johnson/2011 02 05 - NASA Johnson - Mark Kelly Resumes Training To Command STS-134_AnM1jSW7YEE - transcript (automated).pdf","Transcript Link")</f>
        <v>Transcript Link</v>
      </c>
    </row>
    <row r="3452" ht="180" spans="1:13">
      <c r="A3452" s="1" t="s">
        <v>15144</v>
      </c>
      <c r="B3452" s="1" t="s">
        <v>13</v>
      </c>
      <c r="C3452" s="4" t="s">
        <v>15145</v>
      </c>
      <c r="D3452" s="1" t="s">
        <v>15146</v>
      </c>
      <c r="E3452" s="1" t="s">
        <v>15147</v>
      </c>
      <c r="F3452" s="4" t="s">
        <v>17</v>
      </c>
      <c r="G3452" s="1" t="s">
        <v>18</v>
      </c>
      <c r="H3452" s="1" t="s">
        <v>19</v>
      </c>
      <c r="I3452" s="1" t="s">
        <v>20</v>
      </c>
      <c r="J3452" s="1" t="s">
        <v>15148</v>
      </c>
      <c r="K3452" s="1" t="s">
        <v>22</v>
      </c>
      <c r="L3452" s="1" t="str">
        <f>HYPERLINK("https://files.afu.se/Downloads/Transcripts/0%20-%20Government/USA%20-%20NASA%20Johnson/2011 01 30 - NASA Johnson - The ISS Progress 41 Docks_QmIg4nWuJUY - transcript (automated).pdf","Transcript Link")</f>
        <v>Transcript Link</v>
      </c>
      <c r="M3452" s="2" t="str">
        <f>HYPERLINK("https://files.afu.se/Downloads/Transcripts/0%20-%20Government/USA%20-%20NASA%20Johnson/2011 01 30 - NASA Johnson - The ISS Progress 41 Docks_QmIg4nWuJUY - transcript (automated).pdf","Transcript Link")</f>
        <v>Transcript Link</v>
      </c>
    </row>
    <row r="3453" ht="180" spans="1:13">
      <c r="A3453" s="1" t="s">
        <v>15149</v>
      </c>
      <c r="B3453" s="1" t="s">
        <v>13</v>
      </c>
      <c r="C3453" s="4" t="s">
        <v>15150</v>
      </c>
      <c r="D3453" s="1" t="s">
        <v>15151</v>
      </c>
      <c r="E3453" s="1" t="s">
        <v>15152</v>
      </c>
      <c r="F3453" s="4" t="s">
        <v>17</v>
      </c>
      <c r="G3453" s="1" t="s">
        <v>18</v>
      </c>
      <c r="H3453" s="1" t="s">
        <v>19</v>
      </c>
      <c r="I3453" s="1" t="s">
        <v>20</v>
      </c>
      <c r="J3453" s="1" t="s">
        <v>15153</v>
      </c>
      <c r="K3453" s="1" t="s">
        <v>22</v>
      </c>
      <c r="L3453" s="1" t="str">
        <f>HYPERLINK("https://files.afu.se/Downloads/Transcripts/0%20-%20Government/USA%20-%20NASA%20Johnson/2011 01 28 - NASA Johnson - Jan. 27, 2011 Day of Remembrance_ERoS9cIjo_Y - transcript (automated).pdf","Transcript Link")</f>
        <v>Transcript Link</v>
      </c>
      <c r="M3453" s="2" t="str">
        <f>HYPERLINK("https://files.afu.se/Downloads/Transcripts/0%20-%20Government/USA%20-%20NASA%20Johnson/2011 01 28 - NASA Johnson - Jan. 27, 2011 Day of Remembrance_ERoS9cIjo_Y - transcript (automated).pdf","Transcript Link")</f>
        <v>Transcript Link</v>
      </c>
    </row>
    <row r="3454" ht="195" spans="1:13">
      <c r="A3454" s="1" t="s">
        <v>15154</v>
      </c>
      <c r="B3454" s="1" t="s">
        <v>13</v>
      </c>
      <c r="C3454" s="4" t="s">
        <v>15155</v>
      </c>
      <c r="D3454" s="1" t="s">
        <v>15156</v>
      </c>
      <c r="E3454" s="1" t="s">
        <v>15157</v>
      </c>
      <c r="F3454" s="4" t="s">
        <v>17</v>
      </c>
      <c r="G3454" s="1" t="s">
        <v>18</v>
      </c>
      <c r="H3454" s="1" t="s">
        <v>19</v>
      </c>
      <c r="I3454" s="1" t="s">
        <v>20</v>
      </c>
      <c r="J3454" s="1" t="s">
        <v>15158</v>
      </c>
      <c r="K3454" s="1" t="s">
        <v>22</v>
      </c>
      <c r="L3454" s="1" t="str">
        <f>HYPERLINK("https://files.afu.se/Downloads/Transcripts/0%20-%20Government/USA%20-%20NASA%20Johnson/2011 01 11 - NASA Johnson - Russian Prime Minister Calls the Station Crew at Start of Historic Year_RycINq8cgAw - transcript (automated).pdf","Transcript Link")</f>
        <v>Transcript Link</v>
      </c>
      <c r="M3454" s="2" t="str">
        <f>HYPERLINK("https://files.afu.se/Downloads/Transcripts/0%20-%20Government/USA%20-%20NASA%20Johnson/2011 01 11 - NASA Johnson - Russian Prime Minister Calls the Station Crew at Start of Historic Year_RycINq8cgAw - transcript (automated).pdf","Transcript Link")</f>
        <v>Transcript Link</v>
      </c>
    </row>
    <row r="3455" ht="225" spans="1:13">
      <c r="A3455" s="1" t="s">
        <v>15159</v>
      </c>
      <c r="B3455" s="1" t="s">
        <v>13</v>
      </c>
      <c r="C3455" s="4" t="s">
        <v>15160</v>
      </c>
      <c r="D3455" s="1" t="s">
        <v>15161</v>
      </c>
      <c r="E3455" s="1" t="s">
        <v>15162</v>
      </c>
      <c r="F3455" s="4" t="s">
        <v>17</v>
      </c>
      <c r="G3455" s="1" t="s">
        <v>18</v>
      </c>
      <c r="H3455" s="1" t="s">
        <v>19</v>
      </c>
      <c r="I3455" s="1" t="s">
        <v>20</v>
      </c>
      <c r="J3455" s="1" t="s">
        <v>15163</v>
      </c>
      <c r="K3455" s="1" t="s">
        <v>22</v>
      </c>
      <c r="L3455" s="1" t="str">
        <f>HYPERLINK("https://files.afu.se/Downloads/Transcripts/0%20-%20Government/USA%20-%20NASA%20Johnson/2011 01 07 - NASA Johnson - International Space Station L.A.B.S. Video_ioDZ4Eb5lAc - transcript (automated).pdf","Transcript Link")</f>
        <v>Transcript Link</v>
      </c>
      <c r="M3455" s="2" t="str">
        <f>HYPERLINK("https://files.afu.se/Downloads/Transcripts/0%20-%20Government/USA%20-%20NASA%20Johnson/2011 01 07 - NASA Johnson - International Space Station L.A.B.S. Video_ioDZ4Eb5lAc - transcript (automated).pdf","Transcript Link")</f>
        <v>Transcript Link</v>
      </c>
    </row>
    <row r="3456" ht="180" spans="1:13">
      <c r="A3456" s="1" t="s">
        <v>15164</v>
      </c>
      <c r="B3456" s="1" t="s">
        <v>13</v>
      </c>
      <c r="C3456" s="4" t="s">
        <v>15165</v>
      </c>
      <c r="D3456" s="1" t="s">
        <v>15166</v>
      </c>
      <c r="E3456" s="1" t="s">
        <v>15167</v>
      </c>
      <c r="F3456" s="4" t="s">
        <v>17</v>
      </c>
      <c r="G3456" s="1" t="s">
        <v>18</v>
      </c>
      <c r="H3456" s="1" t="s">
        <v>19</v>
      </c>
      <c r="I3456" s="1" t="s">
        <v>20</v>
      </c>
      <c r="J3456" s="1" t="s">
        <v>15168</v>
      </c>
      <c r="K3456" s="1" t="s">
        <v>22</v>
      </c>
      <c r="L3456" s="1" t="str">
        <f>HYPERLINK("https://files.afu.se/Downloads/Transcripts/0%20-%20Government/USA%20-%20NASA%20Johnson/2010 12 30 - NASA Johnson - Dining on the Space Station_PLmc6CJQwLM - transcript (automated).pdf","Transcript Link")</f>
        <v>Transcript Link</v>
      </c>
      <c r="M3456" s="2" t="str">
        <f>HYPERLINK("https://files.afu.se/Downloads/Transcripts/0%20-%20Government/USA%20-%20NASA%20Johnson/2010 12 30 - NASA Johnson - Dining on the Space Station_PLmc6CJQwLM - transcript (automated).pdf","Transcript Link")</f>
        <v>Transcript Link</v>
      </c>
    </row>
    <row r="3457" ht="180" spans="1:13">
      <c r="A3457" s="1" t="s">
        <v>15169</v>
      </c>
      <c r="B3457" s="1" t="s">
        <v>13</v>
      </c>
      <c r="C3457" s="4" t="s">
        <v>15170</v>
      </c>
      <c r="D3457" s="1" t="s">
        <v>15171</v>
      </c>
      <c r="E3457" s="1" t="s">
        <v>15172</v>
      </c>
      <c r="F3457" s="4" t="s">
        <v>17</v>
      </c>
      <c r="G3457" s="1" t="s">
        <v>18</v>
      </c>
      <c r="H3457" s="1" t="s">
        <v>19</v>
      </c>
      <c r="I3457" s="1" t="s">
        <v>20</v>
      </c>
      <c r="J3457" s="1" t="s">
        <v>15173</v>
      </c>
      <c r="K3457" s="1" t="s">
        <v>22</v>
      </c>
      <c r="L3457" s="1" t="str">
        <f>HYPERLINK("https://files.afu.se/Downloads/Transcripts/0%20-%20Government/USA%20-%20NASA%20Johnson/2010 12 21 - NASA Johnson - Expedition 26 Holiday Message_gsnVQQYAra4 - transcript (automated).pdf","Transcript Link")</f>
        <v>Transcript Link</v>
      </c>
      <c r="M3457" s="2" t="str">
        <f>HYPERLINK("https://files.afu.se/Downloads/Transcripts/0%20-%20Government/USA%20-%20NASA%20Johnson/2010 12 21 - NASA Johnson - Expedition 26 Holiday Message_gsnVQQYAra4 - transcript (automated).pdf","Transcript Link")</f>
        <v>Transcript Link</v>
      </c>
    </row>
    <row r="3458" ht="180" spans="1:13">
      <c r="A3458" s="1" t="s">
        <v>15174</v>
      </c>
      <c r="B3458" s="1" t="s">
        <v>13</v>
      </c>
      <c r="C3458" s="4" t="s">
        <v>15175</v>
      </c>
      <c r="D3458" s="1" t="s">
        <v>15176</v>
      </c>
      <c r="E3458" s="1" t="s">
        <v>15177</v>
      </c>
      <c r="F3458" s="4" t="s">
        <v>17</v>
      </c>
      <c r="G3458" s="1" t="s">
        <v>18</v>
      </c>
      <c r="H3458" s="1" t="s">
        <v>19</v>
      </c>
      <c r="I3458" s="1" t="s">
        <v>20</v>
      </c>
      <c r="J3458" s="1" t="s">
        <v>15178</v>
      </c>
      <c r="K3458" s="1" t="s">
        <v>22</v>
      </c>
      <c r="L3458" s="1" t="str">
        <f>HYPERLINK("https://files.afu.se/Downloads/Transcripts/0%20-%20Government/USA%20-%20NASA%20Johnson/2010 12 17 - NASA Johnson - Expedition 26 Docks to the Station_oES5TmudhX8 - transcript (automated).pdf","Transcript Link")</f>
        <v>Transcript Link</v>
      </c>
      <c r="M3458" s="2" t="str">
        <f>HYPERLINK("https://files.afu.se/Downloads/Transcripts/0%20-%20Government/USA%20-%20NASA%20Johnson/2010 12 17 - NASA Johnson - Expedition 26 Docks to the Station_oES5TmudhX8 - transcript (automated).pdf","Transcript Link")</f>
        <v>Transcript Link</v>
      </c>
    </row>
    <row r="3459" ht="180" spans="1:13">
      <c r="A3459" s="1" t="s">
        <v>15174</v>
      </c>
      <c r="B3459" s="1" t="s">
        <v>13</v>
      </c>
      <c r="C3459" s="4" t="s">
        <v>15179</v>
      </c>
      <c r="D3459" s="1" t="s">
        <v>15180</v>
      </c>
      <c r="E3459" s="1" t="s">
        <v>15181</v>
      </c>
      <c r="F3459" s="4" t="s">
        <v>17</v>
      </c>
      <c r="G3459" s="1" t="s">
        <v>18</v>
      </c>
      <c r="H3459" s="1" t="s">
        <v>19</v>
      </c>
      <c r="I3459" s="1" t="s">
        <v>20</v>
      </c>
      <c r="J3459" s="1" t="s">
        <v>15182</v>
      </c>
      <c r="K3459" s="1" t="s">
        <v>22</v>
      </c>
      <c r="L3459" s="1" t="str">
        <f>HYPERLINK("https://files.afu.se/Downloads/Transcripts/0%20-%20Government/USA%20-%20NASA%20Johnson/2010 12 17 - NASA Johnson - Working Out Aboard the Space Station_YxImeOomkUk - transcript (automated).pdf","Transcript Link")</f>
        <v>Transcript Link</v>
      </c>
      <c r="M3459" s="2" t="str">
        <f>HYPERLINK("https://files.afu.se/Downloads/Transcripts/0%20-%20Government/USA%20-%20NASA%20Johnson/2010 12 17 - NASA Johnson - Working Out Aboard the Space Station_YxImeOomkUk - transcript (automated).pdf","Transcript Link")</f>
        <v>Transcript Link</v>
      </c>
    </row>
    <row r="3460" ht="180" spans="1:13">
      <c r="A3460" s="1" t="s">
        <v>15183</v>
      </c>
      <c r="B3460" s="1" t="s">
        <v>13</v>
      </c>
      <c r="C3460" s="4" t="s">
        <v>15184</v>
      </c>
      <c r="D3460" s="1" t="s">
        <v>15185</v>
      </c>
      <c r="E3460" s="1" t="s">
        <v>15186</v>
      </c>
      <c r="F3460" s="4" t="s">
        <v>17</v>
      </c>
      <c r="G3460" s="1" t="s">
        <v>18</v>
      </c>
      <c r="H3460" s="1" t="s">
        <v>19</v>
      </c>
      <c r="I3460" s="1" t="s">
        <v>20</v>
      </c>
      <c r="J3460" s="1" t="s">
        <v>15187</v>
      </c>
      <c r="K3460" s="1" t="s">
        <v>22</v>
      </c>
      <c r="L3460" s="1" t="str">
        <f>HYPERLINK("https://files.afu.se/Downloads/Transcripts/0%20-%20Government/USA%20-%20NASA%20Johnson/2010 12 15 - NASA Johnson - Expedition 26 Launch_saOezFOhmY4 - transcript (automated).pdf","Transcript Link")</f>
        <v>Transcript Link</v>
      </c>
      <c r="M3460" s="2" t="str">
        <f>HYPERLINK("https://files.afu.se/Downloads/Transcripts/0%20-%20Government/USA%20-%20NASA%20Johnson/2010 12 15 - NASA Johnson - Expedition 26 Launch_saOezFOhmY4 - transcript (automated).pdf","Transcript Link")</f>
        <v>Transcript Link</v>
      </c>
    </row>
    <row r="3461" ht="180" spans="1:13">
      <c r="A3461" s="1" t="s">
        <v>15188</v>
      </c>
      <c r="B3461" s="1" t="s">
        <v>13</v>
      </c>
      <c r="C3461" s="4" t="s">
        <v>15189</v>
      </c>
      <c r="D3461" s="1" t="s">
        <v>15190</v>
      </c>
      <c r="E3461" s="1" t="s">
        <v>15191</v>
      </c>
      <c r="F3461" s="4" t="s">
        <v>17</v>
      </c>
      <c r="G3461" s="1" t="s">
        <v>18</v>
      </c>
      <c r="H3461" s="1" t="s">
        <v>19</v>
      </c>
      <c r="I3461" s="1" t="s">
        <v>20</v>
      </c>
      <c r="J3461" s="1" t="s">
        <v>15192</v>
      </c>
      <c r="K3461" s="1" t="s">
        <v>22</v>
      </c>
      <c r="L3461" s="1" t="str">
        <f>HYPERLINK("https://files.afu.se/Downloads/Transcripts/0%20-%20Government/USA%20-%20NASA%20Johnson/2010 12 06 - NASA Johnson - At Home with Commander Scott Kelly_Q4dG9vSyUFQ - transcript (automated).pdf","Transcript Link")</f>
        <v>Transcript Link</v>
      </c>
      <c r="M3461" s="2" t="str">
        <f>HYPERLINK("https://files.afu.se/Downloads/Transcripts/0%20-%20Government/USA%20-%20NASA%20Johnson/2010 12 06 - NASA Johnson - At Home with Commander Scott Kelly_Q4dG9vSyUFQ - transcript (automated).pdf","Transcript Link")</f>
        <v>Transcript Link</v>
      </c>
    </row>
    <row r="3462" ht="180" spans="1:13">
      <c r="A3462" s="1" t="s">
        <v>15193</v>
      </c>
      <c r="B3462" s="1" t="s">
        <v>13</v>
      </c>
      <c r="C3462" s="4" t="s">
        <v>15194</v>
      </c>
      <c r="D3462" s="1" t="s">
        <v>15195</v>
      </c>
      <c r="E3462" s="1" t="s">
        <v>15196</v>
      </c>
      <c r="F3462" s="4" t="s">
        <v>17</v>
      </c>
      <c r="G3462" s="1" t="s">
        <v>18</v>
      </c>
      <c r="H3462" s="1" t="s">
        <v>19</v>
      </c>
      <c r="I3462" s="1" t="s">
        <v>20</v>
      </c>
      <c r="J3462" s="1" t="s">
        <v>15197</v>
      </c>
      <c r="K3462" s="1" t="s">
        <v>22</v>
      </c>
      <c r="L3462" s="1" t="str">
        <f>HYPERLINK("https://files.afu.se/Downloads/Transcripts/0%20-%20Government/USA%20-%20NASA%20Johnson/2010 11 30 - NASA Johnson - ISS Crew Talks With Texas School for the Deaf_2bHzaDU93sc - transcript (automated).pdf","Transcript Link")</f>
        <v>Transcript Link</v>
      </c>
      <c r="M3462" s="2" t="str">
        <f>HYPERLINK("https://files.afu.se/Downloads/Transcripts/0%20-%20Government/USA%20-%20NASA%20Johnson/2010 11 30 - NASA Johnson - ISS Crew Talks With Texas School for the Deaf_2bHzaDU93sc - transcript (automated).pdf","Transcript Link")</f>
        <v>Transcript Link</v>
      </c>
    </row>
    <row r="3463" ht="180" spans="1:13">
      <c r="A3463" s="1" t="s">
        <v>15198</v>
      </c>
      <c r="B3463" s="1" t="s">
        <v>13</v>
      </c>
      <c r="C3463" s="4" t="s">
        <v>15199</v>
      </c>
      <c r="D3463" s="1" t="s">
        <v>15200</v>
      </c>
      <c r="E3463" s="1" t="s">
        <v>15201</v>
      </c>
      <c r="F3463" s="4" t="s">
        <v>17</v>
      </c>
      <c r="G3463" s="1" t="s">
        <v>18</v>
      </c>
      <c r="H3463" s="1" t="s">
        <v>19</v>
      </c>
      <c r="I3463" s="1" t="s">
        <v>20</v>
      </c>
      <c r="J3463" s="1" t="s">
        <v>15202</v>
      </c>
      <c r="K3463" s="1" t="s">
        <v>22</v>
      </c>
      <c r="L3463" s="1" t="str">
        <f>HYPERLINK("https://files.afu.se/Downloads/Transcripts/0%20-%20Government/USA%20-%20NASA%20Johnson/2010 11 15 - NASA Johnson - Window on the World_U54RMrBK9vU - transcript (automated).pdf","Transcript Link")</f>
        <v>Transcript Link</v>
      </c>
      <c r="M3463" s="2" t="str">
        <f>HYPERLINK("https://files.afu.se/Downloads/Transcripts/0%20-%20Government/USA%20-%20NASA%20Johnson/2010 11 15 - NASA Johnson - Window on the World_U54RMrBK9vU - transcript (automated).pdf","Transcript Link")</f>
        <v>Transcript Link</v>
      </c>
    </row>
    <row r="3464" ht="180" spans="1:13">
      <c r="A3464" s="1" t="s">
        <v>15203</v>
      </c>
      <c r="B3464" s="1" t="s">
        <v>13</v>
      </c>
      <c r="C3464" s="4" t="s">
        <v>15204</v>
      </c>
      <c r="D3464" s="1" t="s">
        <v>15205</v>
      </c>
      <c r="E3464" s="1" t="s">
        <v>15206</v>
      </c>
      <c r="F3464" s="4" t="s">
        <v>17</v>
      </c>
      <c r="G3464" s="1" t="s">
        <v>18</v>
      </c>
      <c r="H3464" s="1" t="s">
        <v>19</v>
      </c>
      <c r="I3464" s="1" t="s">
        <v>20</v>
      </c>
      <c r="J3464" s="1" t="s">
        <v>15207</v>
      </c>
      <c r="K3464" s="1" t="s">
        <v>22</v>
      </c>
      <c r="L3464" s="1" t="str">
        <f>HYPERLINK("https://files.afu.se/Downloads/Transcripts/0%20-%20Government/USA%20-%20NASA%20Johnson/2010 10 29 - NASA Johnson - Robonaut 2  Getting Packed for Space Flight_T5eJYwktSmE - transcript (automated).pdf","Transcript Link")</f>
        <v>Transcript Link</v>
      </c>
      <c r="M3464" s="2" t="str">
        <f>HYPERLINK("https://files.afu.se/Downloads/Transcripts/0%20-%20Government/USA%20-%20NASA%20Johnson/2010 10 29 - NASA Johnson - Robonaut 2  Getting Packed for Space Flight_T5eJYwktSmE - transcript (automated).pdf","Transcript Link")</f>
        <v>Transcript Link</v>
      </c>
    </row>
    <row r="3465" ht="180" spans="1:13">
      <c r="A3465" s="1" t="s">
        <v>15203</v>
      </c>
      <c r="B3465" s="1" t="s">
        <v>13</v>
      </c>
      <c r="C3465" s="4" t="s">
        <v>15208</v>
      </c>
      <c r="D3465" s="1" t="s">
        <v>15209</v>
      </c>
      <c r="E3465" s="1" t="s">
        <v>15210</v>
      </c>
      <c r="F3465" s="4" t="s">
        <v>17</v>
      </c>
      <c r="G3465" s="1" t="s">
        <v>18</v>
      </c>
      <c r="H3465" s="1" t="s">
        <v>19</v>
      </c>
      <c r="I3465" s="1" t="s">
        <v>20</v>
      </c>
      <c r="J3465" s="1" t="s">
        <v>15211</v>
      </c>
      <c r="K3465" s="1" t="s">
        <v>22</v>
      </c>
      <c r="L3465" s="1" t="str">
        <f>HYPERLINK("https://files.afu.se/Downloads/Transcripts/0%20-%20Government/USA%20-%20NASA%20Johnson/2010 10 29 - NASA Johnson - NASA to Launch R2 to Join Space Station Crew_yMFlSAlBDRc - transcript (automated).pdf","Transcript Link")</f>
        <v>Transcript Link</v>
      </c>
      <c r="M3465" s="2" t="str">
        <f>HYPERLINK("https://files.afu.se/Downloads/Transcripts/0%20-%20Government/USA%20-%20NASA%20Johnson/2010 10 29 - NASA Johnson - NASA to Launch R2 to Join Space Station Crew_yMFlSAlBDRc - transcript (automated).pdf","Transcript Link")</f>
        <v>Transcript Link</v>
      </c>
    </row>
    <row r="3466" ht="180" spans="1:13">
      <c r="A3466" s="1" t="s">
        <v>15212</v>
      </c>
      <c r="B3466" s="1" t="s">
        <v>13</v>
      </c>
      <c r="C3466" s="4" t="s">
        <v>15213</v>
      </c>
      <c r="D3466" s="1" t="s">
        <v>15214</v>
      </c>
      <c r="E3466" s="1" t="s">
        <v>15215</v>
      </c>
      <c r="F3466" s="4" t="s">
        <v>17</v>
      </c>
      <c r="G3466" s="1" t="s">
        <v>18</v>
      </c>
      <c r="H3466" s="1" t="s">
        <v>19</v>
      </c>
      <c r="I3466" s="1" t="s">
        <v>20</v>
      </c>
      <c r="J3466" s="1" t="s">
        <v>15216</v>
      </c>
      <c r="K3466" s="1" t="s">
        <v>22</v>
      </c>
      <c r="L3466" s="1" t="str">
        <f>HYPERLINK("https://files.afu.se/Downloads/Transcripts/0%20-%20Government/USA%20-%20NASA%20Johnson/2010 10 10 - NASA Johnson - Soyuz TMA-01M Docks to Station_ZR55a8msWsw - transcript (automated).pdf","Transcript Link")</f>
        <v>Transcript Link</v>
      </c>
      <c r="M3466" s="2" t="str">
        <f>HYPERLINK("https://files.afu.se/Downloads/Transcripts/0%20-%20Government/USA%20-%20NASA%20Johnson/2010 10 10 - NASA Johnson - Soyuz TMA-01M Docks to Station_ZR55a8msWsw - transcript (automated).pdf","Transcript Link")</f>
        <v>Transcript Link</v>
      </c>
    </row>
    <row r="3467" ht="180" spans="1:13">
      <c r="A3467" s="1" t="s">
        <v>15217</v>
      </c>
      <c r="B3467" s="1" t="s">
        <v>13</v>
      </c>
      <c r="C3467" s="4" t="s">
        <v>15218</v>
      </c>
      <c r="D3467" s="1" t="s">
        <v>15219</v>
      </c>
      <c r="E3467" s="1" t="s">
        <v>15220</v>
      </c>
      <c r="F3467" s="4" t="s">
        <v>17</v>
      </c>
      <c r="G3467" s="1" t="s">
        <v>18</v>
      </c>
      <c r="H3467" s="1" t="s">
        <v>19</v>
      </c>
      <c r="I3467" s="1" t="s">
        <v>20</v>
      </c>
      <c r="J3467" s="1" t="s">
        <v>15221</v>
      </c>
      <c r="K3467" s="1" t="s">
        <v>22</v>
      </c>
      <c r="L3467" s="1" t="str">
        <f>HYPERLINK("https://files.afu.se/Downloads/Transcripts/0%20-%20Government/USA%20-%20NASA%20Johnson/2010 09 17 - NASA Johnson - Hurricane Karl_71y8fsYTnpI - transcript (automated).pdf","Transcript Link")</f>
        <v>Transcript Link</v>
      </c>
      <c r="M3467" s="2" t="str">
        <f>HYPERLINK("https://files.afu.se/Downloads/Transcripts/0%20-%20Government/USA%20-%20NASA%20Johnson/2010 09 17 - NASA Johnson - Hurricane Karl_71y8fsYTnpI - transcript (automated).pdf","Transcript Link")</f>
        <v>Transcript Link</v>
      </c>
    </row>
    <row r="3468" ht="180" spans="1:13">
      <c r="A3468" s="1" t="s">
        <v>15222</v>
      </c>
      <c r="B3468" s="1" t="s">
        <v>13</v>
      </c>
      <c r="C3468" s="4" t="s">
        <v>15223</v>
      </c>
      <c r="D3468" s="1" t="s">
        <v>15224</v>
      </c>
      <c r="E3468" s="1" t="s">
        <v>15225</v>
      </c>
      <c r="F3468" s="4" t="s">
        <v>17</v>
      </c>
      <c r="G3468" s="1" t="s">
        <v>18</v>
      </c>
      <c r="H3468" s="1" t="s">
        <v>19</v>
      </c>
      <c r="I3468" s="1" t="s">
        <v>20</v>
      </c>
      <c r="J3468" s="1" t="s">
        <v>15226</v>
      </c>
      <c r="K3468" s="1" t="s">
        <v>22</v>
      </c>
      <c r="L3468" s="1" t="str">
        <f>HYPERLINK("https://files.afu.se/Downloads/Transcripts/0%20-%20Government/USA%20-%20NASA%20Johnson/2010 09 10 - NASA Johnson - Station Resupply Ship Launches_b8AEuJpuFwk - transcript (automated).pdf","Transcript Link")</f>
        <v>Transcript Link</v>
      </c>
      <c r="M3468" s="2" t="str">
        <f>HYPERLINK("https://files.afu.se/Downloads/Transcripts/0%20-%20Government/USA%20-%20NASA%20Johnson/2010 09 10 - NASA Johnson - Station Resupply Ship Launches_b8AEuJpuFwk - transcript (automated).pdf","Transcript Link")</f>
        <v>Transcript Link</v>
      </c>
    </row>
    <row r="3469" ht="180" spans="1:13">
      <c r="A3469" s="1" t="s">
        <v>15227</v>
      </c>
      <c r="B3469" s="1" t="s">
        <v>13</v>
      </c>
      <c r="C3469" s="4" t="s">
        <v>15228</v>
      </c>
      <c r="D3469" s="1" t="s">
        <v>15229</v>
      </c>
      <c r="E3469" s="1" t="s">
        <v>15230</v>
      </c>
      <c r="F3469" s="4" t="s">
        <v>17</v>
      </c>
      <c r="G3469" s="1" t="s">
        <v>18</v>
      </c>
      <c r="H3469" s="1" t="s">
        <v>19</v>
      </c>
      <c r="I3469" s="1" t="s">
        <v>20</v>
      </c>
      <c r="J3469" s="1" t="s">
        <v>15231</v>
      </c>
      <c r="K3469" s="1" t="s">
        <v>22</v>
      </c>
      <c r="L3469" s="1" t="str">
        <f>HYPERLINK("https://files.afu.se/Downloads/Transcripts/0%20-%20Government/USA%20-%20NASA%20Johnson/2010 09 08 - NASA Johnson - Interview with Scott and Mark Kelly (PART 3)_2tJe8pKX4aY - transcript (automated).pdf","Transcript Link")</f>
        <v>Transcript Link</v>
      </c>
      <c r="M3469" s="2" t="str">
        <f>HYPERLINK("https://files.afu.se/Downloads/Transcripts/0%20-%20Government/USA%20-%20NASA%20Johnson/2010 09 08 - NASA Johnson - Interview with Scott and Mark Kelly (PART 3)_2tJe8pKX4aY - transcript (automated).pdf","Transcript Link")</f>
        <v>Transcript Link</v>
      </c>
    </row>
    <row r="3470" ht="180" spans="1:13">
      <c r="A3470" s="1" t="s">
        <v>15227</v>
      </c>
      <c r="B3470" s="1" t="s">
        <v>13</v>
      </c>
      <c r="C3470" s="4" t="s">
        <v>15232</v>
      </c>
      <c r="D3470" s="1" t="s">
        <v>15233</v>
      </c>
      <c r="E3470" s="1" t="s">
        <v>15230</v>
      </c>
      <c r="F3470" s="4" t="s">
        <v>17</v>
      </c>
      <c r="G3470" s="1" t="s">
        <v>18</v>
      </c>
      <c r="H3470" s="1" t="s">
        <v>19</v>
      </c>
      <c r="I3470" s="1" t="s">
        <v>20</v>
      </c>
      <c r="J3470" s="1" t="s">
        <v>15234</v>
      </c>
      <c r="K3470" s="1" t="s">
        <v>22</v>
      </c>
      <c r="L3470" s="1" t="str">
        <f>HYPERLINK("https://files.afu.se/Downloads/Transcripts/0%20-%20Government/USA%20-%20NASA%20Johnson/2010 09 08 - NASA Johnson - Interview with Scott and Mark Kelly (PART 5)_8jl8qmQ1Fzw - transcript (automated).pdf","Transcript Link")</f>
        <v>Transcript Link</v>
      </c>
      <c r="M3470" s="2" t="str">
        <f>HYPERLINK("https://files.afu.se/Downloads/Transcripts/0%20-%20Government/USA%20-%20NASA%20Johnson/2010 09 08 - NASA Johnson - Interview with Scott and Mark Kelly (PART 5)_8jl8qmQ1Fzw - transcript (automated).pdf","Transcript Link")</f>
        <v>Transcript Link</v>
      </c>
    </row>
    <row r="3471" ht="180" spans="1:13">
      <c r="A3471" s="1" t="s">
        <v>15227</v>
      </c>
      <c r="B3471" s="1" t="s">
        <v>13</v>
      </c>
      <c r="C3471" s="4" t="s">
        <v>15235</v>
      </c>
      <c r="D3471" s="1" t="s">
        <v>15236</v>
      </c>
      <c r="E3471" s="1" t="s">
        <v>15230</v>
      </c>
      <c r="F3471" s="4" t="s">
        <v>17</v>
      </c>
      <c r="G3471" s="1" t="s">
        <v>18</v>
      </c>
      <c r="H3471" s="1" t="s">
        <v>19</v>
      </c>
      <c r="I3471" s="1" t="s">
        <v>20</v>
      </c>
      <c r="J3471" s="1" t="s">
        <v>15237</v>
      </c>
      <c r="K3471" s="1" t="s">
        <v>22</v>
      </c>
      <c r="L3471" s="1" t="str">
        <f>HYPERLINK("https://files.afu.se/Downloads/Transcripts/0%20-%20Government/USA%20-%20NASA%20Johnson/2010 09 08 - NASA Johnson - Interview with Scott and Mark Kelly (PART 4)_PNaW0kSRots - transcript (automated).pdf","Transcript Link")</f>
        <v>Transcript Link</v>
      </c>
      <c r="M3471" s="2" t="str">
        <f>HYPERLINK("https://files.afu.se/Downloads/Transcripts/0%20-%20Government/USA%20-%20NASA%20Johnson/2010 09 08 - NASA Johnson - Interview with Scott and Mark Kelly (PART 4)_PNaW0kSRots - transcript (automated).pdf","Transcript Link")</f>
        <v>Transcript Link</v>
      </c>
    </row>
    <row r="3472" ht="180" spans="1:13">
      <c r="A3472" s="1" t="s">
        <v>15227</v>
      </c>
      <c r="B3472" s="1" t="s">
        <v>13</v>
      </c>
      <c r="C3472" s="4" t="s">
        <v>15238</v>
      </c>
      <c r="D3472" s="1" t="s">
        <v>15239</v>
      </c>
      <c r="E3472" s="1" t="s">
        <v>15230</v>
      </c>
      <c r="F3472" s="4" t="s">
        <v>17</v>
      </c>
      <c r="G3472" s="1" t="s">
        <v>18</v>
      </c>
      <c r="H3472" s="1" t="s">
        <v>19</v>
      </c>
      <c r="I3472" s="1" t="s">
        <v>20</v>
      </c>
      <c r="J3472" s="1" t="s">
        <v>15240</v>
      </c>
      <c r="K3472" s="1" t="s">
        <v>22</v>
      </c>
      <c r="L3472" s="1" t="str">
        <f>HYPERLINK("https://files.afu.se/Downloads/Transcripts/0%20-%20Government/USA%20-%20NASA%20Johnson/2010 09 08 - NASA Johnson - Interview with Scott and Mark Kelly (PART 6)_4HVWIlHzqgI - transcript (automated).pdf","Transcript Link")</f>
        <v>Transcript Link</v>
      </c>
      <c r="M3472" s="2" t="str">
        <f>HYPERLINK("https://files.afu.se/Downloads/Transcripts/0%20-%20Government/USA%20-%20NASA%20Johnson/2010 09 08 - NASA Johnson - Interview with Scott and Mark Kelly (PART 6)_4HVWIlHzqgI - transcript (automated).pdf","Transcript Link")</f>
        <v>Transcript Link</v>
      </c>
    </row>
    <row r="3473" ht="180" spans="1:13">
      <c r="A3473" s="1" t="s">
        <v>15227</v>
      </c>
      <c r="B3473" s="1" t="s">
        <v>13</v>
      </c>
      <c r="C3473" s="4" t="s">
        <v>15241</v>
      </c>
      <c r="D3473" s="1" t="s">
        <v>15242</v>
      </c>
      <c r="E3473" s="1" t="s">
        <v>15230</v>
      </c>
      <c r="F3473" s="4" t="s">
        <v>17</v>
      </c>
      <c r="G3473" s="1" t="s">
        <v>18</v>
      </c>
      <c r="H3473" s="1" t="s">
        <v>19</v>
      </c>
      <c r="I3473" s="1" t="s">
        <v>20</v>
      </c>
      <c r="J3473" s="1" t="s">
        <v>15243</v>
      </c>
      <c r="K3473" s="1" t="s">
        <v>22</v>
      </c>
      <c r="L3473" s="1" t="str">
        <f>HYPERLINK("https://files.afu.se/Downloads/Transcripts/0%20-%20Government/USA%20-%20NASA%20Johnson/2010 09 08 - NASA Johnson - Interview with Scott and Mark Kelly (PART 2)_xElnWh4drB4 - transcript (automated).pdf","Transcript Link")</f>
        <v>Transcript Link</v>
      </c>
      <c r="M3473" s="2" t="str">
        <f>HYPERLINK("https://files.afu.se/Downloads/Transcripts/0%20-%20Government/USA%20-%20NASA%20Johnson/2010 09 08 - NASA Johnson - Interview with Scott and Mark Kelly (PART 2)_xElnWh4drB4 - transcript (automated).pdf","Transcript Link")</f>
        <v>Transcript Link</v>
      </c>
    </row>
    <row r="3474" ht="180" spans="1:13">
      <c r="A3474" s="1" t="s">
        <v>15227</v>
      </c>
      <c r="B3474" s="1" t="s">
        <v>13</v>
      </c>
      <c r="C3474" s="4" t="s">
        <v>15244</v>
      </c>
      <c r="D3474" s="1" t="s">
        <v>15245</v>
      </c>
      <c r="E3474" s="1" t="s">
        <v>15230</v>
      </c>
      <c r="F3474" s="4" t="s">
        <v>17</v>
      </c>
      <c r="G3474" s="1" t="s">
        <v>18</v>
      </c>
      <c r="H3474" s="1" t="s">
        <v>19</v>
      </c>
      <c r="I3474" s="1" t="s">
        <v>20</v>
      </c>
      <c r="J3474" s="1" t="s">
        <v>15246</v>
      </c>
      <c r="K3474" s="1" t="s">
        <v>22</v>
      </c>
      <c r="L3474" s="1" t="str">
        <f>HYPERLINK("https://files.afu.se/Downloads/Transcripts/0%20-%20Government/USA%20-%20NASA%20Johnson/2010 09 08 - NASA Johnson - Interview with Scott and Mark Kelly (PART 1)_gsn0rAMpFlI - transcript (automated).pdf","Transcript Link")</f>
        <v>Transcript Link</v>
      </c>
      <c r="M3474" s="2" t="str">
        <f>HYPERLINK("https://files.afu.se/Downloads/Transcripts/0%20-%20Government/USA%20-%20NASA%20Johnson/2010 09 08 - NASA Johnson - Interview with Scott and Mark Kelly (PART 1)_gsn0rAMpFlI - transcript (automated).pdf","Transcript Link")</f>
        <v>Transcript Link</v>
      </c>
    </row>
    <row r="3475" ht="180" spans="1:13">
      <c r="A3475" s="1" t="s">
        <v>15247</v>
      </c>
      <c r="B3475" s="1" t="s">
        <v>13</v>
      </c>
      <c r="C3475" s="4" t="s">
        <v>15248</v>
      </c>
      <c r="D3475" s="1" t="s">
        <v>15249</v>
      </c>
      <c r="E3475" s="1" t="s">
        <v>15250</v>
      </c>
      <c r="F3475" s="4" t="s">
        <v>17</v>
      </c>
      <c r="G3475" s="1" t="s">
        <v>18</v>
      </c>
      <c r="H3475" s="1" t="s">
        <v>19</v>
      </c>
      <c r="I3475" s="1" t="s">
        <v>20</v>
      </c>
      <c r="J3475" s="1" t="s">
        <v>15251</v>
      </c>
      <c r="K3475" s="1" t="s">
        <v>22</v>
      </c>
      <c r="L3475" s="1" t="str">
        <f>HYPERLINK("https://files.afu.se/Downloads/Transcripts/0%20-%20Government/USA%20-%20NASA%20Johnson/2010 07 15 - NASA Johnson - Orion Progress - Spring 2010_SKDsLItyoWI - transcript (automated).pdf","Transcript Link")</f>
        <v>Transcript Link</v>
      </c>
      <c r="M3475" s="2" t="str">
        <f>HYPERLINK("https://files.afu.se/Downloads/Transcripts/0%20-%20Government/USA%20-%20NASA%20Johnson/2010 07 15 - NASA Johnson - Orion Progress - Spring 2010_SKDsLItyoWI - transcript (automated).pdf","Transcript Link")</f>
        <v>Transcript Link</v>
      </c>
    </row>
    <row r="3476" ht="180" spans="1:13">
      <c r="A3476" s="1" t="s">
        <v>15252</v>
      </c>
      <c r="B3476" s="1" t="s">
        <v>13</v>
      </c>
      <c r="C3476" s="4" t="s">
        <v>15253</v>
      </c>
      <c r="D3476" s="1" t="s">
        <v>15254</v>
      </c>
      <c r="E3476" s="1" t="s">
        <v>15255</v>
      </c>
      <c r="F3476" s="4" t="s">
        <v>17</v>
      </c>
      <c r="G3476" s="1" t="s">
        <v>18</v>
      </c>
      <c r="H3476" s="1" t="s">
        <v>19</v>
      </c>
      <c r="I3476" s="1" t="s">
        <v>20</v>
      </c>
      <c r="J3476" s="1" t="s">
        <v>15256</v>
      </c>
      <c r="K3476" s="1" t="s">
        <v>22</v>
      </c>
      <c r="L3476" s="1" t="str">
        <f>HYPERLINK("https://files.afu.se/Downloads/Transcripts/0%20-%20Government/USA%20-%20NASA%20Johnson/2010 06 22 - NASA Johnson - ESPN Interview with Tracy Caldwell Dyson_ApHRaGTGgwI - transcript (automated).pdf","Transcript Link")</f>
        <v>Transcript Link</v>
      </c>
      <c r="M3476" s="2" t="str">
        <f>HYPERLINK("https://files.afu.se/Downloads/Transcripts/0%20-%20Government/USA%20-%20NASA%20Johnson/2010 06 22 - NASA Johnson - ESPN Interview with Tracy Caldwell Dyson_ApHRaGTGgwI - transcript (automated).pdf","Transcript Link")</f>
        <v>Transcript Link</v>
      </c>
    </row>
    <row r="3477" ht="180" spans="1:13">
      <c r="A3477" s="1" t="s">
        <v>15257</v>
      </c>
      <c r="B3477" s="1" t="s">
        <v>13</v>
      </c>
      <c r="C3477" s="4" t="s">
        <v>15258</v>
      </c>
      <c r="D3477" s="1" t="s">
        <v>15259</v>
      </c>
      <c r="E3477" s="1" t="s">
        <v>15260</v>
      </c>
      <c r="F3477" s="4" t="s">
        <v>17</v>
      </c>
      <c r="G3477" s="1" t="s">
        <v>18</v>
      </c>
      <c r="H3477" s="1" t="s">
        <v>19</v>
      </c>
      <c r="I3477" s="1" t="s">
        <v>20</v>
      </c>
      <c r="J3477" s="1" t="s">
        <v>15261</v>
      </c>
      <c r="K3477" s="1" t="s">
        <v>22</v>
      </c>
      <c r="L3477" s="1" t="str">
        <f>HYPERLINK("https://files.afu.se/Downloads/Transcripts/0%20-%20Government/USA%20-%20NASA%20Johnson/2010 05 25 - NASA Johnson - STS-132 Mission Video Highlights_Ji-jSN402Qs - transcript (automated).pdf","Transcript Link")</f>
        <v>Transcript Link</v>
      </c>
      <c r="M3477" s="2" t="str">
        <f>HYPERLINK("https://files.afu.se/Downloads/Transcripts/0%20-%20Government/USA%20-%20NASA%20Johnson/2010 05 25 - NASA Johnson - STS-132 Mission Video Highlights_Ji-jSN402Qs - transcript (automated).pdf","Transcript Link")</f>
        <v>Transcript Link</v>
      </c>
    </row>
    <row r="3478" ht="180" spans="1:13">
      <c r="A3478" s="1" t="s">
        <v>15257</v>
      </c>
      <c r="B3478" s="1" t="s">
        <v>13</v>
      </c>
      <c r="C3478" s="4" t="s">
        <v>15262</v>
      </c>
      <c r="D3478" s="1" t="s">
        <v>15263</v>
      </c>
      <c r="E3478" s="1" t="s">
        <v>15264</v>
      </c>
      <c r="F3478" s="4" t="s">
        <v>17</v>
      </c>
      <c r="G3478" s="1" t="s">
        <v>18</v>
      </c>
      <c r="H3478" s="1" t="s">
        <v>19</v>
      </c>
      <c r="I3478" s="1" t="s">
        <v>20</v>
      </c>
      <c r="J3478" s="1" t="s">
        <v>15265</v>
      </c>
      <c r="K3478" s="1" t="s">
        <v>22</v>
      </c>
      <c r="L3478" s="1" t="str">
        <f>HYPERLINK("https://files.afu.se/Downloads/Transcripts/0%20-%20Government/USA%20-%20NASA%20Johnson/2010 05 25 - NASA Johnson - STS-132 Ascent Highlights_mitoR2I7P_o - transcript (automated).pdf","Transcript Link")</f>
        <v>Transcript Link</v>
      </c>
      <c r="M3478" s="2" t="str">
        <f>HYPERLINK("https://files.afu.se/Downloads/Transcripts/0%20-%20Government/USA%20-%20NASA%20Johnson/2010 05 25 - NASA Johnson - STS-132 Ascent Highlights_mitoR2I7P_o - transcript (automated).pdf","Transcript Link")</f>
        <v>Transcript Link</v>
      </c>
    </row>
    <row r="3479" ht="255" spans="1:13">
      <c r="A3479" s="1" t="s">
        <v>15257</v>
      </c>
      <c r="B3479" s="1" t="s">
        <v>13</v>
      </c>
      <c r="C3479" s="4" t="s">
        <v>15266</v>
      </c>
      <c r="D3479" s="1" t="s">
        <v>15267</v>
      </c>
      <c r="E3479" s="1" t="s">
        <v>15268</v>
      </c>
      <c r="F3479" s="4" t="s">
        <v>17</v>
      </c>
      <c r="G3479" s="1" t="s">
        <v>18</v>
      </c>
      <c r="H3479" s="1" t="s">
        <v>19</v>
      </c>
      <c r="I3479" s="1" t="s">
        <v>20</v>
      </c>
      <c r="J3479" s="1" t="s">
        <v>15269</v>
      </c>
      <c r="K3479" s="1" t="s">
        <v>22</v>
      </c>
      <c r="L3479" s="1" t="str">
        <f>HYPERLINK("https://files.afu.se/Downloads/Transcripts/0%20-%20Government/USA%20-%20NASA%20Johnson/2010 05 25 - NASA Johnson - The Window Observational Research Facility on the International Space Station (PART 2)_FN9yr-pBP4M - transcript (automated).pdf","Transcript Link")</f>
        <v>Transcript Link</v>
      </c>
      <c r="M3479" s="2" t="str">
        <f>HYPERLINK("https://files.afu.se/Downloads/Transcripts/0%20-%20Government/USA%20-%20NASA%20Johnson/2010 05 25 - NASA Johnson - The Window Observational Research Facility on the International Space Station (PART 2)_FN9yr-pBP4M - transcript (automated).pdf","Transcript Link")</f>
        <v>Transcript Link</v>
      </c>
    </row>
    <row r="3480" ht="255" spans="1:13">
      <c r="A3480" s="1" t="s">
        <v>15257</v>
      </c>
      <c r="B3480" s="1" t="s">
        <v>13</v>
      </c>
      <c r="C3480" s="4" t="s">
        <v>15270</v>
      </c>
      <c r="D3480" s="1" t="s">
        <v>15271</v>
      </c>
      <c r="E3480" s="1" t="s">
        <v>15272</v>
      </c>
      <c r="F3480" s="4" t="s">
        <v>17</v>
      </c>
      <c r="G3480" s="1" t="s">
        <v>18</v>
      </c>
      <c r="H3480" s="1" t="s">
        <v>19</v>
      </c>
      <c r="I3480" s="1" t="s">
        <v>20</v>
      </c>
      <c r="J3480" s="1" t="s">
        <v>15273</v>
      </c>
      <c r="K3480" s="1" t="s">
        <v>22</v>
      </c>
      <c r="L3480" s="1" t="str">
        <f>HYPERLINK("https://files.afu.se/Downloads/Transcripts/0%20-%20Government/USA%20-%20NASA%20Johnson/2010 05 25 - NASA Johnson - The Window Observational Research Facility on the International Space Station (PART 1)_5AAGiMPMwqI - transcript (automated).pdf","Transcript Link")</f>
        <v>Transcript Link</v>
      </c>
      <c r="M3480" s="2" t="str">
        <f>HYPERLINK("https://files.afu.se/Downloads/Transcripts/0%20-%20Government/USA%20-%20NASA%20Johnson/2010 05 25 - NASA Johnson - The Window Observational Research Facility on the International Space Station (PART 1)_5AAGiMPMwqI - transcript (automated).pdf","Transcript Link")</f>
        <v>Transcript Link</v>
      </c>
    </row>
    <row r="3481" ht="180" spans="1:13">
      <c r="A3481" s="1" t="s">
        <v>15274</v>
      </c>
      <c r="B3481" s="1" t="s">
        <v>13</v>
      </c>
      <c r="C3481" s="4" t="s">
        <v>15275</v>
      </c>
      <c r="D3481" s="1" t="s">
        <v>15276</v>
      </c>
      <c r="E3481" s="1" t="s">
        <v>15277</v>
      </c>
      <c r="F3481" s="4" t="s">
        <v>17</v>
      </c>
      <c r="G3481" s="1" t="s">
        <v>18</v>
      </c>
      <c r="H3481" s="1" t="s">
        <v>19</v>
      </c>
      <c r="I3481" s="1" t="s">
        <v>20</v>
      </c>
      <c r="J3481" s="1" t="s">
        <v>15278</v>
      </c>
      <c r="K3481" s="1" t="s">
        <v>22</v>
      </c>
      <c r="L3481" s="1" t="str">
        <f>HYPERLINK("https://files.afu.se/Downloads/Transcripts/0%20-%20Government/USA%20-%20NASA%20Johnson/2010 05 23 - NASA Johnson - STS-132 Flyaround_g5Cz7wpidPg - transcript (automated).pdf","Transcript Link")</f>
        <v>Transcript Link</v>
      </c>
      <c r="M3481" s="2" t="str">
        <f>HYPERLINK("https://files.afu.se/Downloads/Transcripts/0%20-%20Government/USA%20-%20NASA%20Johnson/2010 05 23 - NASA Johnson - STS-132 Flyaround_g5Cz7wpidPg - transcript (automated).pdf","Transcript Link")</f>
        <v>Transcript Link</v>
      </c>
    </row>
    <row r="3482" ht="180" spans="1:13">
      <c r="A3482" s="1" t="s">
        <v>15279</v>
      </c>
      <c r="B3482" s="1" t="s">
        <v>13</v>
      </c>
      <c r="C3482" s="4" t="s">
        <v>15280</v>
      </c>
      <c r="D3482" s="1" t="s">
        <v>15281</v>
      </c>
      <c r="E3482" s="1" t="s">
        <v>15282</v>
      </c>
      <c r="F3482" s="4" t="s">
        <v>17</v>
      </c>
      <c r="G3482" s="1" t="s">
        <v>18</v>
      </c>
      <c r="H3482" s="1" t="s">
        <v>19</v>
      </c>
      <c r="I3482" s="1" t="s">
        <v>20</v>
      </c>
      <c r="J3482" s="1" t="s">
        <v>15283</v>
      </c>
      <c r="K3482" s="1" t="s">
        <v>22</v>
      </c>
      <c r="L3482" s="1" t="str">
        <f>HYPERLINK("https://files.afu.se/Downloads/Transcripts/0%20-%20Government/USA%20-%20NASA%20Johnson/2010 05 04 - NASA Johnson - The Road to Pad Abort 1_XNFDY-DcXDs - transcript (automated).pdf","Transcript Link")</f>
        <v>Transcript Link</v>
      </c>
      <c r="M3482" s="2" t="str">
        <f>HYPERLINK("https://files.afu.se/Downloads/Transcripts/0%20-%20Government/USA%20-%20NASA%20Johnson/2010 05 04 - NASA Johnson - The Road to Pad Abort 1_XNFDY-DcXDs - transcript (automated).pdf","Transcript Link")</f>
        <v>Transcript Link</v>
      </c>
    </row>
    <row r="3483" ht="210" spans="1:13">
      <c r="A3483" s="1" t="s">
        <v>15284</v>
      </c>
      <c r="B3483" s="1" t="s">
        <v>13</v>
      </c>
      <c r="C3483" s="4" t="s">
        <v>15285</v>
      </c>
      <c r="D3483" s="1" t="s">
        <v>15286</v>
      </c>
      <c r="E3483" s="1" t="s">
        <v>15287</v>
      </c>
      <c r="F3483" s="4" t="s">
        <v>17</v>
      </c>
      <c r="G3483" s="1" t="s">
        <v>18</v>
      </c>
      <c r="H3483" s="1" t="s">
        <v>19</v>
      </c>
      <c r="I3483" s="1" t="s">
        <v>20</v>
      </c>
      <c r="J3483" s="1" t="s">
        <v>15288</v>
      </c>
      <c r="K3483" s="1" t="s">
        <v>22</v>
      </c>
      <c r="L3483" s="1" t="str">
        <f>HYPERLINK("https://files.afu.se/Downloads/Transcripts/0%20-%20Government/USA%20-%20NASA%20Johnson/2010 05 03 - NASA Johnson - STS-132 Mission Overview_ofii_P7XS_E - transcript (automated).pdf","Transcript Link")</f>
        <v>Transcript Link</v>
      </c>
      <c r="M3483" s="2" t="str">
        <f>HYPERLINK("https://files.afu.se/Downloads/Transcripts/0%20-%20Government/USA%20-%20NASA%20Johnson/2010 05 03 - NASA Johnson - STS-132 Mission Overview_ofii_P7XS_E - transcript (automated).pdf","Transcript Link")</f>
        <v>Transcript Link</v>
      </c>
    </row>
    <row r="3484" ht="180" spans="1:13">
      <c r="A3484" s="1" t="s">
        <v>15289</v>
      </c>
      <c r="B3484" s="1" t="s">
        <v>13</v>
      </c>
      <c r="C3484" s="4" t="s">
        <v>15290</v>
      </c>
      <c r="D3484" s="1" t="s">
        <v>15291</v>
      </c>
      <c r="E3484" s="1" t="s">
        <v>15292</v>
      </c>
      <c r="F3484" s="4" t="s">
        <v>17</v>
      </c>
      <c r="G3484" s="1" t="s">
        <v>18</v>
      </c>
      <c r="H3484" s="1" t="s">
        <v>19</v>
      </c>
      <c r="I3484" s="1" t="s">
        <v>20</v>
      </c>
      <c r="J3484" s="1" t="s">
        <v>15293</v>
      </c>
      <c r="K3484" s="1" t="s">
        <v>22</v>
      </c>
      <c r="L3484" s="1" t="str">
        <f>HYPERLINK("https://files.afu.se/Downloads/Transcripts/0%20-%20Government/USA%20-%20NASA%20Johnson/2010 04 19 - NASA Johnson - STS-131 Mission Video Highlights_f9TLiR0LbGY - transcript (automated).pdf","Transcript Link")</f>
        <v>Transcript Link</v>
      </c>
      <c r="M3484" s="2" t="str">
        <f>HYPERLINK("https://files.afu.se/Downloads/Transcripts/0%20-%20Government/USA%20-%20NASA%20Johnson/2010 04 19 - NASA Johnson - STS-131 Mission Video Highlights_f9TLiR0LbGY - transcript (automated).pdf","Transcript Link")</f>
        <v>Transcript Link</v>
      </c>
    </row>
    <row r="3485" ht="180" spans="1:13">
      <c r="A3485" s="1" t="s">
        <v>15294</v>
      </c>
      <c r="B3485" s="1" t="s">
        <v>13</v>
      </c>
      <c r="C3485" s="4" t="s">
        <v>15295</v>
      </c>
      <c r="D3485" s="1" t="s">
        <v>15296</v>
      </c>
      <c r="E3485" s="1" t="s">
        <v>15297</v>
      </c>
      <c r="F3485" s="4" t="s">
        <v>17</v>
      </c>
      <c r="G3485" s="1" t="s">
        <v>18</v>
      </c>
      <c r="H3485" s="1" t="s">
        <v>19</v>
      </c>
      <c r="I3485" s="1" t="s">
        <v>20</v>
      </c>
      <c r="J3485" s="1" t="s">
        <v>15298</v>
      </c>
      <c r="K3485" s="1" t="s">
        <v>22</v>
      </c>
      <c r="L3485" s="1" t="str">
        <f>HYPERLINK("https://files.afu.se/Downloads/Transcripts/0%20-%20Government/USA%20-%20NASA%20Johnson/2010 04 16 - NASA Johnson - STS-131 Ascent Highlights_qFWZERMNC1k - transcript (automated).pdf","Transcript Link")</f>
        <v>Transcript Link</v>
      </c>
      <c r="M3485" s="2" t="str">
        <f>HYPERLINK("https://files.afu.se/Downloads/Transcripts/0%20-%20Government/USA%20-%20NASA%20Johnson/2010 04 16 - NASA Johnson - STS-131 Ascent Highlights_qFWZERMNC1k - transcript (automated).pdf","Transcript Link")</f>
        <v>Transcript Link</v>
      </c>
    </row>
    <row r="3486" ht="180" spans="1:13">
      <c r="A3486" s="1" t="s">
        <v>15299</v>
      </c>
      <c r="B3486" s="1" t="s">
        <v>13</v>
      </c>
      <c r="C3486" s="4" t="s">
        <v>15300</v>
      </c>
      <c r="D3486" s="1" t="s">
        <v>15301</v>
      </c>
      <c r="E3486" s="1" t="s">
        <v>15302</v>
      </c>
      <c r="F3486" s="4" t="s">
        <v>17</v>
      </c>
      <c r="G3486" s="1" t="s">
        <v>18</v>
      </c>
      <c r="H3486" s="1" t="s">
        <v>19</v>
      </c>
      <c r="I3486" s="1" t="s">
        <v>20</v>
      </c>
      <c r="J3486" s="1" t="s">
        <v>15303</v>
      </c>
      <c r="K3486" s="1" t="s">
        <v>22</v>
      </c>
      <c r="L3486" s="1" t="str">
        <f>HYPERLINK("https://files.afu.se/Downloads/Transcripts/0%20-%20Government/USA%20-%20NASA%20Johnson/2010 04 07 - NASA Johnson - Station Crew Welcomes STS-131_Kl1X4lcl9c0 - transcript (automated).pdf","Transcript Link")</f>
        <v>Transcript Link</v>
      </c>
      <c r="M3486" s="2" t="str">
        <f>HYPERLINK("https://files.afu.se/Downloads/Transcripts/0%20-%20Government/USA%20-%20NASA%20Johnson/2010 04 07 - NASA Johnson - Station Crew Welcomes STS-131_Kl1X4lcl9c0 - transcript (automated).pdf","Transcript Link")</f>
        <v>Transcript Link</v>
      </c>
    </row>
    <row r="3487" ht="180" spans="1:13">
      <c r="A3487" s="1" t="s">
        <v>15299</v>
      </c>
      <c r="B3487" s="1" t="s">
        <v>13</v>
      </c>
      <c r="C3487" s="4" t="s">
        <v>15304</v>
      </c>
      <c r="D3487" s="1" t="s">
        <v>15305</v>
      </c>
      <c r="E3487" s="1" t="s">
        <v>15306</v>
      </c>
      <c r="F3487" s="4" t="s">
        <v>17</v>
      </c>
      <c r="G3487" s="1" t="s">
        <v>18</v>
      </c>
      <c r="H3487" s="1" t="s">
        <v>19</v>
      </c>
      <c r="I3487" s="1" t="s">
        <v>20</v>
      </c>
      <c r="J3487" s="1" t="s">
        <v>15307</v>
      </c>
      <c r="K3487" s="1" t="s">
        <v>22</v>
      </c>
      <c r="L3487" s="1" t="str">
        <f>HYPERLINK("https://files.afu.se/Downloads/Transcripts/0%20-%20Government/USA%20-%20NASA%20Johnson/2010 04 07 - NASA Johnson - STS-131 Rendezvous Pitch Maneuver_5AlBhxYKRLw - transcript (automated).pdf","Transcript Link")</f>
        <v>Transcript Link</v>
      </c>
      <c r="M3487" s="2" t="str">
        <f>HYPERLINK("https://files.afu.se/Downloads/Transcripts/0%20-%20Government/USA%20-%20NASA%20Johnson/2010 04 07 - NASA Johnson - STS-131 Rendezvous Pitch Maneuver_5AlBhxYKRLw - transcript (automated).pdf","Transcript Link")</f>
        <v>Transcript Link</v>
      </c>
    </row>
    <row r="3488" ht="210" spans="1:13">
      <c r="A3488" s="1" t="s">
        <v>15308</v>
      </c>
      <c r="B3488" s="1" t="s">
        <v>13</v>
      </c>
      <c r="C3488" s="4" t="s">
        <v>15309</v>
      </c>
      <c r="D3488" s="1" t="s">
        <v>15310</v>
      </c>
      <c r="E3488" s="1" t="s">
        <v>15311</v>
      </c>
      <c r="F3488" s="4" t="s">
        <v>17</v>
      </c>
      <c r="G3488" s="1" t="s">
        <v>18</v>
      </c>
      <c r="H3488" s="1" t="s">
        <v>19</v>
      </c>
      <c r="I3488" s="1" t="s">
        <v>20</v>
      </c>
      <c r="J3488" s="1" t="s">
        <v>15312</v>
      </c>
      <c r="K3488" s="1" t="s">
        <v>22</v>
      </c>
      <c r="L3488" s="1" t="str">
        <f>HYPERLINK("https://files.afu.se/Downloads/Transcripts/0%20-%20Government/USA%20-%20NASA%20Johnson/2010 03 23 - NASA Johnson - The NASA Intern Experience (with help from a space suit technician)_9MYHb2u6yGc - transcript (automated).pdf","Transcript Link")</f>
        <v>Transcript Link</v>
      </c>
      <c r="M3488" s="2" t="str">
        <f>HYPERLINK("https://files.afu.se/Downloads/Transcripts/0%20-%20Government/USA%20-%20NASA%20Johnson/2010 03 23 - NASA Johnson - The NASA Intern Experience (with help from a space suit technician)_9MYHb2u6yGc - transcript (automated).pdf","Transcript Link")</f>
        <v>Transcript Link</v>
      </c>
    </row>
    <row r="3489" ht="210" spans="1:13">
      <c r="A3489" s="1" t="s">
        <v>15313</v>
      </c>
      <c r="B3489" s="1" t="s">
        <v>13</v>
      </c>
      <c r="C3489" s="4" t="s">
        <v>15314</v>
      </c>
      <c r="D3489" s="1" t="s">
        <v>15315</v>
      </c>
      <c r="E3489" s="1" t="s">
        <v>15311</v>
      </c>
      <c r="F3489" s="4" t="s">
        <v>17</v>
      </c>
      <c r="G3489" s="1" t="s">
        <v>18</v>
      </c>
      <c r="H3489" s="1" t="s">
        <v>19</v>
      </c>
      <c r="I3489" s="1" t="s">
        <v>20</v>
      </c>
      <c r="J3489" s="1" t="s">
        <v>15316</v>
      </c>
      <c r="K3489" s="1" t="s">
        <v>22</v>
      </c>
      <c r="L3489" s="1" t="str">
        <f>HYPERLINK("https://files.afu.se/Downloads/Transcripts/0%20-%20Government/USA%20-%20NASA%20Johnson/2010 03 15 - NASA Johnson - The NASA Intern Experience (with help from a Food Lab scientist)_xa-VwQczPrE - transcript (automated).pdf","Transcript Link")</f>
        <v>Transcript Link</v>
      </c>
      <c r="M3489" s="2" t="str">
        <f>HYPERLINK("https://files.afu.se/Downloads/Transcripts/0%20-%20Government/USA%20-%20NASA%20Johnson/2010 03 15 - NASA Johnson - The NASA Intern Experience (with help from a Food Lab scientist)_xa-VwQczPrE - transcript (automated).pdf","Transcript Link")</f>
        <v>Transcript Link</v>
      </c>
    </row>
    <row r="3490" ht="210" spans="1:13">
      <c r="A3490" s="1" t="s">
        <v>15317</v>
      </c>
      <c r="B3490" s="1" t="s">
        <v>13</v>
      </c>
      <c r="C3490" s="4" t="s">
        <v>15318</v>
      </c>
      <c r="D3490" s="1" t="s">
        <v>15319</v>
      </c>
      <c r="E3490" s="1" t="s">
        <v>15311</v>
      </c>
      <c r="F3490" s="4" t="s">
        <v>17</v>
      </c>
      <c r="G3490" s="1" t="s">
        <v>18</v>
      </c>
      <c r="H3490" s="1" t="s">
        <v>19</v>
      </c>
      <c r="I3490" s="1" t="s">
        <v>20</v>
      </c>
      <c r="J3490" s="1" t="s">
        <v>15320</v>
      </c>
      <c r="K3490" s="1" t="s">
        <v>22</v>
      </c>
      <c r="L3490" s="1" t="str">
        <f>HYPERLINK("https://files.afu.se/Downloads/Transcripts/0%20-%20Government/USA%20-%20NASA%20Johnson/2010 03 08 - NASA Johnson - The NASA Intern Experience (with help from a flight director)_Kpvrr11rF3U - transcript (automated).pdf","Transcript Link")</f>
        <v>Transcript Link</v>
      </c>
      <c r="M3490" s="2" t="str">
        <f>HYPERLINK("https://files.afu.se/Downloads/Transcripts/0%20-%20Government/USA%20-%20NASA%20Johnson/2010 03 08 - NASA Johnson - The NASA Intern Experience (with help from a flight director)_Kpvrr11rF3U - transcript (automated).pdf","Transcript Link")</f>
        <v>Transcript Link</v>
      </c>
    </row>
    <row r="3491" ht="210" spans="1:13">
      <c r="A3491" s="1" t="s">
        <v>15321</v>
      </c>
      <c r="B3491" s="1" t="s">
        <v>13</v>
      </c>
      <c r="C3491" s="4" t="s">
        <v>15322</v>
      </c>
      <c r="D3491" s="1" t="s">
        <v>15323</v>
      </c>
      <c r="E3491" s="1" t="s">
        <v>15311</v>
      </c>
      <c r="F3491" s="4" t="s">
        <v>17</v>
      </c>
      <c r="G3491" s="1" t="s">
        <v>18</v>
      </c>
      <c r="H3491" s="1" t="s">
        <v>19</v>
      </c>
      <c r="I3491" s="1" t="s">
        <v>20</v>
      </c>
      <c r="J3491" s="1" t="s">
        <v>15324</v>
      </c>
      <c r="K3491" s="1" t="s">
        <v>22</v>
      </c>
      <c r="L3491" s="1" t="str">
        <f>HYPERLINK("https://files.afu.se/Downloads/Transcripts/0%20-%20Government/USA%20-%20NASA%20Johnson/2010 02 26 - NASA Johnson - The NASA Intern Experience (with help from an astronaut)_2kVjsS0O22U - transcript (automated).pdf","Transcript Link")</f>
        <v>Transcript Link</v>
      </c>
      <c r="M3491" s="2" t="str">
        <f>HYPERLINK("https://files.afu.se/Downloads/Transcripts/0%20-%20Government/USA%20-%20NASA%20Johnson/2010 02 26 - NASA Johnson - The NASA Intern Experience (with help from an astronaut)_2kVjsS0O22U - transcript (automated).pdf","Transcript Link")</f>
        <v>Transcript Link</v>
      </c>
    </row>
    <row r="3492" ht="180" spans="1:13">
      <c r="A3492" s="1" t="s">
        <v>15325</v>
      </c>
      <c r="B3492" s="1" t="s">
        <v>13</v>
      </c>
      <c r="C3492" s="4" t="s">
        <v>15326</v>
      </c>
      <c r="D3492" s="1" t="s">
        <v>15327</v>
      </c>
      <c r="E3492" s="1" t="s">
        <v>15328</v>
      </c>
      <c r="F3492" s="4" t="s">
        <v>17</v>
      </c>
      <c r="G3492" s="1" t="s">
        <v>18</v>
      </c>
      <c r="H3492" s="1" t="s">
        <v>19</v>
      </c>
      <c r="I3492" s="1" t="s">
        <v>20</v>
      </c>
      <c r="J3492" s="1" t="s">
        <v>15329</v>
      </c>
      <c r="K3492" s="1" t="s">
        <v>22</v>
      </c>
      <c r="L3492" s="1" t="str">
        <f>HYPERLINK("https://files.afu.se/Downloads/Transcripts/0%20-%20Government/USA%20-%20NASA%20Johnson/2010 02 20 - NASA Johnson - STS-130 Flyaround  -- Views of the Space Shuttle_BmWlftaQFP8 - transcript (automated).pdf","Transcript Link")</f>
        <v>Transcript Link</v>
      </c>
      <c r="M3492" s="2" t="str">
        <f>HYPERLINK("https://files.afu.se/Downloads/Transcripts/0%20-%20Government/USA%20-%20NASA%20Johnson/2010 02 20 - NASA Johnson - STS-130 Flyaround  -- Views of the Space Shuttle_BmWlftaQFP8 - transcript (automated).pdf","Transcript Link")</f>
        <v>Transcript Link</v>
      </c>
    </row>
    <row r="3493" ht="180" spans="1:13">
      <c r="A3493" s="1" t="s">
        <v>15325</v>
      </c>
      <c r="B3493" s="1" t="s">
        <v>13</v>
      </c>
      <c r="C3493" s="4" t="s">
        <v>15330</v>
      </c>
      <c r="D3493" s="1" t="s">
        <v>15331</v>
      </c>
      <c r="E3493" s="1" t="s">
        <v>15332</v>
      </c>
      <c r="F3493" s="4" t="s">
        <v>17</v>
      </c>
      <c r="G3493" s="1" t="s">
        <v>18</v>
      </c>
      <c r="H3493" s="1" t="s">
        <v>19</v>
      </c>
      <c r="I3493" s="1" t="s">
        <v>20</v>
      </c>
      <c r="J3493" s="1" t="s">
        <v>15333</v>
      </c>
      <c r="K3493" s="1" t="s">
        <v>22</v>
      </c>
      <c r="L3493" s="1" t="str">
        <f>HYPERLINK("https://files.afu.se/Downloads/Transcripts/0%20-%20Government/USA%20-%20NASA%20Johnson/2010 02 20 - NASA Johnson - STS-130 Flyaround  -- Views of the International Space Station_NK-szgxCqx0 - transcript (automated).pdf","Transcript Link")</f>
        <v>Transcript Link</v>
      </c>
      <c r="M3493" s="2" t="str">
        <f>HYPERLINK("https://files.afu.se/Downloads/Transcripts/0%20-%20Government/USA%20-%20NASA%20Johnson/2010 02 20 - NASA Johnson - STS-130 Flyaround  -- Views of the International Space Station_NK-szgxCqx0 - transcript (automated).pdf","Transcript Link")</f>
        <v>Transcript Link</v>
      </c>
    </row>
    <row r="3494" ht="180" spans="1:13">
      <c r="A3494" s="1" t="s">
        <v>15334</v>
      </c>
      <c r="B3494" s="1" t="s">
        <v>13</v>
      </c>
      <c r="C3494" s="4" t="s">
        <v>15335</v>
      </c>
      <c r="D3494" s="1" t="s">
        <v>15336</v>
      </c>
      <c r="E3494" s="1" t="s">
        <v>15337</v>
      </c>
      <c r="F3494" s="4" t="s">
        <v>17</v>
      </c>
      <c r="G3494" s="1" t="s">
        <v>18</v>
      </c>
      <c r="H3494" s="1" t="s">
        <v>19</v>
      </c>
      <c r="I3494" s="1" t="s">
        <v>20</v>
      </c>
      <c r="J3494" s="1" t="s">
        <v>15338</v>
      </c>
      <c r="K3494" s="1" t="s">
        <v>22</v>
      </c>
      <c r="L3494" s="1" t="str">
        <f>HYPERLINK("https://files.afu.se/Downloads/Transcripts/0%20-%20Government/USA%20-%20NASA%20Johnson/2010 02 19 - NASA Johnson - STS-130 Mission Video Highlights_EPzL4latdmk - transcript (automated).pdf","Transcript Link")</f>
        <v>Transcript Link</v>
      </c>
      <c r="M3494" s="2" t="str">
        <f>HYPERLINK("https://files.afu.se/Downloads/Transcripts/0%20-%20Government/USA%20-%20NASA%20Johnson/2010 02 19 - NASA Johnson - STS-130 Mission Video Highlights_EPzL4latdmk - transcript (automated).pdf","Transcript Link")</f>
        <v>Transcript Link</v>
      </c>
    </row>
    <row r="3495" ht="180" spans="1:13">
      <c r="A3495" s="1" t="s">
        <v>15339</v>
      </c>
      <c r="B3495" s="1" t="s">
        <v>13</v>
      </c>
      <c r="C3495" s="4" t="s">
        <v>15340</v>
      </c>
      <c r="D3495" s="1" t="s">
        <v>15341</v>
      </c>
      <c r="E3495" s="1" t="s">
        <v>15342</v>
      </c>
      <c r="F3495" s="4" t="s">
        <v>17</v>
      </c>
      <c r="G3495" s="1" t="s">
        <v>18</v>
      </c>
      <c r="H3495" s="1" t="s">
        <v>19</v>
      </c>
      <c r="I3495" s="1" t="s">
        <v>20</v>
      </c>
      <c r="J3495" s="1" t="s">
        <v>15343</v>
      </c>
      <c r="K3495" s="1" t="s">
        <v>22</v>
      </c>
      <c r="L3495" s="1" t="str">
        <f>HYPERLINK("https://files.afu.se/Downloads/Transcripts/0%20-%20Government/USA%20-%20NASA%20Johnson/2010 02 18 - NASA Johnson - STS-130 Ascent Highlights_VEDLASr3QN0 - transcript (automated).pdf","Transcript Link")</f>
        <v>Transcript Link</v>
      </c>
      <c r="M3495" s="2" t="str">
        <f>HYPERLINK("https://files.afu.se/Downloads/Transcripts/0%20-%20Government/USA%20-%20NASA%20Johnson/2010 02 18 - NASA Johnson - STS-130 Ascent Highlights_VEDLASr3QN0 - transcript (automated).pdf","Transcript Link")</f>
        <v>Transcript Link</v>
      </c>
    </row>
    <row r="3496" ht="180" spans="1:13">
      <c r="A3496" s="1" t="s">
        <v>15344</v>
      </c>
      <c r="B3496" s="1" t="s">
        <v>13</v>
      </c>
      <c r="C3496" s="4" t="s">
        <v>15345</v>
      </c>
      <c r="D3496" s="1" t="s">
        <v>15346</v>
      </c>
      <c r="E3496" s="1" t="s">
        <v>15347</v>
      </c>
      <c r="F3496" s="4" t="s">
        <v>17</v>
      </c>
      <c r="G3496" s="1" t="s">
        <v>18</v>
      </c>
      <c r="H3496" s="1" t="s">
        <v>19</v>
      </c>
      <c r="I3496" s="1" t="s">
        <v>20</v>
      </c>
      <c r="J3496" s="1" t="s">
        <v>15348</v>
      </c>
      <c r="K3496" s="1" t="s">
        <v>22</v>
      </c>
      <c r="L3496" s="1" t="str">
        <f>HYPERLINK("https://files.afu.se/Downloads/Transcripts/0%20-%20Government/USA%20-%20NASA%20Johnson/2010 02 13 - NASA Johnson - STS-130 Twitter Event_ZPA4OEsUCPk - transcript (automated).pdf","Transcript Link")</f>
        <v>Transcript Link</v>
      </c>
      <c r="M3496" s="2" t="str">
        <f>HYPERLINK("https://files.afu.se/Downloads/Transcripts/0%20-%20Government/USA%20-%20NASA%20Johnson/2010 02 13 - NASA Johnson - STS-130 Twitter Event_ZPA4OEsUCPk - transcript (automated).pdf","Transcript Link")</f>
        <v>Transcript Link</v>
      </c>
    </row>
    <row r="3497" ht="180" spans="1:13">
      <c r="A3497" s="1" t="s">
        <v>15349</v>
      </c>
      <c r="B3497" s="1" t="s">
        <v>13</v>
      </c>
      <c r="C3497" s="4" t="s">
        <v>15350</v>
      </c>
      <c r="D3497" s="1" t="s">
        <v>15351</v>
      </c>
      <c r="E3497" s="1" t="s">
        <v>15352</v>
      </c>
      <c r="F3497" s="4" t="s">
        <v>17</v>
      </c>
      <c r="G3497" s="1" t="s">
        <v>18</v>
      </c>
      <c r="H3497" s="1" t="s">
        <v>19</v>
      </c>
      <c r="I3497" s="1" t="s">
        <v>20</v>
      </c>
      <c r="J3497" s="1" t="s">
        <v>15353</v>
      </c>
      <c r="K3497" s="1" t="s">
        <v>22</v>
      </c>
      <c r="L3497" s="1" t="str">
        <f>HYPERLINK("https://files.afu.se/Downloads/Transcripts/0%20-%20Government/USA%20-%20NASA%20Johnson/2010 02 10 - NASA Johnson - STS-130 RPM Maneuver_LIyANs-h__Q - transcript (automated).pdf","Transcript Link")</f>
        <v>Transcript Link</v>
      </c>
      <c r="M3497" s="2" t="str">
        <f>HYPERLINK("https://files.afu.se/Downloads/Transcripts/0%20-%20Government/USA%20-%20NASA%20Johnson/2010 02 10 - NASA Johnson - STS-130 RPM Maneuver_LIyANs-h__Q - transcript (automated).pdf","Transcript Link")</f>
        <v>Transcript Link</v>
      </c>
    </row>
    <row r="3498" ht="180" spans="1:13">
      <c r="A3498" s="1" t="s">
        <v>15354</v>
      </c>
      <c r="B3498" s="1" t="s">
        <v>13</v>
      </c>
      <c r="C3498" s="4" t="s">
        <v>15355</v>
      </c>
      <c r="D3498" s="1" t="s">
        <v>15356</v>
      </c>
      <c r="E3498" s="1" t="s">
        <v>15357</v>
      </c>
      <c r="F3498" s="4" t="s">
        <v>17</v>
      </c>
      <c r="G3498" s="1" t="s">
        <v>18</v>
      </c>
      <c r="H3498" s="1" t="s">
        <v>19</v>
      </c>
      <c r="I3498" s="1" t="s">
        <v>20</v>
      </c>
      <c r="J3498" s="1" t="s">
        <v>15358</v>
      </c>
      <c r="K3498" s="1" t="s">
        <v>22</v>
      </c>
      <c r="L3498" s="1" t="str">
        <f>HYPERLINK("https://files.afu.se/Downloads/Transcripts/0%20-%20Government/USA%20-%20NASA%20Johnson/2010 02 03 - NASA Johnson - STS-130 Mission Overview_1nk3QB3g7dk - transcript (automated).pdf","Transcript Link")</f>
        <v>Transcript Link</v>
      </c>
      <c r="M3498" s="2" t="str">
        <f>HYPERLINK("https://files.afu.se/Downloads/Transcripts/0%20-%20Government/USA%20-%20NASA%20Johnson/2010 02 03 - NASA Johnson - STS-130 Mission Overview_1nk3QB3g7dk - transcript (automated).pdf","Transcript Link")</f>
        <v>Transcript Link</v>
      </c>
    </row>
    <row r="3499" ht="180" spans="1:13">
      <c r="A3499" s="1" t="s">
        <v>15359</v>
      </c>
      <c r="B3499" s="1" t="s">
        <v>13</v>
      </c>
      <c r="C3499" s="4" t="s">
        <v>15360</v>
      </c>
      <c r="D3499" s="1" t="s">
        <v>15361</v>
      </c>
      <c r="E3499" s="1" t="s">
        <v>15362</v>
      </c>
      <c r="F3499" s="4" t="s">
        <v>17</v>
      </c>
      <c r="G3499" s="1" t="s">
        <v>18</v>
      </c>
      <c r="H3499" s="1" t="s">
        <v>19</v>
      </c>
      <c r="I3499" s="1" t="s">
        <v>20</v>
      </c>
      <c r="J3499" s="1" t="s">
        <v>15363</v>
      </c>
      <c r="K3499" s="1" t="s">
        <v>22</v>
      </c>
      <c r="L3499" s="1" t="str">
        <f>HYPERLINK("https://files.afu.se/Downloads/Transcripts/0%20-%20Government/USA%20-%20NASA%20Johnson/2010 01 29 - NASA Johnson - Space Station Reboost_sI8ldDyr3G0 - transcript (automated).pdf","Transcript Link")</f>
        <v>Transcript Link</v>
      </c>
      <c r="M3499" s="2" t="str">
        <f>HYPERLINK("https://files.afu.se/Downloads/Transcripts/0%20-%20Government/USA%20-%20NASA%20Johnson/2010 01 29 - NASA Johnson - Space Station Reboost_sI8ldDyr3G0 - transcript (automated).pdf","Transcript Link")</f>
        <v>Transcript Link</v>
      </c>
    </row>
    <row r="3500" ht="180" spans="1:13">
      <c r="A3500" s="1" t="s">
        <v>15364</v>
      </c>
      <c r="B3500" s="1" t="s">
        <v>13</v>
      </c>
      <c r="C3500" s="4" t="s">
        <v>15365</v>
      </c>
      <c r="D3500" s="1" t="s">
        <v>15366</v>
      </c>
      <c r="E3500" s="1" t="s">
        <v>15367</v>
      </c>
      <c r="F3500" s="4" t="s">
        <v>17</v>
      </c>
      <c r="G3500" s="1" t="s">
        <v>18</v>
      </c>
      <c r="H3500" s="1" t="s">
        <v>19</v>
      </c>
      <c r="I3500" s="1" t="s">
        <v>20</v>
      </c>
      <c r="J3500" s="1" t="s">
        <v>15368</v>
      </c>
      <c r="K3500" s="1" t="s">
        <v>22</v>
      </c>
      <c r="L3500" s="1" t="str">
        <f>HYPERLINK("https://files.afu.se/Downloads/Transcripts/0%20-%20Government/USA%20-%20NASA%20Johnson/2010 01 27 - NASA Johnson - Astronaut Jeff Williams Answers More of Your Questions_17Lt0qCxtvs - transcript (automated).pdf","Transcript Link")</f>
        <v>Transcript Link</v>
      </c>
      <c r="M3500" s="2" t="str">
        <f>HYPERLINK("https://files.afu.se/Downloads/Transcripts/0%20-%20Government/USA%20-%20NASA%20Johnson/2010 01 27 - NASA Johnson - Astronaut Jeff Williams Answers More of Your Questions_17Lt0qCxtvs - transcript (automated).pdf","Transcript Link")</f>
        <v>Transcript Link</v>
      </c>
    </row>
    <row r="3501" ht="180" spans="1:13">
      <c r="A3501" s="1" t="s">
        <v>15364</v>
      </c>
      <c r="B3501" s="1" t="s">
        <v>13</v>
      </c>
      <c r="C3501" s="4" t="s">
        <v>15369</v>
      </c>
      <c r="D3501" s="1" t="s">
        <v>15370</v>
      </c>
      <c r="E3501" s="1" t="s">
        <v>15371</v>
      </c>
      <c r="F3501" s="4" t="s">
        <v>17</v>
      </c>
      <c r="G3501" s="1" t="s">
        <v>18</v>
      </c>
      <c r="H3501" s="1" t="s">
        <v>19</v>
      </c>
      <c r="I3501" s="1" t="s">
        <v>20</v>
      </c>
      <c r="J3501" s="1" t="s">
        <v>15372</v>
      </c>
      <c r="K3501" s="1" t="s">
        <v>22</v>
      </c>
      <c r="L3501" s="1" t="str">
        <f>HYPERLINK("https://files.afu.se/Downloads/Transcripts/0%20-%20Government/USA%20-%20NASA%20Johnson/2010 01 27 - NASA Johnson - Astronaut Jeff Williams Answers Your Questions_rU2IrjRidvc - transcript (automated).pdf","Transcript Link")</f>
        <v>Transcript Link</v>
      </c>
      <c r="M3501" s="2" t="str">
        <f>HYPERLINK("https://files.afu.se/Downloads/Transcripts/0%20-%20Government/USA%20-%20NASA%20Johnson/2010 01 27 - NASA Johnson - Astronaut Jeff Williams Answers Your Questions_rU2IrjRidvc - transcript (automated).pdf","Transcript Link")</f>
        <v>Transcript Link</v>
      </c>
    </row>
    <row r="3502" ht="180" spans="1:13">
      <c r="A3502" s="1" t="s">
        <v>15373</v>
      </c>
      <c r="B3502" s="1" t="s">
        <v>13</v>
      </c>
      <c r="C3502" s="4" t="s">
        <v>15374</v>
      </c>
      <c r="D3502" s="1" t="s">
        <v>15375</v>
      </c>
      <c r="E3502" s="1" t="s">
        <v>15376</v>
      </c>
      <c r="F3502" s="4" t="s">
        <v>17</v>
      </c>
      <c r="G3502" s="1" t="s">
        <v>18</v>
      </c>
      <c r="H3502" s="1" t="s">
        <v>19</v>
      </c>
      <c r="I3502" s="1" t="s">
        <v>20</v>
      </c>
      <c r="J3502" s="1" t="s">
        <v>15377</v>
      </c>
      <c r="K3502" s="1" t="s">
        <v>22</v>
      </c>
      <c r="L3502" s="1" t="str">
        <f>HYPERLINK("https://files.afu.se/Downloads/Transcripts/0%20-%20Government/USA%20-%20NASA%20Johnson/2010 01 26 - NASA Johnson - Astronauts Access Web From Space_313FjEI1kvQ - transcript (automated).pdf","Transcript Link")</f>
        <v>Transcript Link</v>
      </c>
      <c r="M3502" s="2" t="str">
        <f>HYPERLINK("https://files.afu.se/Downloads/Transcripts/0%20-%20Government/USA%20-%20NASA%20Johnson/2010 01 26 - NASA Johnson - Astronauts Access Web From Space_313FjEI1kvQ - transcript (automated).pdf","Transcript Link")</f>
        <v>Transcript Link</v>
      </c>
    </row>
    <row r="3503" ht="180" spans="1:13">
      <c r="A3503" s="1" t="s">
        <v>15378</v>
      </c>
      <c r="B3503" s="1" t="s">
        <v>13</v>
      </c>
      <c r="C3503" s="4" t="s">
        <v>15379</v>
      </c>
      <c r="D3503" s="1" t="s">
        <v>15380</v>
      </c>
      <c r="E3503" s="1" t="s">
        <v>15381</v>
      </c>
      <c r="F3503" s="4" t="s">
        <v>17</v>
      </c>
      <c r="G3503" s="1" t="s">
        <v>18</v>
      </c>
      <c r="H3503" s="1" t="s">
        <v>19</v>
      </c>
      <c r="I3503" s="1" t="s">
        <v>20</v>
      </c>
      <c r="J3503" s="1" t="s">
        <v>15382</v>
      </c>
      <c r="K3503" s="1" t="s">
        <v>22</v>
      </c>
      <c r="L3503" s="1" t="str">
        <f>HYPERLINK("https://files.afu.se/Downloads/Transcripts/0%20-%20Government/USA%20-%20NASA%20Johnson/2009 12 21 - NASA Johnson - Constellation Year in Review 2009_rELAhnWG98U - transcript (automated).pdf","Transcript Link")</f>
        <v>Transcript Link</v>
      </c>
      <c r="M3503" s="2" t="str">
        <f>HYPERLINK("https://files.afu.se/Downloads/Transcripts/0%20-%20Government/USA%20-%20NASA%20Johnson/2009 12 21 - NASA Johnson - Constellation Year in Review 2009_rELAhnWG98U - transcript (automated).pdf","Transcript Link")</f>
        <v>Transcript Link</v>
      </c>
    </row>
    <row r="3504" ht="180" spans="1:13">
      <c r="A3504" s="1" t="s">
        <v>15383</v>
      </c>
      <c r="B3504" s="1" t="s">
        <v>13</v>
      </c>
      <c r="C3504" s="4" t="s">
        <v>15384</v>
      </c>
      <c r="D3504" s="1" t="s">
        <v>15385</v>
      </c>
      <c r="E3504" s="1" t="s">
        <v>15386</v>
      </c>
      <c r="F3504" s="4" t="s">
        <v>17</v>
      </c>
      <c r="G3504" s="1" t="s">
        <v>18</v>
      </c>
      <c r="H3504" s="1" t="s">
        <v>19</v>
      </c>
      <c r="I3504" s="1" t="s">
        <v>20</v>
      </c>
      <c r="J3504" s="1" t="s">
        <v>15387</v>
      </c>
      <c r="K3504" s="1" t="s">
        <v>22</v>
      </c>
      <c r="L3504" s="1" t="str">
        <f>HYPERLINK("https://files.afu.se/Downloads/Transcripts/0%20-%20Government/USA%20-%20NASA%20Johnson/2009 12 16 - NASA Johnson - In This Orbital Outpost...We Are the Experiment__hR7dcPWW2c - transcript (automated).pdf","Transcript Link")</f>
        <v>Transcript Link</v>
      </c>
      <c r="M3504" s="2" t="str">
        <f>HYPERLINK("https://files.afu.se/Downloads/Transcripts/0%20-%20Government/USA%20-%20NASA%20Johnson/2009 12 16 - NASA Johnson - In This Orbital Outpost...We Are the Experiment__hR7dcPWW2c - transcript (automated).pdf","Transcript Link")</f>
        <v>Transcript Link</v>
      </c>
    </row>
    <row r="3505" ht="180" spans="1:13">
      <c r="A3505" s="1" t="s">
        <v>15388</v>
      </c>
      <c r="B3505" s="1" t="s">
        <v>13</v>
      </c>
      <c r="C3505" s="4" t="s">
        <v>15389</v>
      </c>
      <c r="D3505" s="1" t="s">
        <v>15390</v>
      </c>
      <c r="E3505" s="1" t="s">
        <v>15391</v>
      </c>
      <c r="F3505" s="4" t="s">
        <v>17</v>
      </c>
      <c r="G3505" s="1" t="s">
        <v>18</v>
      </c>
      <c r="H3505" s="1" t="s">
        <v>19</v>
      </c>
      <c r="I3505" s="1" t="s">
        <v>20</v>
      </c>
      <c r="J3505" s="1" t="s">
        <v>15392</v>
      </c>
      <c r="K3505" s="1" t="s">
        <v>22</v>
      </c>
      <c r="L3505" s="1" t="str">
        <f>HYPERLINK("https://files.afu.se/Downloads/Transcripts/0%20-%20Government/USA%20-%20NASA%20Johnson/2009 12 02 - NASA Johnson - STS-129 Ascent Highlights_ewLLBalvehg - transcript (automated).pdf","Transcript Link")</f>
        <v>Transcript Link</v>
      </c>
      <c r="M3505" s="2" t="str">
        <f>HYPERLINK("https://files.afu.se/Downloads/Transcripts/0%20-%20Government/USA%20-%20NASA%20Johnson/2009 12 02 - NASA Johnson - STS-129 Ascent Highlights_ewLLBalvehg - transcript (automated).pdf","Transcript Link")</f>
        <v>Transcript Link</v>
      </c>
    </row>
    <row r="3506" ht="180" spans="1:13">
      <c r="A3506" s="1" t="s">
        <v>15393</v>
      </c>
      <c r="B3506" s="1" t="s">
        <v>13</v>
      </c>
      <c r="C3506" s="4" t="s">
        <v>15394</v>
      </c>
      <c r="D3506" s="1" t="s">
        <v>15395</v>
      </c>
      <c r="E3506" s="1" t="s">
        <v>15396</v>
      </c>
      <c r="F3506" s="4" t="s">
        <v>17</v>
      </c>
      <c r="G3506" s="1" t="s">
        <v>18</v>
      </c>
      <c r="H3506" s="1" t="s">
        <v>19</v>
      </c>
      <c r="I3506" s="1" t="s">
        <v>20</v>
      </c>
      <c r="J3506" s="1" t="s">
        <v>15397</v>
      </c>
      <c r="K3506" s="1" t="s">
        <v>22</v>
      </c>
      <c r="L3506" s="1" t="str">
        <f>HYPERLINK("https://files.afu.se/Downloads/Transcripts/0%20-%20Government/USA%20-%20NASA%20Johnson/2009 12 01 - NASA Johnson - Expedition 21 Undocking_WN0dIloI2yA - transcript (automated).pdf","Transcript Link")</f>
        <v>Transcript Link</v>
      </c>
      <c r="M3506" s="2" t="str">
        <f>HYPERLINK("https://files.afu.se/Downloads/Transcripts/0%20-%20Government/USA%20-%20NASA%20Johnson/2009 12 01 - NASA Johnson - Expedition 21 Undocking_WN0dIloI2yA - transcript (automated).pdf","Transcript Link")</f>
        <v>Transcript Link</v>
      </c>
    </row>
    <row r="3507" ht="180" spans="1:13">
      <c r="A3507" s="1" t="s">
        <v>15398</v>
      </c>
      <c r="B3507" s="1" t="s">
        <v>13</v>
      </c>
      <c r="C3507" s="4" t="s">
        <v>15399</v>
      </c>
      <c r="D3507" s="1" t="s">
        <v>15400</v>
      </c>
      <c r="E3507" s="1" t="s">
        <v>15401</v>
      </c>
      <c r="F3507" s="4" t="s">
        <v>17</v>
      </c>
      <c r="G3507" s="1" t="s">
        <v>18</v>
      </c>
      <c r="H3507" s="1" t="s">
        <v>19</v>
      </c>
      <c r="I3507" s="1" t="s">
        <v>20</v>
      </c>
      <c r="J3507" s="1" t="s">
        <v>15402</v>
      </c>
      <c r="K3507" s="1" t="s">
        <v>22</v>
      </c>
      <c r="L3507" s="1" t="str">
        <f>HYPERLINK("https://files.afu.se/Downloads/Transcripts/0%20-%20Government/USA%20-%20NASA%20Johnson/2009 11 25 - NASA Johnson - STS-129 Space Shuttle Atlantis ISS Fly Around_C4vncl39wuw - transcript (automated).pdf","Transcript Link")</f>
        <v>Transcript Link</v>
      </c>
      <c r="M3507" s="2" t="str">
        <f>HYPERLINK("https://files.afu.se/Downloads/Transcripts/0%20-%20Government/USA%20-%20NASA%20Johnson/2009 11 25 - NASA Johnson - STS-129 Space Shuttle Atlantis ISS Fly Around_C4vncl39wuw - transcript (automated).pdf","Transcript Link")</f>
        <v>Transcript Link</v>
      </c>
    </row>
    <row r="3508" ht="180" spans="1:13">
      <c r="A3508" s="1" t="s">
        <v>15403</v>
      </c>
      <c r="B3508" s="1" t="s">
        <v>13</v>
      </c>
      <c r="C3508" s="4" t="s">
        <v>15404</v>
      </c>
      <c r="D3508" s="1" t="s">
        <v>15405</v>
      </c>
      <c r="E3508" s="1" t="s">
        <v>15406</v>
      </c>
      <c r="F3508" s="4" t="s">
        <v>17</v>
      </c>
      <c r="G3508" s="1" t="s">
        <v>18</v>
      </c>
      <c r="H3508" s="1" t="s">
        <v>19</v>
      </c>
      <c r="I3508" s="1" t="s">
        <v>20</v>
      </c>
      <c r="J3508" s="1" t="s">
        <v>15407</v>
      </c>
      <c r="K3508" s="1" t="s">
        <v>22</v>
      </c>
      <c r="L3508" s="1" t="str">
        <f>HYPERLINK("https://files.afu.se/Downloads/Transcripts/0%20-%20Government/USA%20-%20NASA%20Johnson/2009 11 12 - NASA Johnson - Ask Astronaut Jeff Williams  Post a Video Response_o1__kyee0qM - transcript (automated).pdf","Transcript Link")</f>
        <v>Transcript Link</v>
      </c>
      <c r="M3508" s="2" t="str">
        <f>HYPERLINK("https://files.afu.se/Downloads/Transcripts/0%20-%20Government/USA%20-%20NASA%20Johnson/2009 11 12 - NASA Johnson - Ask Astronaut Jeff Williams  Post a Video Response_o1__kyee0qM - transcript (automated).pdf","Transcript Link")</f>
        <v>Transcript Link</v>
      </c>
    </row>
    <row r="3509" ht="180" spans="1:13">
      <c r="A3509" s="1" t="s">
        <v>15408</v>
      </c>
      <c r="B3509" s="1" t="s">
        <v>13</v>
      </c>
      <c r="C3509" s="4" t="s">
        <v>15409</v>
      </c>
      <c r="D3509" s="1" t="s">
        <v>15410</v>
      </c>
      <c r="F3509" s="4" t="s">
        <v>17</v>
      </c>
      <c r="G3509" s="1" t="s">
        <v>18</v>
      </c>
      <c r="H3509" s="1" t="s">
        <v>19</v>
      </c>
      <c r="I3509" s="1" t="s">
        <v>20</v>
      </c>
      <c r="J3509" s="1" t="s">
        <v>15411</v>
      </c>
      <c r="K3509" s="1" t="s">
        <v>22</v>
      </c>
      <c r="L3509" s="1" t="str">
        <f>HYPERLINK("https://files.afu.se/Downloads/Transcripts/0%20-%20Government/USA%20-%20NASA%20Johnson/2009 11 09 - NASA Johnson - 129 Behind The Scenes_1IUK_LhyUu4 - transcript (automated).pdf","Transcript Link")</f>
        <v>Transcript Link</v>
      </c>
      <c r="M3509" s="2" t="str">
        <f>HYPERLINK("https://files.afu.se/Downloads/Transcripts/0%20-%20Government/USA%20-%20NASA%20Johnson/2009 11 09 - NASA Johnson - 129 Behind The Scenes_1IUK_LhyUu4 - transcript (automated).pdf","Transcript Link")</f>
        <v>Transcript Link</v>
      </c>
    </row>
    <row r="3510" ht="180" spans="1:13">
      <c r="A3510" s="1" t="s">
        <v>15408</v>
      </c>
      <c r="B3510" s="1" t="s">
        <v>13</v>
      </c>
      <c r="C3510" s="4" t="s">
        <v>15412</v>
      </c>
      <c r="D3510" s="1" t="s">
        <v>15413</v>
      </c>
      <c r="F3510" s="4" t="s">
        <v>17</v>
      </c>
      <c r="G3510" s="1" t="s">
        <v>18</v>
      </c>
      <c r="H3510" s="1" t="s">
        <v>19</v>
      </c>
      <c r="I3510" s="1" t="s">
        <v>20</v>
      </c>
      <c r="J3510" s="1" t="s">
        <v>15414</v>
      </c>
      <c r="K3510" s="1" t="s">
        <v>22</v>
      </c>
      <c r="L3510" s="1" t="str">
        <f>HYPERLINK("https://files.afu.se/Downloads/Transcripts/0%20-%20Government/USA%20-%20NASA%20Johnson/2009 11 09 - NASA Johnson - STS-129 Behind The Scenes_8X0axpmSMvg - transcript (automated).pdf","Transcript Link")</f>
        <v>Transcript Link</v>
      </c>
      <c r="M3510" s="2" t="str">
        <f>HYPERLINK("https://files.afu.se/Downloads/Transcripts/0%20-%20Government/USA%20-%20NASA%20Johnson/2009 11 09 - NASA Johnson - STS-129 Behind The Scenes_8X0axpmSMvg - transcript (automated).pdf","Transcript Link")</f>
        <v>Transcript Link</v>
      </c>
    </row>
    <row r="3511" ht="180" spans="1:13">
      <c r="A3511" s="1" t="s">
        <v>15408</v>
      </c>
      <c r="B3511" s="1" t="s">
        <v>13</v>
      </c>
      <c r="C3511" s="4" t="s">
        <v>15415</v>
      </c>
      <c r="D3511" s="1" t="s">
        <v>15416</v>
      </c>
      <c r="F3511" s="4" t="s">
        <v>17</v>
      </c>
      <c r="G3511" s="1" t="s">
        <v>18</v>
      </c>
      <c r="H3511" s="1" t="s">
        <v>19</v>
      </c>
      <c r="I3511" s="1" t="s">
        <v>20</v>
      </c>
      <c r="J3511" s="1" t="s">
        <v>15417</v>
      </c>
      <c r="K3511" s="1" t="s">
        <v>22</v>
      </c>
      <c r="L3511" s="1" t="str">
        <f>HYPERLINK("https://files.afu.se/Downloads/Transcripts/0%20-%20Government/USA%20-%20NASA%20Johnson/2009 11 09 - NASA Johnson - STS-129 The Bench Review_Wa3qupfqu6M - transcript (automated).pdf","Transcript Link")</f>
        <v>Transcript Link</v>
      </c>
      <c r="M3511" s="2" t="str">
        <f>HYPERLINK("https://files.afu.se/Downloads/Transcripts/0%20-%20Government/USA%20-%20NASA%20Johnson/2009 11 09 - NASA Johnson - STS-129 The Bench Review_Wa3qupfqu6M - transcript (automated).pdf","Transcript Link")</f>
        <v>Transcript Link</v>
      </c>
    </row>
    <row r="3512" ht="180" spans="1:13">
      <c r="A3512" s="1" t="s">
        <v>15408</v>
      </c>
      <c r="B3512" s="1" t="s">
        <v>13</v>
      </c>
      <c r="C3512" s="4" t="s">
        <v>15418</v>
      </c>
      <c r="D3512" s="1" t="s">
        <v>15413</v>
      </c>
      <c r="F3512" s="4" t="s">
        <v>17</v>
      </c>
      <c r="G3512" s="1" t="s">
        <v>18</v>
      </c>
      <c r="H3512" s="1" t="s">
        <v>19</v>
      </c>
      <c r="I3512" s="1" t="s">
        <v>20</v>
      </c>
      <c r="J3512" s="1" t="s">
        <v>15419</v>
      </c>
      <c r="K3512" s="1" t="s">
        <v>22</v>
      </c>
      <c r="L3512" s="1" t="str">
        <f>HYPERLINK("https://files.afu.se/Downloads/Transcripts/0%20-%20Government/USA%20-%20NASA%20Johnson/2009 11 09 - NASA Johnson - STS-129 Behind The Scenes_TuBWInVYoFs - transcript (automated).pdf","Transcript Link")</f>
        <v>Transcript Link</v>
      </c>
      <c r="M3512" s="2" t="str">
        <f>HYPERLINK("https://files.afu.se/Downloads/Transcripts/0%20-%20Government/USA%20-%20NASA%20Johnson/2009 11 09 - NASA Johnson - STS-129 Behind The Scenes_TuBWInVYoFs - transcript (automated).pdf","Transcript Link")</f>
        <v>Transcript Link</v>
      </c>
    </row>
    <row r="3513" ht="180" spans="1:13">
      <c r="A3513" s="1" t="s">
        <v>15408</v>
      </c>
      <c r="B3513" s="1" t="s">
        <v>13</v>
      </c>
      <c r="C3513" s="4" t="s">
        <v>15420</v>
      </c>
      <c r="D3513" s="1" t="s">
        <v>15413</v>
      </c>
      <c r="F3513" s="4" t="s">
        <v>17</v>
      </c>
      <c r="G3513" s="1" t="s">
        <v>18</v>
      </c>
      <c r="H3513" s="1" t="s">
        <v>19</v>
      </c>
      <c r="I3513" s="1" t="s">
        <v>20</v>
      </c>
      <c r="J3513" s="1" t="s">
        <v>15421</v>
      </c>
      <c r="K3513" s="1" t="s">
        <v>22</v>
      </c>
      <c r="L3513" s="1" t="str">
        <f>HYPERLINK("https://files.afu.se/Downloads/Transcripts/0%20-%20Government/USA%20-%20NASA%20Johnson/2009 11 09 - NASA Johnson - STS-129 Behind The Scenes_IxeaUK5yAgU - transcript (automated).pdf","Transcript Link")</f>
        <v>Transcript Link</v>
      </c>
      <c r="M3513" s="2" t="str">
        <f>HYPERLINK("https://files.afu.se/Downloads/Transcripts/0%20-%20Government/USA%20-%20NASA%20Johnson/2009 11 09 - NASA Johnson - STS-129 Behind The Scenes_IxeaUK5yAgU - transcript (automated).pdf","Transcript Link")</f>
        <v>Transcript Link</v>
      </c>
    </row>
    <row r="3514" ht="180" spans="1:13">
      <c r="A3514" s="1" t="s">
        <v>15408</v>
      </c>
      <c r="B3514" s="1" t="s">
        <v>13</v>
      </c>
      <c r="C3514" s="4" t="s">
        <v>15422</v>
      </c>
      <c r="D3514" s="1" t="s">
        <v>15423</v>
      </c>
      <c r="F3514" s="4" t="s">
        <v>17</v>
      </c>
      <c r="G3514" s="1" t="s">
        <v>18</v>
      </c>
      <c r="H3514" s="1" t="s">
        <v>19</v>
      </c>
      <c r="I3514" s="1" t="s">
        <v>20</v>
      </c>
      <c r="J3514" s="1" t="s">
        <v>15424</v>
      </c>
      <c r="K3514" s="1" t="s">
        <v>22</v>
      </c>
      <c r="L3514" s="1" t="str">
        <f>HYPERLINK("https://files.afu.se/Downloads/Transcripts/0%20-%20Government/USA%20-%20NASA%20Johnson/2009 11 09 - NASA Johnson - STS 129 Determination_GdSbweadVi0 - transcript (automated).pdf","Transcript Link")</f>
        <v>Transcript Link</v>
      </c>
      <c r="M3514" s="2" t="str">
        <f>HYPERLINK("https://files.afu.se/Downloads/Transcripts/0%20-%20Government/USA%20-%20NASA%20Johnson/2009 11 09 - NASA Johnson - STS 129 Determination_GdSbweadVi0 - transcript (automated).pdf","Transcript Link")</f>
        <v>Transcript Link</v>
      </c>
    </row>
    <row r="3515" ht="180" spans="1:13">
      <c r="A3515" s="1" t="s">
        <v>15408</v>
      </c>
      <c r="B3515" s="1" t="s">
        <v>13</v>
      </c>
      <c r="C3515" s="4" t="s">
        <v>15425</v>
      </c>
      <c r="D3515" s="1" t="s">
        <v>15426</v>
      </c>
      <c r="F3515" s="4" t="s">
        <v>17</v>
      </c>
      <c r="G3515" s="1" t="s">
        <v>18</v>
      </c>
      <c r="H3515" s="1" t="s">
        <v>19</v>
      </c>
      <c r="I3515" s="1" t="s">
        <v>20</v>
      </c>
      <c r="J3515" s="1" t="s">
        <v>15427</v>
      </c>
      <c r="K3515" s="1" t="s">
        <v>22</v>
      </c>
      <c r="L3515" s="1" t="str">
        <f>HYPERLINK("https://files.afu.se/Downloads/Transcripts/0%20-%20Government/USA%20-%20NASA%20Johnson/2009 11 09 - NASA Johnson - STS 129 Prep &amp; Post_Tw029AAzjR4 - transcript (automated).pdf","Transcript Link")</f>
        <v>Transcript Link</v>
      </c>
      <c r="M3515" s="2" t="str">
        <f>HYPERLINK("https://files.afu.se/Downloads/Transcripts/0%20-%20Government/USA%20-%20NASA%20Johnson/2009 11 09 - NASA Johnson - STS 129 Prep &amp; Post_Tw029AAzjR4 - transcript (automated).pdf","Transcript Link")</f>
        <v>Transcript Link</v>
      </c>
    </row>
    <row r="3516" ht="180" spans="1:13">
      <c r="A3516" s="1" t="s">
        <v>15408</v>
      </c>
      <c r="B3516" s="1" t="s">
        <v>13</v>
      </c>
      <c r="C3516" s="4" t="s">
        <v>15428</v>
      </c>
      <c r="D3516" s="1" t="s">
        <v>15429</v>
      </c>
      <c r="F3516" s="4" t="s">
        <v>17</v>
      </c>
      <c r="G3516" s="1" t="s">
        <v>18</v>
      </c>
      <c r="H3516" s="1" t="s">
        <v>19</v>
      </c>
      <c r="I3516" s="1" t="s">
        <v>20</v>
      </c>
      <c r="J3516" s="1" t="s">
        <v>15430</v>
      </c>
      <c r="K3516" s="1" t="s">
        <v>22</v>
      </c>
      <c r="L3516" s="1" t="str">
        <f>HYPERLINK("https://files.afu.se/Downloads/Transcripts/0%20-%20Government/USA%20-%20NASA%20Johnson/2009 11 09 - NASA Johnson - STS-129 Suit Up and The Hall_9C_ZO26hnW0 - transcript (automated).pdf","Transcript Link")</f>
        <v>Transcript Link</v>
      </c>
      <c r="M3516" s="2" t="str">
        <f>HYPERLINK("https://files.afu.se/Downloads/Transcripts/0%20-%20Government/USA%20-%20NASA%20Johnson/2009 11 09 - NASA Johnson - STS-129 Suit Up and The Hall_9C_ZO26hnW0 - transcript (automated).pdf","Transcript Link")</f>
        <v>Transcript Link</v>
      </c>
    </row>
    <row r="3517" ht="180" spans="1:13">
      <c r="A3517" s="1" t="s">
        <v>15431</v>
      </c>
      <c r="B3517" s="1" t="s">
        <v>13</v>
      </c>
      <c r="C3517" s="4" t="s">
        <v>15432</v>
      </c>
      <c r="D3517" s="1" t="s">
        <v>15433</v>
      </c>
      <c r="E3517" s="1" t="s">
        <v>15433</v>
      </c>
      <c r="F3517" s="4" t="s">
        <v>17</v>
      </c>
      <c r="G3517" s="1" t="s">
        <v>18</v>
      </c>
      <c r="H3517" s="1" t="s">
        <v>19</v>
      </c>
      <c r="I3517" s="1" t="s">
        <v>20</v>
      </c>
      <c r="J3517" s="1" t="s">
        <v>15434</v>
      </c>
      <c r="K3517" s="1" t="s">
        <v>22</v>
      </c>
      <c r="L3517" s="1" t="str">
        <f>HYPERLINK("https://files.afu.se/Downloads/Transcripts/0%20-%20Government/USA%20-%20NASA%20Johnson/2009 10 23 - NASA Johnson - Orion Pad Abort-1 Launch Abort System Flight Test_cd--3KgoUzo - transcript (automated).pdf","Transcript Link")</f>
        <v>Transcript Link</v>
      </c>
      <c r="M3517" s="2" t="str">
        <f>HYPERLINK("https://files.afu.se/Downloads/Transcripts/0%20-%20Government/USA%20-%20NASA%20Johnson/2009 10 23 - NASA Johnson - Orion Pad Abort-1 Launch Abort System Flight Test_cd--3KgoUzo - transcript (automated).pdf","Transcript Link")</f>
        <v>Transcript Link</v>
      </c>
    </row>
    <row r="3518" ht="180" spans="1:13">
      <c r="A3518" s="1" t="s">
        <v>15435</v>
      </c>
      <c r="B3518" s="1" t="s">
        <v>13</v>
      </c>
      <c r="C3518" s="4" t="s">
        <v>15436</v>
      </c>
      <c r="D3518" s="1" t="s">
        <v>15437</v>
      </c>
      <c r="E3518" s="1" t="s">
        <v>15438</v>
      </c>
      <c r="F3518" s="4" t="s">
        <v>17</v>
      </c>
      <c r="G3518" s="1" t="s">
        <v>18</v>
      </c>
      <c r="H3518" s="1" t="s">
        <v>19</v>
      </c>
      <c r="I3518" s="1" t="s">
        <v>20</v>
      </c>
      <c r="J3518" s="1" t="s">
        <v>15439</v>
      </c>
      <c r="K3518" s="1" t="s">
        <v>22</v>
      </c>
      <c r="L3518" s="1" t="str">
        <f>HYPERLINK("https://files.afu.se/Downloads/Transcripts/0%20-%20Government/USA%20-%20NASA%20Johnson/2009 10 21 - NASA Johnson - If the Suit Fits_zff7_8h-22w - transcript (automated).pdf","Transcript Link")</f>
        <v>Transcript Link</v>
      </c>
      <c r="M3518" s="2" t="str">
        <f>HYPERLINK("https://files.afu.se/Downloads/Transcripts/0%20-%20Government/USA%20-%20NASA%20Johnson/2009 10 21 - NASA Johnson - If the Suit Fits_zff7_8h-22w - transcript (automated).pdf","Transcript Link")</f>
        <v>Transcript Link</v>
      </c>
    </row>
    <row r="3519" ht="180" spans="1:13">
      <c r="A3519" s="1" t="s">
        <v>15440</v>
      </c>
      <c r="B3519" s="1" t="s">
        <v>13</v>
      </c>
      <c r="C3519" s="4" t="s">
        <v>15441</v>
      </c>
      <c r="D3519" s="1" t="s">
        <v>15442</v>
      </c>
      <c r="E3519" s="1" t="s">
        <v>15443</v>
      </c>
      <c r="F3519" s="4" t="s">
        <v>17</v>
      </c>
      <c r="G3519" s="1" t="s">
        <v>18</v>
      </c>
      <c r="H3519" s="1" t="s">
        <v>19</v>
      </c>
      <c r="I3519" s="1" t="s">
        <v>20</v>
      </c>
      <c r="J3519" s="1" t="s">
        <v>15444</v>
      </c>
      <c r="K3519" s="1" t="s">
        <v>22</v>
      </c>
      <c r="L3519" s="1" t="str">
        <f>HYPERLINK("https://files.afu.se/Downloads/Transcripts/0%20-%20Government/USA%20-%20NASA%20Johnson/2009 10 08 - NASA Johnson - Constellation  Flight Tests_JgTdot1Fes4 - transcript (automated).pdf","Transcript Link")</f>
        <v>Transcript Link</v>
      </c>
      <c r="M3519" s="2" t="str">
        <f>HYPERLINK("https://files.afu.se/Downloads/Transcripts/0%20-%20Government/USA%20-%20NASA%20Johnson/2009 10 08 - NASA Johnson - Constellation  Flight Tests_JgTdot1Fes4 - transcript (automated).pdf","Transcript Link")</f>
        <v>Transcript Link</v>
      </c>
    </row>
    <row r="3520" ht="180" spans="1:13">
      <c r="A3520" s="1" t="s">
        <v>15440</v>
      </c>
      <c r="B3520" s="1" t="s">
        <v>13</v>
      </c>
      <c r="C3520" s="4" t="s">
        <v>15445</v>
      </c>
      <c r="D3520" s="1" t="s">
        <v>15446</v>
      </c>
      <c r="E3520" s="1" t="s">
        <v>15447</v>
      </c>
      <c r="F3520" s="4" t="s">
        <v>17</v>
      </c>
      <c r="G3520" s="1" t="s">
        <v>18</v>
      </c>
      <c r="H3520" s="1" t="s">
        <v>19</v>
      </c>
      <c r="I3520" s="1" t="s">
        <v>20</v>
      </c>
      <c r="J3520" s="1" t="s">
        <v>15448</v>
      </c>
      <c r="K3520" s="1" t="s">
        <v>22</v>
      </c>
      <c r="L3520" s="1" t="str">
        <f>HYPERLINK("https://files.afu.se/Downloads/Transcripts/0%20-%20Government/USA%20-%20NASA%20Johnson/2009 10 08 - NASA Johnson - Constellation Flight Tests Mini Feature  Test as you Go_W_OOiXZxdWs - transcript (automated).pdf","Transcript Link")</f>
        <v>Transcript Link</v>
      </c>
      <c r="M3520" s="2" t="str">
        <f>HYPERLINK("https://files.afu.se/Downloads/Transcripts/0%20-%20Government/USA%20-%20NASA%20Johnson/2009 10 08 - NASA Johnson - Constellation Flight Tests Mini Feature  Test as you Go_W_OOiXZxdWs - transcript (automated).pdf","Transcript Link")</f>
        <v>Transcript Link</v>
      </c>
    </row>
    <row r="3521" ht="180" spans="1:13">
      <c r="A3521" s="1" t="s">
        <v>15440</v>
      </c>
      <c r="B3521" s="1" t="s">
        <v>13</v>
      </c>
      <c r="C3521" s="4" t="s">
        <v>15449</v>
      </c>
      <c r="D3521" s="1" t="s">
        <v>15450</v>
      </c>
      <c r="E3521" s="1" t="s">
        <v>15451</v>
      </c>
      <c r="F3521" s="4" t="s">
        <v>17</v>
      </c>
      <c r="G3521" s="1" t="s">
        <v>18</v>
      </c>
      <c r="H3521" s="1" t="s">
        <v>19</v>
      </c>
      <c r="I3521" s="1" t="s">
        <v>20</v>
      </c>
      <c r="J3521" s="1" t="s">
        <v>15452</v>
      </c>
      <c r="K3521" s="1" t="s">
        <v>22</v>
      </c>
      <c r="L3521" s="1" t="str">
        <f>HYPERLINK("https://files.afu.se/Downloads/Transcripts/0%20-%20Government/USA%20-%20NASA%20Johnson/2009 10 08 - NASA Johnson - Constellation Flight Tests Mini Feature  Pad Abort 1_oO9k9JbHFPs - transcript (automated).pdf","Transcript Link")</f>
        <v>Transcript Link</v>
      </c>
      <c r="M3521" s="2" t="str">
        <f>HYPERLINK("https://files.afu.se/Downloads/Transcripts/0%20-%20Government/USA%20-%20NASA%20Johnson/2009 10 08 - NASA Johnson - Constellation Flight Tests Mini Feature  Pad Abort 1_oO9k9JbHFPs - transcript (automated).pdf","Transcript Link")</f>
        <v>Transcript Link</v>
      </c>
    </row>
    <row r="3522" ht="180" spans="1:13">
      <c r="A3522" s="1" t="s">
        <v>15440</v>
      </c>
      <c r="B3522" s="1" t="s">
        <v>13</v>
      </c>
      <c r="C3522" s="4" t="s">
        <v>15453</v>
      </c>
      <c r="D3522" s="1" t="s">
        <v>15454</v>
      </c>
      <c r="E3522" s="1" t="s">
        <v>15455</v>
      </c>
      <c r="F3522" s="4" t="s">
        <v>17</v>
      </c>
      <c r="G3522" s="1" t="s">
        <v>18</v>
      </c>
      <c r="H3522" s="1" t="s">
        <v>19</v>
      </c>
      <c r="I3522" s="1" t="s">
        <v>20</v>
      </c>
      <c r="J3522" s="1" t="s">
        <v>15456</v>
      </c>
      <c r="K3522" s="1" t="s">
        <v>22</v>
      </c>
      <c r="L3522" s="1" t="str">
        <f>HYPERLINK("https://files.afu.se/Downloads/Transcripts/0%20-%20Government/USA%20-%20NASA%20Johnson/2009 10 08 - NASA Johnson - Constellation Flight Tests Mini Feature  Ares I-X_KZVeH08uGGU - transcript (automated).pdf","Transcript Link")</f>
        <v>Transcript Link</v>
      </c>
      <c r="M3522" s="2" t="str">
        <f>HYPERLINK("https://files.afu.se/Downloads/Transcripts/0%20-%20Government/USA%20-%20NASA%20Johnson/2009 10 08 - NASA Johnson - Constellation Flight Tests Mini Feature  Ares I-X_KZVeH08uGGU - transcript (automated).pdf","Transcript Link")</f>
        <v>Transcript Link</v>
      </c>
    </row>
    <row r="3523" ht="180" spans="1:13">
      <c r="A3523" s="1" t="s">
        <v>15457</v>
      </c>
      <c r="B3523" s="1" t="s">
        <v>13</v>
      </c>
      <c r="C3523" s="4" t="s">
        <v>15458</v>
      </c>
      <c r="D3523" s="1" t="s">
        <v>15459</v>
      </c>
      <c r="E3523" s="1" t="s">
        <v>15460</v>
      </c>
      <c r="F3523" s="4" t="s">
        <v>17</v>
      </c>
      <c r="G3523" s="1" t="s">
        <v>18</v>
      </c>
      <c r="H3523" s="1" t="s">
        <v>19</v>
      </c>
      <c r="I3523" s="1" t="s">
        <v>20</v>
      </c>
      <c r="J3523" s="1" t="s">
        <v>15461</v>
      </c>
      <c r="K3523" s="1" t="s">
        <v>22</v>
      </c>
      <c r="L3523" s="1" t="str">
        <f>HYPERLINK("https://files.afu.se/Downloads/Transcripts/0%20-%20Government/USA%20-%20NASA%20Johnson/2009 10 02 - NASA Johnson - The Expedition 21 Crew Enters the International Space Station_56Wrog2sJS4 - transcript (automated).pdf","Transcript Link")</f>
        <v>Transcript Link</v>
      </c>
      <c r="M3523" s="2" t="str">
        <f>HYPERLINK("https://files.afu.se/Downloads/Transcripts/0%20-%20Government/USA%20-%20NASA%20Johnson/2009 10 02 - NASA Johnson - The Expedition 21 Crew Enters the International Space Station_56Wrog2sJS4 - transcript (automated).pdf","Transcript Link")</f>
        <v>Transcript Link</v>
      </c>
    </row>
    <row r="3524" ht="180" spans="1:13">
      <c r="A3524" s="1" t="s">
        <v>15457</v>
      </c>
      <c r="B3524" s="1" t="s">
        <v>13</v>
      </c>
      <c r="C3524" s="4" t="s">
        <v>15462</v>
      </c>
      <c r="D3524" s="1" t="s">
        <v>15463</v>
      </c>
      <c r="E3524" s="1" t="s">
        <v>15464</v>
      </c>
      <c r="F3524" s="4" t="s">
        <v>17</v>
      </c>
      <c r="G3524" s="1" t="s">
        <v>18</v>
      </c>
      <c r="H3524" s="1" t="s">
        <v>19</v>
      </c>
      <c r="I3524" s="1" t="s">
        <v>20</v>
      </c>
      <c r="J3524" s="1" t="s">
        <v>15465</v>
      </c>
      <c r="K3524" s="1" t="s">
        <v>22</v>
      </c>
      <c r="L3524" s="1" t="str">
        <f>HYPERLINK("https://files.afu.se/Downloads/Transcripts/0%20-%20Government/USA%20-%20NASA%20Johnson/2009 10 02 - NASA Johnson - Expedition 21 Crew Docks at the International Space Station_hxiB7PByPHQ - transcript (automated).pdf","Transcript Link")</f>
        <v>Transcript Link</v>
      </c>
      <c r="M3524" s="2" t="str">
        <f>HYPERLINK("https://files.afu.se/Downloads/Transcripts/0%20-%20Government/USA%20-%20NASA%20Johnson/2009 10 02 - NASA Johnson - Expedition 21 Crew Docks at the International Space Station_hxiB7PByPHQ - transcript (automated).pdf","Transcript Link")</f>
        <v>Transcript Link</v>
      </c>
    </row>
    <row r="3525" ht="180" spans="1:13">
      <c r="A3525" s="1" t="s">
        <v>15466</v>
      </c>
      <c r="B3525" s="1" t="s">
        <v>13</v>
      </c>
      <c r="C3525" s="4" t="s">
        <v>15467</v>
      </c>
      <c r="D3525" s="1" t="s">
        <v>15468</v>
      </c>
      <c r="E3525" s="1" t="s">
        <v>15469</v>
      </c>
      <c r="F3525" s="4" t="s">
        <v>17</v>
      </c>
      <c r="G3525" s="1" t="s">
        <v>18</v>
      </c>
      <c r="H3525" s="1" t="s">
        <v>19</v>
      </c>
      <c r="I3525" s="1" t="s">
        <v>20</v>
      </c>
      <c r="J3525" s="1" t="s">
        <v>15470</v>
      </c>
      <c r="K3525" s="1" t="s">
        <v>22</v>
      </c>
      <c r="L3525" s="1" t="str">
        <f>HYPERLINK("https://files.afu.se/Downloads/Transcripts/0%20-%20Government/USA%20-%20NASA%20Johnson/2009 09 29 - NASA Johnson - Launch Preparations with Astronaut Jeff Williams_iniGwVNRrnU - transcript (automated).pdf","Transcript Link")</f>
        <v>Transcript Link</v>
      </c>
      <c r="M3525" s="2" t="str">
        <f>HYPERLINK("https://files.afu.se/Downloads/Transcripts/0%20-%20Government/USA%20-%20NASA%20Johnson/2009 09 29 - NASA Johnson - Launch Preparations with Astronaut Jeff Williams_iniGwVNRrnU - transcript (automated).pdf","Transcript Link")</f>
        <v>Transcript Link</v>
      </c>
    </row>
    <row r="3526" ht="180" spans="1:13">
      <c r="A3526" s="1" t="s">
        <v>15466</v>
      </c>
      <c r="B3526" s="1" t="s">
        <v>13</v>
      </c>
      <c r="C3526" s="4" t="s">
        <v>15471</v>
      </c>
      <c r="D3526" s="1" t="s">
        <v>15472</v>
      </c>
      <c r="E3526" s="1" t="s">
        <v>15473</v>
      </c>
      <c r="F3526" s="4" t="s">
        <v>17</v>
      </c>
      <c r="G3526" s="1" t="s">
        <v>18</v>
      </c>
      <c r="H3526" s="1" t="s">
        <v>19</v>
      </c>
      <c r="I3526" s="1" t="s">
        <v>20</v>
      </c>
      <c r="J3526" s="1" t="s">
        <v>15474</v>
      </c>
      <c r="K3526" s="1" t="s">
        <v>22</v>
      </c>
      <c r="L3526" s="1" t="str">
        <f>HYPERLINK("https://files.afu.se/Downloads/Transcripts/0%20-%20Government/USA%20-%20NASA%20Johnson/2009 09 29 - NASA Johnson - Expedition 21 Gets Ready to Launch_tcQ2xjLB2jA - transcript (automated).pdf","Transcript Link")</f>
        <v>Transcript Link</v>
      </c>
      <c r="M3526" s="2" t="str">
        <f>HYPERLINK("https://files.afu.se/Downloads/Transcripts/0%20-%20Government/USA%20-%20NASA%20Johnson/2009 09 29 - NASA Johnson - Expedition 21 Gets Ready to Launch_tcQ2xjLB2jA - transcript (automated).pdf","Transcript Link")</f>
        <v>Transcript Link</v>
      </c>
    </row>
    <row r="3527" ht="180" spans="1:13">
      <c r="A3527" s="1" t="s">
        <v>15475</v>
      </c>
      <c r="B3527" s="1" t="s">
        <v>13</v>
      </c>
      <c r="C3527" s="4" t="s">
        <v>15476</v>
      </c>
      <c r="D3527" s="1" t="s">
        <v>15477</v>
      </c>
      <c r="E3527" s="1" t="s">
        <v>15478</v>
      </c>
      <c r="F3527" s="4" t="s">
        <v>17</v>
      </c>
      <c r="G3527" s="1" t="s">
        <v>18</v>
      </c>
      <c r="H3527" s="1" t="s">
        <v>19</v>
      </c>
      <c r="I3527" s="1" t="s">
        <v>20</v>
      </c>
      <c r="J3527" s="1" t="s">
        <v>15479</v>
      </c>
      <c r="K3527" s="1" t="s">
        <v>22</v>
      </c>
      <c r="L3527" s="1" t="str">
        <f>HYPERLINK("https://files.afu.se/Downloads/Transcripts/0%20-%20Government/USA%20-%20NASA%20Johnson/2009 09 28 - NASA Johnson - Astronauts train to fix leaks in space_wiQo4siQXyo - transcript (automated).pdf","Transcript Link")</f>
        <v>Transcript Link</v>
      </c>
      <c r="M3527" s="2" t="str">
        <f>HYPERLINK("https://files.afu.se/Downloads/Transcripts/0%20-%20Government/USA%20-%20NASA%20Johnson/2009 09 28 - NASA Johnson - Astronauts train to fix leaks in space_wiQo4siQXyo - transcript (automated).pdf","Transcript Link")</f>
        <v>Transcript Link</v>
      </c>
    </row>
    <row r="3528" ht="180" spans="1:13">
      <c r="A3528" s="1" t="s">
        <v>15480</v>
      </c>
      <c r="B3528" s="1" t="s">
        <v>13</v>
      </c>
      <c r="C3528" s="4" t="s">
        <v>15481</v>
      </c>
      <c r="D3528" s="1" t="s">
        <v>15482</v>
      </c>
      <c r="E3528" s="1" t="s">
        <v>15483</v>
      </c>
      <c r="F3528" s="4" t="s">
        <v>17</v>
      </c>
      <c r="G3528" s="1" t="s">
        <v>18</v>
      </c>
      <c r="H3528" s="1" t="s">
        <v>19</v>
      </c>
      <c r="I3528" s="1" t="s">
        <v>20</v>
      </c>
      <c r="J3528" s="1" t="s">
        <v>15484</v>
      </c>
      <c r="K3528" s="1" t="s">
        <v>22</v>
      </c>
      <c r="L3528" s="1" t="str">
        <f>HYPERLINK("https://files.afu.se/Downloads/Transcripts/0%20-%20Government/USA%20-%20NASA%20Johnson/2009 09 23 - NASA Johnson - Fits like an EVA glove._v9rjBbZfLuY - transcript (automated).pdf","Transcript Link")</f>
        <v>Transcript Link</v>
      </c>
      <c r="M3528" s="2" t="str">
        <f>HYPERLINK("https://files.afu.se/Downloads/Transcripts/0%20-%20Government/USA%20-%20NASA%20Johnson/2009 09 23 - NASA Johnson - Fits like an EVA glove._v9rjBbZfLuY - transcript (automated).pdf","Transcript Link")</f>
        <v>Transcript Link</v>
      </c>
    </row>
    <row r="3529" ht="180" spans="1:13">
      <c r="A3529" s="1" t="s">
        <v>15485</v>
      </c>
      <c r="B3529" s="1" t="s">
        <v>13</v>
      </c>
      <c r="C3529" s="4" t="s">
        <v>15486</v>
      </c>
      <c r="D3529" s="1" t="s">
        <v>15487</v>
      </c>
      <c r="E3529" s="1" t="s">
        <v>15488</v>
      </c>
      <c r="F3529" s="4" t="s">
        <v>17</v>
      </c>
      <c r="G3529" s="1" t="s">
        <v>18</v>
      </c>
      <c r="H3529" s="1" t="s">
        <v>19</v>
      </c>
      <c r="I3529" s="1" t="s">
        <v>20</v>
      </c>
      <c r="J3529" s="1" t="s">
        <v>15489</v>
      </c>
      <c r="K3529" s="1" t="s">
        <v>22</v>
      </c>
      <c r="L3529" s="1" t="str">
        <f>HYPERLINK("https://files.afu.se/Downloads/Transcripts/0%20-%20Government/USA%20-%20NASA%20Johnson/2009 09 21 - NASA Johnson - Training to hook up the space station with Japan's HTV_t1zacVNO8Ng - transcript (automated).pdf","Transcript Link")</f>
        <v>Transcript Link</v>
      </c>
      <c r="M3529" s="2" t="str">
        <f>HYPERLINK("https://files.afu.se/Downloads/Transcripts/0%20-%20Government/USA%20-%20NASA%20Johnson/2009 09 21 - NASA Johnson - Training to hook up the space station with Japan's HTV_t1zacVNO8Ng - transcript (automated).pdf","Transcript Link")</f>
        <v>Transcript Link</v>
      </c>
    </row>
    <row r="3530" ht="180" spans="1:13">
      <c r="A3530" s="1" t="s">
        <v>15490</v>
      </c>
      <c r="B3530" s="1" t="s">
        <v>13</v>
      </c>
      <c r="C3530" s="4" t="s">
        <v>15491</v>
      </c>
      <c r="D3530" s="1" t="s">
        <v>15492</v>
      </c>
      <c r="E3530" s="1" t="s">
        <v>15493</v>
      </c>
      <c r="F3530" s="4" t="s">
        <v>17</v>
      </c>
      <c r="G3530" s="1" t="s">
        <v>18</v>
      </c>
      <c r="H3530" s="1" t="s">
        <v>19</v>
      </c>
      <c r="I3530" s="1" t="s">
        <v>20</v>
      </c>
      <c r="J3530" s="1" t="s">
        <v>15494</v>
      </c>
      <c r="K3530" s="1" t="s">
        <v>22</v>
      </c>
      <c r="L3530" s="1" t="str">
        <f>HYPERLINK("https://files.afu.se/Downloads/Transcripts/0%20-%20Government/USA%20-%20NASA%20Johnson/2009 09 08 - NASA Johnson - Space Shuttle Discovery Flies Around the International Space Station_XdUPMk7H4R0 - transcript (automated).pdf","Transcript Link")</f>
        <v>Transcript Link</v>
      </c>
      <c r="M3530" s="2" t="str">
        <f>HYPERLINK("https://files.afu.se/Downloads/Transcripts/0%20-%20Government/USA%20-%20NASA%20Johnson/2009 09 08 - NASA Johnson - Space Shuttle Discovery Flies Around the International Space Station_XdUPMk7H4R0 - transcript (automated).pdf","Transcript Link")</f>
        <v>Transcript Link</v>
      </c>
    </row>
    <row r="3531" ht="180" spans="1:13">
      <c r="A3531" s="1" t="s">
        <v>15490</v>
      </c>
      <c r="B3531" s="1" t="s">
        <v>13</v>
      </c>
      <c r="C3531" s="4" t="s">
        <v>15495</v>
      </c>
      <c r="D3531" s="1" t="s">
        <v>15496</v>
      </c>
      <c r="E3531" s="1" t="s">
        <v>15497</v>
      </c>
      <c r="F3531" s="4" t="s">
        <v>17</v>
      </c>
      <c r="G3531" s="1" t="s">
        <v>18</v>
      </c>
      <c r="H3531" s="1" t="s">
        <v>19</v>
      </c>
      <c r="I3531" s="1" t="s">
        <v>20</v>
      </c>
      <c r="J3531" s="1" t="s">
        <v>15498</v>
      </c>
      <c r="K3531" s="1" t="s">
        <v>22</v>
      </c>
      <c r="L3531" s="1" t="str">
        <f>HYPERLINK("https://files.afu.se/Downloads/Transcripts/0%20-%20Government/USA%20-%20NASA%20Johnson/2009 09 08 - NASA Johnson - STS-128 and Expedition 20 Crew Farewell_gHkxdjVAmUU - transcript (automated).pdf","Transcript Link")</f>
        <v>Transcript Link</v>
      </c>
      <c r="M3531" s="2" t="str">
        <f>HYPERLINK("https://files.afu.se/Downloads/Transcripts/0%20-%20Government/USA%20-%20NASA%20Johnson/2009 09 08 - NASA Johnson - STS-128 and Expedition 20 Crew Farewell_gHkxdjVAmUU - transcript (automated).pdf","Transcript Link")</f>
        <v>Transcript Link</v>
      </c>
    </row>
    <row r="3532" ht="180" spans="1:13">
      <c r="A3532" s="1" t="s">
        <v>15499</v>
      </c>
      <c r="B3532" s="1" t="s">
        <v>13</v>
      </c>
      <c r="C3532" s="4" t="s">
        <v>15500</v>
      </c>
      <c r="D3532" s="1" t="s">
        <v>15501</v>
      </c>
      <c r="E3532" s="1" t="s">
        <v>15502</v>
      </c>
      <c r="F3532" s="4" t="s">
        <v>17</v>
      </c>
      <c r="G3532" s="1" t="s">
        <v>18</v>
      </c>
      <c r="H3532" s="1" t="s">
        <v>19</v>
      </c>
      <c r="I3532" s="1" t="s">
        <v>20</v>
      </c>
      <c r="J3532" s="1" t="s">
        <v>15503</v>
      </c>
      <c r="K3532" s="1" t="s">
        <v>22</v>
      </c>
      <c r="L3532" s="1" t="str">
        <f>HYPERLINK("https://files.afu.se/Downloads/Transcripts/0%20-%20Government/USA%20-%20NASA%20Johnson/2009 09 06 - NASA Johnson - Final STS-128 Spacewalk Activities_nphbNjIPpH8 - transcript (automated).pdf","Transcript Link")</f>
        <v>Transcript Link</v>
      </c>
      <c r="M3532" s="2" t="str">
        <f>HYPERLINK("https://files.afu.se/Downloads/Transcripts/0%20-%20Government/USA%20-%20NASA%20Johnson/2009 09 06 - NASA Johnson - Final STS-128 Spacewalk Activities_nphbNjIPpH8 - transcript (automated).pdf","Transcript Link")</f>
        <v>Transcript Link</v>
      </c>
    </row>
    <row r="3533" ht="180" spans="1:13">
      <c r="A3533" s="1" t="s">
        <v>15504</v>
      </c>
      <c r="B3533" s="1" t="s">
        <v>13</v>
      </c>
      <c r="C3533" s="4" t="s">
        <v>15505</v>
      </c>
      <c r="D3533" s="1" t="s">
        <v>15506</v>
      </c>
      <c r="E3533" s="1" t="s">
        <v>15507</v>
      </c>
      <c r="F3533" s="4" t="s">
        <v>17</v>
      </c>
      <c r="G3533" s="1" t="s">
        <v>18</v>
      </c>
      <c r="H3533" s="1" t="s">
        <v>19</v>
      </c>
      <c r="I3533" s="1" t="s">
        <v>20</v>
      </c>
      <c r="J3533" s="1" t="s">
        <v>15508</v>
      </c>
      <c r="K3533" s="1" t="s">
        <v>22</v>
      </c>
      <c r="L3533" s="1" t="str">
        <f>HYPERLINK("https://files.afu.se/Downloads/Transcripts/0%20-%20Government/USA%20-%20NASA%20Johnson/2009 09 04 - NASA Johnson - STS-128 Second Spacewalk Activities_J2fMesERgDc - transcript (automated).pdf","Transcript Link")</f>
        <v>Transcript Link</v>
      </c>
      <c r="M3533" s="2" t="str">
        <f>HYPERLINK("https://files.afu.se/Downloads/Transcripts/0%20-%20Government/USA%20-%20NASA%20Johnson/2009 09 04 - NASA Johnson - STS-128 Second Spacewalk Activities_J2fMesERgDc - transcript (automated).pdf","Transcript Link")</f>
        <v>Transcript Link</v>
      </c>
    </row>
    <row r="3534" ht="180" spans="1:13">
      <c r="A3534" s="1" t="s">
        <v>15509</v>
      </c>
      <c r="B3534" s="1" t="s">
        <v>13</v>
      </c>
      <c r="C3534" s="4" t="s">
        <v>15510</v>
      </c>
      <c r="D3534" s="1" t="s">
        <v>15511</v>
      </c>
      <c r="E3534" s="1" t="s">
        <v>15512</v>
      </c>
      <c r="F3534" s="4" t="s">
        <v>17</v>
      </c>
      <c r="G3534" s="1" t="s">
        <v>18</v>
      </c>
      <c r="H3534" s="1" t="s">
        <v>19</v>
      </c>
      <c r="I3534" s="1" t="s">
        <v>20</v>
      </c>
      <c r="J3534" s="1" t="s">
        <v>15513</v>
      </c>
      <c r="K3534" s="1" t="s">
        <v>22</v>
      </c>
      <c r="L3534" s="1" t="str">
        <f>HYPERLINK("https://files.afu.se/Downloads/Transcripts/0%20-%20Government/USA%20-%20NASA%20Johnson/2009 09 03 - NASA Johnson - STS-128 Crew Answers Your Questions From Space %235_EyBBPy9To6c - transcript (automated).pdf","Transcript Link")</f>
        <v>Transcript Link</v>
      </c>
      <c r="M3534" s="2" t="str">
        <f>HYPERLINK("https://files.afu.se/Downloads/Transcripts/0%20-%20Government/USA%20-%20NASA%20Johnson/2009 09 03 - NASA Johnson - STS-128 Crew Answers Your Questions From Space %235_EyBBPy9To6c - transcript (automated).pdf","Transcript Link")</f>
        <v>Transcript Link</v>
      </c>
    </row>
    <row r="3535" ht="180" spans="1:13">
      <c r="A3535" s="1" t="s">
        <v>15509</v>
      </c>
      <c r="B3535" s="1" t="s">
        <v>13</v>
      </c>
      <c r="C3535" s="4" t="s">
        <v>15514</v>
      </c>
      <c r="D3535" s="1" t="s">
        <v>15515</v>
      </c>
      <c r="E3535" s="1" t="s">
        <v>15516</v>
      </c>
      <c r="F3535" s="4" t="s">
        <v>17</v>
      </c>
      <c r="G3535" s="1" t="s">
        <v>18</v>
      </c>
      <c r="H3535" s="1" t="s">
        <v>19</v>
      </c>
      <c r="I3535" s="1" t="s">
        <v>20</v>
      </c>
      <c r="J3535" s="1" t="s">
        <v>15517</v>
      </c>
      <c r="K3535" s="1" t="s">
        <v>22</v>
      </c>
      <c r="L3535" s="1" t="str">
        <f>HYPERLINK("https://files.afu.se/Downloads/Transcripts/0%20-%20Government/USA%20-%20NASA%20Johnson/2009 09 03 - NASA Johnson - STS-128 Crew Answers Your Questions From Space %234_fHZDjW6_ark - transcript (automated).pdf","Transcript Link")</f>
        <v>Transcript Link</v>
      </c>
      <c r="M3535" s="2" t="str">
        <f>HYPERLINK("https://files.afu.se/Downloads/Transcripts/0%20-%20Government/USA%20-%20NASA%20Johnson/2009 09 03 - NASA Johnson - STS-128 Crew Answers Your Questions From Space %234_fHZDjW6_ark - transcript (automated).pdf","Transcript Link")</f>
        <v>Transcript Link</v>
      </c>
    </row>
    <row r="3536" ht="180" spans="1:13">
      <c r="A3536" s="1" t="s">
        <v>15509</v>
      </c>
      <c r="B3536" s="1" t="s">
        <v>13</v>
      </c>
      <c r="C3536" s="4" t="s">
        <v>15518</v>
      </c>
      <c r="D3536" s="1" t="s">
        <v>15519</v>
      </c>
      <c r="E3536" s="1" t="s">
        <v>15520</v>
      </c>
      <c r="F3536" s="4" t="s">
        <v>17</v>
      </c>
      <c r="G3536" s="1" t="s">
        <v>18</v>
      </c>
      <c r="H3536" s="1" t="s">
        <v>19</v>
      </c>
      <c r="I3536" s="1" t="s">
        <v>20</v>
      </c>
      <c r="J3536" s="1" t="s">
        <v>15521</v>
      </c>
      <c r="K3536" s="1" t="s">
        <v>22</v>
      </c>
      <c r="L3536" s="1" t="str">
        <f>HYPERLINK("https://files.afu.se/Downloads/Transcripts/0%20-%20Government/USA%20-%20NASA%20Johnson/2009 09 03 - NASA Johnson - STS-128 Crew Answers Your Questions From Space %233_LHQ7pm1xr3A - transcript (automated).pdf","Transcript Link")</f>
        <v>Transcript Link</v>
      </c>
      <c r="M3536" s="2" t="str">
        <f>HYPERLINK("https://files.afu.se/Downloads/Transcripts/0%20-%20Government/USA%20-%20NASA%20Johnson/2009 09 03 - NASA Johnson - STS-128 Crew Answers Your Questions From Space %233_LHQ7pm1xr3A - transcript (automated).pdf","Transcript Link")</f>
        <v>Transcript Link</v>
      </c>
    </row>
    <row r="3537" ht="180" spans="1:13">
      <c r="A3537" s="1" t="s">
        <v>15509</v>
      </c>
      <c r="B3537" s="1" t="s">
        <v>13</v>
      </c>
      <c r="C3537" s="4" t="s">
        <v>15522</v>
      </c>
      <c r="D3537" s="1" t="s">
        <v>15523</v>
      </c>
      <c r="E3537" s="1" t="s">
        <v>15524</v>
      </c>
      <c r="F3537" s="4" t="s">
        <v>17</v>
      </c>
      <c r="G3537" s="1" t="s">
        <v>18</v>
      </c>
      <c r="H3537" s="1" t="s">
        <v>19</v>
      </c>
      <c r="I3537" s="1" t="s">
        <v>20</v>
      </c>
      <c r="J3537" s="1" t="s">
        <v>15525</v>
      </c>
      <c r="K3537" s="1" t="s">
        <v>22</v>
      </c>
      <c r="L3537" s="1" t="str">
        <f>HYPERLINK("https://files.afu.se/Downloads/Transcripts/0%20-%20Government/USA%20-%20NASA%20Johnson/2009 09 03 - NASA Johnson - STS-128 Crew Answers Your Questions From Space %232_AkuWk57RRfI - transcript (automated).pdf","Transcript Link")</f>
        <v>Transcript Link</v>
      </c>
      <c r="M3537" s="2" t="str">
        <f>HYPERLINK("https://files.afu.se/Downloads/Transcripts/0%20-%20Government/USA%20-%20NASA%20Johnson/2009 09 03 - NASA Johnson - STS-128 Crew Answers Your Questions From Space %232_AkuWk57RRfI - transcript (automated).pdf","Transcript Link")</f>
        <v>Transcript Link</v>
      </c>
    </row>
    <row r="3538" ht="180" spans="1:13">
      <c r="A3538" s="1" t="s">
        <v>15509</v>
      </c>
      <c r="B3538" s="1" t="s">
        <v>13</v>
      </c>
      <c r="C3538" s="4" t="s">
        <v>15526</v>
      </c>
      <c r="D3538" s="1" t="s">
        <v>15527</v>
      </c>
      <c r="E3538" s="1" t="s">
        <v>15528</v>
      </c>
      <c r="F3538" s="4" t="s">
        <v>17</v>
      </c>
      <c r="G3538" s="1" t="s">
        <v>18</v>
      </c>
      <c r="H3538" s="1" t="s">
        <v>19</v>
      </c>
      <c r="I3538" s="1" t="s">
        <v>20</v>
      </c>
      <c r="J3538" s="1" t="s">
        <v>15529</v>
      </c>
      <c r="K3538" s="1" t="s">
        <v>22</v>
      </c>
      <c r="L3538" s="1" t="str">
        <f>HYPERLINK("https://files.afu.se/Downloads/Transcripts/0%20-%20Government/USA%20-%20NASA%20Johnson/2009 09 03 - NASA Johnson - STS-128 Crew Answers Your Questions From Space %231_Hj_8L_qcEPI - transcript (automated).pdf","Transcript Link")</f>
        <v>Transcript Link</v>
      </c>
      <c r="M3538" s="2" t="str">
        <f>HYPERLINK("https://files.afu.se/Downloads/Transcripts/0%20-%20Government/USA%20-%20NASA%20Johnson/2009 09 03 - NASA Johnson - STS-128 Crew Answers Your Questions From Space %231_Hj_8L_qcEPI - transcript (automated).pdf","Transcript Link")</f>
        <v>Transcript Link</v>
      </c>
    </row>
    <row r="3539" ht="180" spans="1:13">
      <c r="A3539" s="1" t="s">
        <v>15509</v>
      </c>
      <c r="B3539" s="1" t="s">
        <v>13</v>
      </c>
      <c r="C3539" s="4" t="s">
        <v>15530</v>
      </c>
      <c r="D3539" s="1" t="s">
        <v>15531</v>
      </c>
      <c r="E3539" s="1" t="s">
        <v>15532</v>
      </c>
      <c r="F3539" s="4" t="s">
        <v>17</v>
      </c>
      <c r="G3539" s="1" t="s">
        <v>18</v>
      </c>
      <c r="H3539" s="1" t="s">
        <v>19</v>
      </c>
      <c r="I3539" s="1" t="s">
        <v>20</v>
      </c>
      <c r="J3539" s="1" t="s">
        <v>15533</v>
      </c>
      <c r="K3539" s="1" t="s">
        <v>22</v>
      </c>
      <c r="L3539" s="1" t="str">
        <f>HYPERLINK("https://files.afu.se/Downloads/Transcripts/0%20-%20Government/USA%20-%20NASA%20Johnson/2009 09 03 - NASA Johnson - STS-128 Crew Answers Your Questions From Space %236_JhY_I4kwYv0 - transcript (automated).pdf","Transcript Link")</f>
        <v>Transcript Link</v>
      </c>
      <c r="M3539" s="2" t="str">
        <f>HYPERLINK("https://files.afu.se/Downloads/Transcripts/0%20-%20Government/USA%20-%20NASA%20Johnson/2009 09 03 - NASA Johnson - STS-128 Crew Answers Your Questions From Space %236_JhY_I4kwYv0 - transcript (automated).pdf","Transcript Link")</f>
        <v>Transcript Link</v>
      </c>
    </row>
    <row r="3540" ht="180" spans="1:13">
      <c r="A3540" s="1" t="s">
        <v>15534</v>
      </c>
      <c r="B3540" s="1" t="s">
        <v>13</v>
      </c>
      <c r="C3540" s="4" t="s">
        <v>15535</v>
      </c>
      <c r="D3540" s="1" t="s">
        <v>15536</v>
      </c>
      <c r="E3540" s="1" t="s">
        <v>15537</v>
      </c>
      <c r="F3540" s="4" t="s">
        <v>17</v>
      </c>
      <c r="G3540" s="1" t="s">
        <v>18</v>
      </c>
      <c r="H3540" s="1" t="s">
        <v>19</v>
      </c>
      <c r="I3540" s="1" t="s">
        <v>20</v>
      </c>
      <c r="J3540" s="1" t="s">
        <v>15538</v>
      </c>
      <c r="K3540" s="1" t="s">
        <v>22</v>
      </c>
      <c r="L3540" s="1" t="str">
        <f>HYPERLINK("https://files.afu.se/Downloads/Transcripts/0%20-%20Government/USA%20-%20NASA%20Johnson/2009 08 29 - NASA Johnson - Space Shuttle Discovery Launches Beginning the STS-128 Mission_zWZEHQ8WFdA - transcript (automated).pdf","Transcript Link")</f>
        <v>Transcript Link</v>
      </c>
      <c r="M3540" s="2" t="str">
        <f>HYPERLINK("https://files.afu.se/Downloads/Transcripts/0%20-%20Government/USA%20-%20NASA%20Johnson/2009 08 29 - NASA Johnson - Space Shuttle Discovery Launches Beginning the STS-128 Mission_zWZEHQ8WFdA - transcript (automated).pdf","Transcript Link")</f>
        <v>Transcript Link</v>
      </c>
    </row>
    <row r="3541" ht="180" spans="1:13">
      <c r="A3541" s="1" t="s">
        <v>15539</v>
      </c>
      <c r="B3541" s="1" t="s">
        <v>13</v>
      </c>
      <c r="C3541" s="4" t="s">
        <v>15540</v>
      </c>
      <c r="D3541" s="1" t="s">
        <v>15541</v>
      </c>
      <c r="E3541" s="1" t="s">
        <v>15542</v>
      </c>
      <c r="F3541" s="4" t="s">
        <v>17</v>
      </c>
      <c r="G3541" s="1" t="s">
        <v>18</v>
      </c>
      <c r="H3541" s="1" t="s">
        <v>19</v>
      </c>
      <c r="I3541" s="1" t="s">
        <v>20</v>
      </c>
      <c r="J3541" s="1" t="s">
        <v>15543</v>
      </c>
      <c r="K3541" s="1" t="s">
        <v>22</v>
      </c>
      <c r="L3541" s="1" t="str">
        <f>HYPERLINK("https://files.afu.se/Downloads/Transcripts/0%20-%20Government/USA%20-%20NASA%20Johnson/2009 08 17 - NASA Johnson - STS-128 Preflight Briefing Animation_t1yEogtoKUU - transcript (automated).pdf","Transcript Link")</f>
        <v>Transcript Link</v>
      </c>
      <c r="M3541" s="2" t="str">
        <f>HYPERLINK("https://files.afu.se/Downloads/Transcripts/0%20-%20Government/USA%20-%20NASA%20Johnson/2009 08 17 - NASA Johnson - STS-128 Preflight Briefing Animation_t1yEogtoKUU - transcript (automated).pdf","Transcript Link")</f>
        <v>Transcript Link</v>
      </c>
    </row>
    <row r="3542" ht="330" spans="1:13">
      <c r="A3542" s="1" t="s">
        <v>15544</v>
      </c>
      <c r="B3542" s="1" t="s">
        <v>13</v>
      </c>
      <c r="C3542" s="4" t="s">
        <v>15545</v>
      </c>
      <c r="D3542" s="1" t="s">
        <v>15546</v>
      </c>
      <c r="E3542" s="1" t="s">
        <v>15547</v>
      </c>
      <c r="F3542" s="4" t="s">
        <v>17</v>
      </c>
      <c r="G3542" s="1" t="s">
        <v>18</v>
      </c>
      <c r="H3542" s="1" t="s">
        <v>19</v>
      </c>
      <c r="I3542" s="1" t="s">
        <v>20</v>
      </c>
      <c r="J3542" s="1" t="s">
        <v>15548</v>
      </c>
      <c r="K3542" s="1" t="s">
        <v>22</v>
      </c>
      <c r="L3542" s="1" t="str">
        <f>HYPERLINK("https://files.afu.se/Downloads/Transcripts/0%20-%20Government/USA%20-%20NASA%20Johnson/2009 08 14 - NASA Johnson - Pregúntale a un Astronauta  Pon un video de Respuesta_8scBWZ_0H50 - transcript (automated).pdf","Transcript Link")</f>
        <v>Transcript Link</v>
      </c>
      <c r="M3542" s="2" t="str">
        <f>HYPERLINK("https://files.afu.se/Downloads/Transcripts/0%20-%20Government/USA%20-%20NASA%20Johnson/2009 08 14 - NASA Johnson - Pregúntale a un Astronauta  Pon un video de Respuesta_8scBWZ_0H50 - transcript (automated).pdf","Transcript Link")</f>
        <v>Transcript Link</v>
      </c>
    </row>
    <row r="3543" ht="180" spans="1:13">
      <c r="A3543" s="1" t="s">
        <v>15544</v>
      </c>
      <c r="B3543" s="1" t="s">
        <v>13</v>
      </c>
      <c r="C3543" s="4" t="s">
        <v>15549</v>
      </c>
      <c r="D3543" s="1" t="s">
        <v>15550</v>
      </c>
      <c r="F3543" s="4" t="s">
        <v>17</v>
      </c>
      <c r="G3543" s="1" t="s">
        <v>18</v>
      </c>
      <c r="H3543" s="1" t="s">
        <v>19</v>
      </c>
      <c r="I3543" s="1" t="s">
        <v>20</v>
      </c>
      <c r="J3543" s="1" t="s">
        <v>15551</v>
      </c>
      <c r="K3543" s="1" t="s">
        <v>22</v>
      </c>
      <c r="L3543" s="1" t="str">
        <f>HYPERLINK("https://files.afu.se/Downloads/Transcripts/0%20-%20Government/USA%20-%20NASA%20Johnson/2009 08 14 - NASA Johnson - Ask Astronaut Jose Hernandez and Crew  POST A VIDEO RESPONSE_jlgIHKenUBw - transcript (automated).pdf","Transcript Link")</f>
        <v>Transcript Link</v>
      </c>
      <c r="M3543" s="2" t="str">
        <f>HYPERLINK("https://files.afu.se/Downloads/Transcripts/0%20-%20Government/USA%20-%20NASA%20Johnson/2009 08 14 - NASA Johnson - Ask Astronaut Jose Hernandez and Crew  POST A VIDEO RESPONSE_jlgIHKenUBw - transcript (automated).pdf","Transcript Link")</f>
        <v>Transcript Link</v>
      </c>
    </row>
    <row r="3544" ht="330" spans="1:13">
      <c r="A3544" s="1" t="s">
        <v>15552</v>
      </c>
      <c r="B3544" s="1" t="s">
        <v>13</v>
      </c>
      <c r="C3544" s="4" t="s">
        <v>15553</v>
      </c>
      <c r="D3544" s="1" t="s">
        <v>15546</v>
      </c>
      <c r="E3544" s="1" t="s">
        <v>15547</v>
      </c>
      <c r="F3544" s="4" t="s">
        <v>17</v>
      </c>
      <c r="G3544" s="1" t="s">
        <v>18</v>
      </c>
      <c r="H3544" s="1" t="s">
        <v>19</v>
      </c>
      <c r="I3544" s="1" t="s">
        <v>20</v>
      </c>
      <c r="J3544" s="1" t="s">
        <v>15554</v>
      </c>
      <c r="K3544" s="1" t="s">
        <v>22</v>
      </c>
      <c r="L3544" s="1" t="str">
        <f>HYPERLINK("https://files.afu.se/Downloads/Transcripts/0%20-%20Government/USA%20-%20NASA%20Johnson/2009 07 31 - NASA Johnson - Pregúntale a un Astronauta  Pon un video de Respuesta_zpzAVDBNjko - transcript (automated).pdf","Transcript Link")</f>
        <v>Transcript Link</v>
      </c>
      <c r="M3544" s="2" t="str">
        <f>HYPERLINK("https://files.afu.se/Downloads/Transcripts/0%20-%20Government/USA%20-%20NASA%20Johnson/2009 07 31 - NASA Johnson - Pregúntale a un Astronauta  Pon un video de Respuesta_zpzAVDBNjko - transcript (automated).pdf","Transcript Link")</f>
        <v>Transcript Link</v>
      </c>
    </row>
    <row r="3545" ht="180" spans="1:13">
      <c r="A3545" s="1" t="s">
        <v>15555</v>
      </c>
      <c r="B3545" s="1" t="s">
        <v>13</v>
      </c>
      <c r="C3545" s="4" t="s">
        <v>15556</v>
      </c>
      <c r="D3545" s="1" t="s">
        <v>15557</v>
      </c>
      <c r="E3545" s="1" t="s">
        <v>15557</v>
      </c>
      <c r="F3545" s="4" t="s">
        <v>17</v>
      </c>
      <c r="G3545" s="1" t="s">
        <v>18</v>
      </c>
      <c r="H3545" s="1" t="s">
        <v>19</v>
      </c>
      <c r="I3545" s="1" t="s">
        <v>20</v>
      </c>
      <c r="J3545" s="1" t="s">
        <v>15558</v>
      </c>
      <c r="K3545" s="1" t="s">
        <v>22</v>
      </c>
      <c r="L3545" s="1" t="str">
        <f>HYPERLINK("https://files.afu.se/Downloads/Transcripts/0%20-%20Government/USA%20-%20NASA%20Johnson/2009 07 23 - NASA Johnson - Constellation Quarterly Report (June 2009)_6mzcD_zupbc - transcript (automated).pdf","Transcript Link")</f>
        <v>Transcript Link</v>
      </c>
      <c r="M3545" s="2" t="str">
        <f>HYPERLINK("https://files.afu.se/Downloads/Transcripts/0%20-%20Government/USA%20-%20NASA%20Johnson/2009 07 23 - NASA Johnson - Constellation Quarterly Report (June 2009)_6mzcD_zupbc - transcript (automated).pdf","Transcript Link")</f>
        <v>Transcript Link</v>
      </c>
    </row>
    <row r="3546" ht="180" spans="1:13">
      <c r="A3546" s="1" t="s">
        <v>15559</v>
      </c>
      <c r="B3546" s="1" t="s">
        <v>13</v>
      </c>
      <c r="C3546" s="4" t="s">
        <v>15560</v>
      </c>
      <c r="D3546" s="1" t="s">
        <v>15561</v>
      </c>
      <c r="E3546" s="1" t="s">
        <v>15562</v>
      </c>
      <c r="F3546" s="4" t="s">
        <v>17</v>
      </c>
      <c r="G3546" s="1" t="s">
        <v>18</v>
      </c>
      <c r="H3546" s="1" t="s">
        <v>19</v>
      </c>
      <c r="I3546" s="1" t="s">
        <v>20</v>
      </c>
      <c r="J3546" s="1" t="s">
        <v>15563</v>
      </c>
      <c r="K3546" s="1" t="s">
        <v>22</v>
      </c>
      <c r="L3546" s="1" t="str">
        <f>HYPERLINK("https://files.afu.se/Downloads/Transcripts/0%20-%20Government/USA%20-%20NASA%20Johnson/2009 07 22 - NASA Johnson - Desert RATS 2008_T7wC2mHStro - transcript (automated).pdf","Transcript Link")</f>
        <v>Transcript Link</v>
      </c>
      <c r="M3546" s="2" t="str">
        <f>HYPERLINK("https://files.afu.se/Downloads/Transcripts/0%20-%20Government/USA%20-%20NASA%20Johnson/2009 07 22 - NASA Johnson - Desert RATS 2008_T7wC2mHStro - transcript (automated).pdf","Transcript Link")</f>
        <v>Transcript Link</v>
      </c>
    </row>
    <row r="3547" ht="180" spans="1:13">
      <c r="A3547" s="1" t="s">
        <v>15564</v>
      </c>
      <c r="B3547" s="1" t="s">
        <v>13</v>
      </c>
      <c r="C3547" s="4" t="s">
        <v>15565</v>
      </c>
      <c r="D3547" s="1" t="s">
        <v>15566</v>
      </c>
      <c r="E3547" s="1" t="s">
        <v>15567</v>
      </c>
      <c r="F3547" s="4" t="s">
        <v>17</v>
      </c>
      <c r="G3547" s="1" t="s">
        <v>18</v>
      </c>
      <c r="H3547" s="1" t="s">
        <v>19</v>
      </c>
      <c r="I3547" s="1" t="s">
        <v>20</v>
      </c>
      <c r="J3547" s="1" t="s">
        <v>15568</v>
      </c>
      <c r="K3547" s="1" t="s">
        <v>22</v>
      </c>
      <c r="L3547" s="1" t="str">
        <f>HYPERLINK("https://files.afu.se/Downloads/Transcripts/0%20-%20Government/USA%20-%20NASA%20Johnson/2009 07 21 - NASA Johnson - STS-127 Crew Answers Your Questions From Space %2311_uGyNcwkZ6HU - transcript (automated).pdf","Transcript Link")</f>
        <v>Transcript Link</v>
      </c>
      <c r="M3547" s="2" t="str">
        <f>HYPERLINK("https://files.afu.se/Downloads/Transcripts/0%20-%20Government/USA%20-%20NASA%20Johnson/2009 07 21 - NASA Johnson - STS-127 Crew Answers Your Questions From Space %2311_uGyNcwkZ6HU - transcript (automated).pdf","Transcript Link")</f>
        <v>Transcript Link</v>
      </c>
    </row>
    <row r="3548" ht="180" spans="1:13">
      <c r="A3548" s="1" t="s">
        <v>15564</v>
      </c>
      <c r="B3548" s="1" t="s">
        <v>13</v>
      </c>
      <c r="C3548" s="4" t="s">
        <v>15569</v>
      </c>
      <c r="D3548" s="1" t="s">
        <v>15570</v>
      </c>
      <c r="E3548" s="1" t="s">
        <v>15571</v>
      </c>
      <c r="F3548" s="4" t="s">
        <v>17</v>
      </c>
      <c r="G3548" s="1" t="s">
        <v>18</v>
      </c>
      <c r="H3548" s="1" t="s">
        <v>19</v>
      </c>
      <c r="I3548" s="1" t="s">
        <v>20</v>
      </c>
      <c r="J3548" s="1" t="s">
        <v>15572</v>
      </c>
      <c r="K3548" s="1" t="s">
        <v>22</v>
      </c>
      <c r="L3548" s="1" t="str">
        <f>HYPERLINK("https://files.afu.se/Downloads/Transcripts/0%20-%20Government/USA%20-%20NASA%20Johnson/2009 07 21 - NASA Johnson - STS-127 Crew Answers Your Questions From Space %2310_Rnh7CehuaGM - transcript (automated).pdf","Transcript Link")</f>
        <v>Transcript Link</v>
      </c>
      <c r="M3548" s="2" t="str">
        <f>HYPERLINK("https://files.afu.se/Downloads/Transcripts/0%20-%20Government/USA%20-%20NASA%20Johnson/2009 07 21 - NASA Johnson - STS-127 Crew Answers Your Questions From Space %2310_Rnh7CehuaGM - transcript (automated).pdf","Transcript Link")</f>
        <v>Transcript Link</v>
      </c>
    </row>
    <row r="3549" ht="180" spans="1:13">
      <c r="A3549" s="1" t="s">
        <v>15564</v>
      </c>
      <c r="B3549" s="1" t="s">
        <v>13</v>
      </c>
      <c r="C3549" s="4" t="s">
        <v>15573</v>
      </c>
      <c r="D3549" s="1" t="s">
        <v>15574</v>
      </c>
      <c r="E3549" s="1" t="s">
        <v>15575</v>
      </c>
      <c r="F3549" s="4" t="s">
        <v>17</v>
      </c>
      <c r="G3549" s="1" t="s">
        <v>18</v>
      </c>
      <c r="H3549" s="1" t="s">
        <v>19</v>
      </c>
      <c r="I3549" s="1" t="s">
        <v>20</v>
      </c>
      <c r="J3549" s="1" t="s">
        <v>15576</v>
      </c>
      <c r="K3549" s="1" t="s">
        <v>22</v>
      </c>
      <c r="L3549" s="1" t="str">
        <f>HYPERLINK("https://files.afu.se/Downloads/Transcripts/0%20-%20Government/USA%20-%20NASA%20Johnson/2009 07 21 - NASA Johnson - STS-127 Crew Answers Your Questions From Space %239_1HDVqxKqt_Q - transcript (automated).pdf","Transcript Link")</f>
        <v>Transcript Link</v>
      </c>
      <c r="M3549" s="2" t="str">
        <f>HYPERLINK("https://files.afu.se/Downloads/Transcripts/0%20-%20Government/USA%20-%20NASA%20Johnson/2009 07 21 - NASA Johnson - STS-127 Crew Answers Your Questions From Space %239_1HDVqxKqt_Q - transcript (automated).pdf","Transcript Link")</f>
        <v>Transcript Link</v>
      </c>
    </row>
    <row r="3550" ht="180" spans="1:13">
      <c r="A3550" s="1" t="s">
        <v>15564</v>
      </c>
      <c r="B3550" s="1" t="s">
        <v>13</v>
      </c>
      <c r="C3550" s="4" t="s">
        <v>15577</v>
      </c>
      <c r="D3550" s="1" t="s">
        <v>15578</v>
      </c>
      <c r="E3550" s="1" t="s">
        <v>15579</v>
      </c>
      <c r="F3550" s="4" t="s">
        <v>17</v>
      </c>
      <c r="G3550" s="1" t="s">
        <v>18</v>
      </c>
      <c r="H3550" s="1" t="s">
        <v>19</v>
      </c>
      <c r="I3550" s="1" t="s">
        <v>20</v>
      </c>
      <c r="J3550" s="1" t="s">
        <v>15580</v>
      </c>
      <c r="K3550" s="1" t="s">
        <v>22</v>
      </c>
      <c r="L3550" s="1" t="str">
        <f>HYPERLINK("https://files.afu.se/Downloads/Transcripts/0%20-%20Government/USA%20-%20NASA%20Johnson/2009 07 21 - NASA Johnson - STS-127 Crew Answers Your Questions From Space %238_-jWsAZwA9ME - transcript (automated).pdf","Transcript Link")</f>
        <v>Transcript Link</v>
      </c>
      <c r="M3550" s="2" t="str">
        <f>HYPERLINK("https://files.afu.se/Downloads/Transcripts/0%20-%20Government/USA%20-%20NASA%20Johnson/2009 07 21 - NASA Johnson - STS-127 Crew Answers Your Questions From Space %238_-jWsAZwA9ME - transcript (automated).pdf","Transcript Link")</f>
        <v>Transcript Link</v>
      </c>
    </row>
    <row r="3551" ht="180" spans="1:13">
      <c r="A3551" s="1" t="s">
        <v>15564</v>
      </c>
      <c r="B3551" s="1" t="s">
        <v>13</v>
      </c>
      <c r="C3551" s="4" t="s">
        <v>15581</v>
      </c>
      <c r="D3551" s="1" t="s">
        <v>15582</v>
      </c>
      <c r="E3551" s="1" t="s">
        <v>15583</v>
      </c>
      <c r="F3551" s="4" t="s">
        <v>17</v>
      </c>
      <c r="G3551" s="1" t="s">
        <v>18</v>
      </c>
      <c r="H3551" s="1" t="s">
        <v>19</v>
      </c>
      <c r="I3551" s="1" t="s">
        <v>20</v>
      </c>
      <c r="J3551" s="1" t="s">
        <v>15584</v>
      </c>
      <c r="K3551" s="1" t="s">
        <v>22</v>
      </c>
      <c r="L3551" s="1" t="str">
        <f>HYPERLINK("https://files.afu.se/Downloads/Transcripts/0%20-%20Government/USA%20-%20NASA%20Johnson/2009 07 21 - NASA Johnson - STS-127 Crew Answers Your Questions From Space %237_c6kHaly_nsE - transcript (automated).pdf","Transcript Link")</f>
        <v>Transcript Link</v>
      </c>
      <c r="M3551" s="2" t="str">
        <f>HYPERLINK("https://files.afu.se/Downloads/Transcripts/0%20-%20Government/USA%20-%20NASA%20Johnson/2009 07 21 - NASA Johnson - STS-127 Crew Answers Your Questions From Space %237_c6kHaly_nsE - transcript (automated).pdf","Transcript Link")</f>
        <v>Transcript Link</v>
      </c>
    </row>
    <row r="3552" ht="180" spans="1:13">
      <c r="A3552" s="1" t="s">
        <v>15564</v>
      </c>
      <c r="B3552" s="1" t="s">
        <v>13</v>
      </c>
      <c r="C3552" s="4" t="s">
        <v>15585</v>
      </c>
      <c r="D3552" s="1" t="s">
        <v>15586</v>
      </c>
      <c r="E3552" s="1" t="s">
        <v>15587</v>
      </c>
      <c r="F3552" s="4" t="s">
        <v>17</v>
      </c>
      <c r="G3552" s="1" t="s">
        <v>18</v>
      </c>
      <c r="H3552" s="1" t="s">
        <v>19</v>
      </c>
      <c r="I3552" s="1" t="s">
        <v>20</v>
      </c>
      <c r="J3552" s="1" t="s">
        <v>15588</v>
      </c>
      <c r="K3552" s="1" t="s">
        <v>22</v>
      </c>
      <c r="L3552" s="1" t="str">
        <f>HYPERLINK("https://files.afu.se/Downloads/Transcripts/0%20-%20Government/USA%20-%20NASA%20Johnson/2009 07 21 - NASA Johnson - STS-127 Crew Answers Your Questions From Space %236_95swrZs1HCM - transcript (automated).pdf","Transcript Link")</f>
        <v>Transcript Link</v>
      </c>
      <c r="M3552" s="2" t="str">
        <f>HYPERLINK("https://files.afu.se/Downloads/Transcripts/0%20-%20Government/USA%20-%20NASA%20Johnson/2009 07 21 - NASA Johnson - STS-127 Crew Answers Your Questions From Space %236_95swrZs1HCM - transcript (automated).pdf","Transcript Link")</f>
        <v>Transcript Link</v>
      </c>
    </row>
    <row r="3553" ht="180" spans="1:13">
      <c r="A3553" s="1" t="s">
        <v>15564</v>
      </c>
      <c r="B3553" s="1" t="s">
        <v>13</v>
      </c>
      <c r="C3553" s="4" t="s">
        <v>15589</v>
      </c>
      <c r="D3553" s="1" t="s">
        <v>15590</v>
      </c>
      <c r="E3553" s="1" t="s">
        <v>15591</v>
      </c>
      <c r="F3553" s="4" t="s">
        <v>17</v>
      </c>
      <c r="G3553" s="1" t="s">
        <v>18</v>
      </c>
      <c r="H3553" s="1" t="s">
        <v>19</v>
      </c>
      <c r="I3553" s="1" t="s">
        <v>20</v>
      </c>
      <c r="J3553" s="1" t="s">
        <v>15592</v>
      </c>
      <c r="K3553" s="1" t="s">
        <v>22</v>
      </c>
      <c r="L3553" s="1" t="str">
        <f>HYPERLINK("https://files.afu.se/Downloads/Transcripts/0%20-%20Government/USA%20-%20NASA%20Johnson/2009 07 21 - NASA Johnson - STS-127 Crew Answers Your Questions From Space %235_0hiu7IaIWds - transcript (automated).pdf","Transcript Link")</f>
        <v>Transcript Link</v>
      </c>
      <c r="M3553" s="2" t="str">
        <f>HYPERLINK("https://files.afu.se/Downloads/Transcripts/0%20-%20Government/USA%20-%20NASA%20Johnson/2009 07 21 - NASA Johnson - STS-127 Crew Answers Your Questions From Space %235_0hiu7IaIWds - transcript (automated).pdf","Transcript Link")</f>
        <v>Transcript Link</v>
      </c>
    </row>
    <row r="3554" ht="180" spans="1:13">
      <c r="A3554" s="1" t="s">
        <v>15564</v>
      </c>
      <c r="B3554" s="1" t="s">
        <v>13</v>
      </c>
      <c r="C3554" s="4" t="s">
        <v>15593</v>
      </c>
      <c r="D3554" s="1" t="s">
        <v>15594</v>
      </c>
      <c r="E3554" s="1" t="s">
        <v>15595</v>
      </c>
      <c r="F3554" s="4" t="s">
        <v>17</v>
      </c>
      <c r="G3554" s="1" t="s">
        <v>18</v>
      </c>
      <c r="H3554" s="1" t="s">
        <v>19</v>
      </c>
      <c r="I3554" s="1" t="s">
        <v>20</v>
      </c>
      <c r="J3554" s="1" t="s">
        <v>15596</v>
      </c>
      <c r="K3554" s="1" t="s">
        <v>22</v>
      </c>
      <c r="L3554" s="1" t="str">
        <f>HYPERLINK("https://files.afu.se/Downloads/Transcripts/0%20-%20Government/USA%20-%20NASA%20Johnson/2009 07 21 - NASA Johnson - STS-127 Crew Answers Your Questions From Space %234_a3obOb8Vn8M - transcript (automated).pdf","Transcript Link")</f>
        <v>Transcript Link</v>
      </c>
      <c r="M3554" s="2" t="str">
        <f>HYPERLINK("https://files.afu.se/Downloads/Transcripts/0%20-%20Government/USA%20-%20NASA%20Johnson/2009 07 21 - NASA Johnson - STS-127 Crew Answers Your Questions From Space %234_a3obOb8Vn8M - transcript (automated).pdf","Transcript Link")</f>
        <v>Transcript Link</v>
      </c>
    </row>
    <row r="3555" ht="180" spans="1:13">
      <c r="A3555" s="1" t="s">
        <v>15564</v>
      </c>
      <c r="B3555" s="1" t="s">
        <v>13</v>
      </c>
      <c r="C3555" s="4" t="s">
        <v>15597</v>
      </c>
      <c r="D3555" s="1" t="s">
        <v>15598</v>
      </c>
      <c r="E3555" s="1" t="s">
        <v>15599</v>
      </c>
      <c r="F3555" s="4" t="s">
        <v>17</v>
      </c>
      <c r="G3555" s="1" t="s">
        <v>18</v>
      </c>
      <c r="H3555" s="1" t="s">
        <v>19</v>
      </c>
      <c r="I3555" s="1" t="s">
        <v>20</v>
      </c>
      <c r="J3555" s="1" t="s">
        <v>15600</v>
      </c>
      <c r="K3555" s="1" t="s">
        <v>22</v>
      </c>
      <c r="L3555" s="1" t="str">
        <f>HYPERLINK("https://files.afu.se/Downloads/Transcripts/0%20-%20Government/USA%20-%20NASA%20Johnson/2009 07 21 - NASA Johnson - STS-127 Crew Answers Your Questions From Space %233_bM9zGz0EOlw - transcript (automated).pdf","Transcript Link")</f>
        <v>Transcript Link</v>
      </c>
      <c r="M3555" s="2" t="str">
        <f>HYPERLINK("https://files.afu.se/Downloads/Transcripts/0%20-%20Government/USA%20-%20NASA%20Johnson/2009 07 21 - NASA Johnson - STS-127 Crew Answers Your Questions From Space %233_bM9zGz0EOlw - transcript (automated).pdf","Transcript Link")</f>
        <v>Transcript Link</v>
      </c>
    </row>
    <row r="3556" ht="180" spans="1:13">
      <c r="A3556" s="1" t="s">
        <v>15564</v>
      </c>
      <c r="B3556" s="1" t="s">
        <v>13</v>
      </c>
      <c r="C3556" s="4" t="s">
        <v>15601</v>
      </c>
      <c r="D3556" s="1" t="s">
        <v>15602</v>
      </c>
      <c r="E3556" s="1" t="s">
        <v>15603</v>
      </c>
      <c r="F3556" s="4" t="s">
        <v>17</v>
      </c>
      <c r="G3556" s="1" t="s">
        <v>18</v>
      </c>
      <c r="H3556" s="1" t="s">
        <v>19</v>
      </c>
      <c r="I3556" s="1" t="s">
        <v>20</v>
      </c>
      <c r="J3556" s="1" t="s">
        <v>15604</v>
      </c>
      <c r="K3556" s="1" t="s">
        <v>22</v>
      </c>
      <c r="L3556" s="1" t="str">
        <f>HYPERLINK("https://files.afu.se/Downloads/Transcripts/0%20-%20Government/USA%20-%20NASA%20Johnson/2009 07 21 - NASA Johnson - STS-127 Crew Answers Your Questions From Space %232_1g_PjqpL9Z4 - transcript (automated).pdf","Transcript Link")</f>
        <v>Transcript Link</v>
      </c>
      <c r="M3556" s="2" t="str">
        <f>HYPERLINK("https://files.afu.se/Downloads/Transcripts/0%20-%20Government/USA%20-%20NASA%20Johnson/2009 07 21 - NASA Johnson - STS-127 Crew Answers Your Questions From Space %232_1g_PjqpL9Z4 - transcript (automated).pdf","Transcript Link")</f>
        <v>Transcript Link</v>
      </c>
    </row>
    <row r="3557" ht="180" spans="1:13">
      <c r="A3557" s="1" t="s">
        <v>15564</v>
      </c>
      <c r="B3557" s="1" t="s">
        <v>13</v>
      </c>
      <c r="C3557" s="4" t="s">
        <v>15605</v>
      </c>
      <c r="D3557" s="1" t="s">
        <v>15606</v>
      </c>
      <c r="E3557" s="1" t="s">
        <v>15607</v>
      </c>
      <c r="F3557" s="4" t="s">
        <v>17</v>
      </c>
      <c r="G3557" s="1" t="s">
        <v>18</v>
      </c>
      <c r="H3557" s="1" t="s">
        <v>19</v>
      </c>
      <c r="I3557" s="1" t="s">
        <v>20</v>
      </c>
      <c r="J3557" s="1" t="s">
        <v>15608</v>
      </c>
      <c r="K3557" s="1" t="s">
        <v>22</v>
      </c>
      <c r="L3557" s="1" t="str">
        <f>HYPERLINK("https://files.afu.se/Downloads/Transcripts/0%20-%20Government/USA%20-%20NASA%20Johnson/2009 07 21 - NASA Johnson - STS-127 Crew Answers Your Questions From Space %231_5Y2Axi9ETxM - transcript (automated).pdf","Transcript Link")</f>
        <v>Transcript Link</v>
      </c>
      <c r="M3557" s="2" t="str">
        <f>HYPERLINK("https://files.afu.se/Downloads/Transcripts/0%20-%20Government/USA%20-%20NASA%20Johnson/2009 07 21 - NASA Johnson - STS-127 Crew Answers Your Questions From Space %231_5Y2Axi9ETxM - transcript (automated).pdf","Transcript Link")</f>
        <v>Transcript Link</v>
      </c>
    </row>
    <row r="3558" ht="180" spans="1:13">
      <c r="A3558" s="1" t="s">
        <v>15609</v>
      </c>
      <c r="B3558" s="1" t="s">
        <v>13</v>
      </c>
      <c r="C3558" s="4" t="s">
        <v>15610</v>
      </c>
      <c r="D3558" s="1" t="s">
        <v>15611</v>
      </c>
      <c r="E3558" s="1" t="s">
        <v>15612</v>
      </c>
      <c r="F3558" s="4" t="s">
        <v>17</v>
      </c>
      <c r="G3558" s="1" t="s">
        <v>18</v>
      </c>
      <c r="H3558" s="1" t="s">
        <v>19</v>
      </c>
      <c r="I3558" s="1" t="s">
        <v>20</v>
      </c>
      <c r="J3558" s="1" t="s">
        <v>15613</v>
      </c>
      <c r="K3558" s="1" t="s">
        <v>22</v>
      </c>
      <c r="L3558" s="1" t="str">
        <f>HYPERLINK("https://files.afu.se/Downloads/Transcripts/0%20-%20Government/USA%20-%20NASA%20Johnson/2009 07 17 - NASA Johnson - Apollo 11 Introduction_8il6rx-9a3c - transcript (automated).pdf","Transcript Link")</f>
        <v>Transcript Link</v>
      </c>
      <c r="M3558" s="2" t="str">
        <f>HYPERLINK("https://files.afu.se/Downloads/Transcripts/0%20-%20Government/USA%20-%20NASA%20Johnson/2009 07 17 - NASA Johnson - Apollo 11 Introduction_8il6rx-9a3c - transcript (automated).pdf","Transcript Link")</f>
        <v>Transcript Link</v>
      </c>
    </row>
    <row r="3559" ht="180" spans="1:13">
      <c r="A3559" s="1" t="s">
        <v>15609</v>
      </c>
      <c r="B3559" s="1" t="s">
        <v>13</v>
      </c>
      <c r="C3559" s="4" t="s">
        <v>15614</v>
      </c>
      <c r="D3559" s="1" t="s">
        <v>15615</v>
      </c>
      <c r="E3559" s="1" t="s">
        <v>15616</v>
      </c>
      <c r="F3559" s="4" t="s">
        <v>17</v>
      </c>
      <c r="G3559" s="1" t="s">
        <v>18</v>
      </c>
      <c r="H3559" s="1" t="s">
        <v>19</v>
      </c>
      <c r="I3559" s="1" t="s">
        <v>20</v>
      </c>
      <c r="J3559" s="1" t="s">
        <v>15617</v>
      </c>
      <c r="K3559" s="1" t="s">
        <v>22</v>
      </c>
      <c r="L3559" s="1" t="str">
        <f>HYPERLINK("https://files.afu.se/Downloads/Transcripts/0%20-%20Government/USA%20-%20NASA%20Johnson/2009 07 17 - NASA Johnson - Raising The American Flag_1J9H3niSXj8 - transcript (automated).pdf","Transcript Link")</f>
        <v>Transcript Link</v>
      </c>
      <c r="M3559" s="2" t="str">
        <f>HYPERLINK("https://files.afu.se/Downloads/Transcripts/0%20-%20Government/USA%20-%20NASA%20Johnson/2009 07 17 - NASA Johnson - Raising The American Flag_1J9H3niSXj8 - transcript (automated).pdf","Transcript Link")</f>
        <v>Transcript Link</v>
      </c>
    </row>
    <row r="3560" ht="180" spans="1:13">
      <c r="A3560" s="1" t="s">
        <v>15609</v>
      </c>
      <c r="B3560" s="1" t="s">
        <v>13</v>
      </c>
      <c r="C3560" s="4" t="s">
        <v>15618</v>
      </c>
      <c r="D3560" s="1" t="s">
        <v>15619</v>
      </c>
      <c r="E3560" s="1" t="s">
        <v>15620</v>
      </c>
      <c r="F3560" s="4" t="s">
        <v>17</v>
      </c>
      <c r="G3560" s="1" t="s">
        <v>18</v>
      </c>
      <c r="H3560" s="1" t="s">
        <v>19</v>
      </c>
      <c r="I3560" s="1" t="s">
        <v>20</v>
      </c>
      <c r="J3560" s="1" t="s">
        <v>15621</v>
      </c>
      <c r="K3560" s="1" t="s">
        <v>22</v>
      </c>
      <c r="L3560" s="1" t="str">
        <f>HYPERLINK("https://files.afu.se/Downloads/Transcripts/0%20-%20Government/USA%20-%20NASA%20Johnson/2009 07 17 - NASA Johnson - Apollo 11 Plaque_q84fSH9g5dk - transcript (automated).pdf","Transcript Link")</f>
        <v>Transcript Link</v>
      </c>
      <c r="M3560" s="2" t="str">
        <f>HYPERLINK("https://files.afu.se/Downloads/Transcripts/0%20-%20Government/USA%20-%20NASA%20Johnson/2009 07 17 - NASA Johnson - Apollo 11 Plaque_q84fSH9g5dk - transcript (automated).pdf","Transcript Link")</f>
        <v>Transcript Link</v>
      </c>
    </row>
    <row r="3561" ht="180" spans="1:13">
      <c r="A3561" s="1" t="s">
        <v>15609</v>
      </c>
      <c r="B3561" s="1" t="s">
        <v>13</v>
      </c>
      <c r="C3561" s="4" t="s">
        <v>15622</v>
      </c>
      <c r="D3561" s="1" t="s">
        <v>15623</v>
      </c>
      <c r="E3561" s="1" t="s">
        <v>15624</v>
      </c>
      <c r="F3561" s="4" t="s">
        <v>17</v>
      </c>
      <c r="G3561" s="1" t="s">
        <v>18</v>
      </c>
      <c r="H3561" s="1" t="s">
        <v>19</v>
      </c>
      <c r="I3561" s="1" t="s">
        <v>20</v>
      </c>
      <c r="J3561" s="1" t="s">
        <v>15625</v>
      </c>
      <c r="K3561" s="1" t="s">
        <v>22</v>
      </c>
      <c r="L3561" s="1" t="str">
        <f>HYPERLINK("https://files.afu.se/Downloads/Transcripts/0%20-%20Government/USA%20-%20NASA%20Johnson/2009 07 17 - NASA Johnson - One Small Step_na0scpoRBO0 - transcript (automated).pdf","Transcript Link")</f>
        <v>Transcript Link</v>
      </c>
      <c r="M3561" s="2" t="str">
        <f>HYPERLINK("https://files.afu.se/Downloads/Transcripts/0%20-%20Government/USA%20-%20NASA%20Johnson/2009 07 17 - NASA Johnson - One Small Step_na0scpoRBO0 - transcript (automated).pdf","Transcript Link")</f>
        <v>Transcript Link</v>
      </c>
    </row>
    <row r="3562" ht="180" spans="1:13">
      <c r="A3562" s="1" t="s">
        <v>15609</v>
      </c>
      <c r="B3562" s="1" t="s">
        <v>13</v>
      </c>
      <c r="C3562" s="4" t="s">
        <v>15626</v>
      </c>
      <c r="D3562" s="1" t="s">
        <v>15627</v>
      </c>
      <c r="E3562" s="1" t="s">
        <v>15628</v>
      </c>
      <c r="F3562" s="4" t="s">
        <v>17</v>
      </c>
      <c r="G3562" s="1" t="s">
        <v>18</v>
      </c>
      <c r="H3562" s="1" t="s">
        <v>19</v>
      </c>
      <c r="I3562" s="1" t="s">
        <v>20</v>
      </c>
      <c r="J3562" s="1" t="s">
        <v>15629</v>
      </c>
      <c r="K3562" s="1" t="s">
        <v>22</v>
      </c>
      <c r="L3562" s="1" t="str">
        <f>HYPERLINK("https://files.afu.se/Downloads/Transcripts/0%20-%20Government/USA%20-%20NASA%20Johnson/2009 07 17 - NASA Johnson - Buzz Aldrin Sets Foot on the Moon_FepUv3vmIM8 - transcript (automated).pdf","Transcript Link")</f>
        <v>Transcript Link</v>
      </c>
      <c r="M3562" s="2" t="str">
        <f>HYPERLINK("https://files.afu.se/Downloads/Transcripts/0%20-%20Government/USA%20-%20NASA%20Johnson/2009 07 17 - NASA Johnson - Buzz Aldrin Sets Foot on the Moon_FepUv3vmIM8 - transcript (automated).pdf","Transcript Link")</f>
        <v>Transcript Link</v>
      </c>
    </row>
    <row r="3563" ht="180" spans="1:13">
      <c r="A3563" s="1" t="s">
        <v>15609</v>
      </c>
      <c r="B3563" s="1" t="s">
        <v>13</v>
      </c>
      <c r="C3563" s="4" t="s">
        <v>15630</v>
      </c>
      <c r="D3563" s="1" t="s">
        <v>15631</v>
      </c>
      <c r="E3563" s="1" t="s">
        <v>15632</v>
      </c>
      <c r="F3563" s="4" t="s">
        <v>17</v>
      </c>
      <c r="G3563" s="1" t="s">
        <v>18</v>
      </c>
      <c r="H3563" s="1" t="s">
        <v>19</v>
      </c>
      <c r="I3563" s="1" t="s">
        <v>20</v>
      </c>
      <c r="J3563" s="1" t="s">
        <v>15633</v>
      </c>
      <c r="K3563" s="1" t="s">
        <v>22</v>
      </c>
      <c r="L3563" s="1" t="str">
        <f>HYPERLINK("https://files.afu.se/Downloads/Transcripts/0%20-%20Government/USA%20-%20NASA%20Johnson/2009 07 17 - NASA Johnson - Apollo 11 Moonwalk Montage_hxPbnFc7iU8 - transcript (automated).pdf","Transcript Link")</f>
        <v>Transcript Link</v>
      </c>
      <c r="M3563" s="2" t="str">
        <f>HYPERLINK("https://files.afu.se/Downloads/Transcripts/0%20-%20Government/USA%20-%20NASA%20Johnson/2009 07 17 - NASA Johnson - Apollo 11 Moonwalk Montage_hxPbnFc7iU8 - transcript (automated).pdf","Transcript Link")</f>
        <v>Transcript Link</v>
      </c>
    </row>
    <row r="3564" ht="180" spans="1:13">
      <c r="A3564" s="1" t="s">
        <v>15634</v>
      </c>
      <c r="B3564" s="1" t="s">
        <v>13</v>
      </c>
      <c r="C3564" s="4" t="s">
        <v>15635</v>
      </c>
      <c r="D3564" s="1" t="s">
        <v>15636</v>
      </c>
      <c r="E3564" s="1" t="s">
        <v>15637</v>
      </c>
      <c r="F3564" s="4" t="s">
        <v>17</v>
      </c>
      <c r="G3564" s="1" t="s">
        <v>18</v>
      </c>
      <c r="H3564" s="1" t="s">
        <v>19</v>
      </c>
      <c r="I3564" s="1" t="s">
        <v>20</v>
      </c>
      <c r="J3564" s="1" t="s">
        <v>15638</v>
      </c>
      <c r="K3564" s="1" t="s">
        <v>22</v>
      </c>
      <c r="L3564" s="1" t="str">
        <f>HYPERLINK("https://files.afu.se/Downloads/Transcripts/0%20-%20Government/USA%20-%20NASA%20Johnson/2009 07 16 - NASA Johnson - Endeavour Soars into Space!_Y6cCePwe7y0 - transcript (automated).pdf","Transcript Link")</f>
        <v>Transcript Link</v>
      </c>
      <c r="M3564" s="2" t="str">
        <f>HYPERLINK("https://files.afu.se/Downloads/Transcripts/0%20-%20Government/USA%20-%20NASA%20Johnson/2009 07 16 - NASA Johnson - Endeavour Soars into Space!_Y6cCePwe7y0 - transcript (automated).pdf","Transcript Link")</f>
        <v>Transcript Link</v>
      </c>
    </row>
    <row r="3565" ht="180" spans="1:13">
      <c r="A3565" s="1" t="s">
        <v>15639</v>
      </c>
      <c r="B3565" s="1" t="s">
        <v>13</v>
      </c>
      <c r="C3565" s="4" t="s">
        <v>15640</v>
      </c>
      <c r="D3565" s="1" t="s">
        <v>15641</v>
      </c>
      <c r="E3565" s="1" t="s">
        <v>15642</v>
      </c>
      <c r="F3565" s="4" t="s">
        <v>17</v>
      </c>
      <c r="G3565" s="1" t="s">
        <v>18</v>
      </c>
      <c r="H3565" s="1" t="s">
        <v>19</v>
      </c>
      <c r="I3565" s="1" t="s">
        <v>20</v>
      </c>
      <c r="J3565" s="1" t="s">
        <v>15643</v>
      </c>
      <c r="K3565" s="1" t="s">
        <v>22</v>
      </c>
      <c r="L3565" s="1" t="str">
        <f>HYPERLINK("https://files.afu.se/Downloads/Transcripts/0%20-%20Government/USA%20-%20NASA%20Johnson/2009 06 03 - NASA Johnson - sts125 flyover_VxcRkmi0kso - transcript (automated).pdf","Transcript Link")</f>
        <v>Transcript Link</v>
      </c>
      <c r="M3565" s="2" t="str">
        <f>HYPERLINK("https://files.afu.se/Downloads/Transcripts/0%20-%20Government/USA%20-%20NASA%20Johnson/2009 06 03 - NASA Johnson - sts125 flyover_VxcRkmi0kso - transcript (automated).pdf","Transcript Link")</f>
        <v>Transcript Link</v>
      </c>
    </row>
    <row r="3566" ht="255" spans="1:13">
      <c r="A3566" s="1" t="s">
        <v>15644</v>
      </c>
      <c r="B3566" s="1" t="s">
        <v>13</v>
      </c>
      <c r="C3566" s="4" t="s">
        <v>15645</v>
      </c>
      <c r="D3566" s="1" t="s">
        <v>15646</v>
      </c>
      <c r="E3566" s="1" t="s">
        <v>15647</v>
      </c>
      <c r="F3566" s="4" t="s">
        <v>17</v>
      </c>
      <c r="G3566" s="1" t="s">
        <v>18</v>
      </c>
      <c r="H3566" s="1" t="s">
        <v>19</v>
      </c>
      <c r="I3566" s="1" t="s">
        <v>20</v>
      </c>
      <c r="J3566" s="1" t="s">
        <v>15648</v>
      </c>
      <c r="K3566" s="1" t="s">
        <v>22</v>
      </c>
      <c r="L3566" s="1" t="str">
        <f>HYPERLINK("https://files.afu.se/Downloads/Transcripts/0%20-%20Government/USA%20-%20NASA%20Johnson/2009 05 20 - NASA Johnson - Astronaut Mike Fincke Welcomes You To ReelNASA on YouTube_DwpObdVfSa8 - transcript (automated).pdf","Transcript Link")</f>
        <v>Transcript Link</v>
      </c>
      <c r="M3566" s="2" t="str">
        <f>HYPERLINK("https://files.afu.se/Downloads/Transcripts/0%20-%20Government/USA%20-%20NASA%20Johnson/2009 05 20 - NASA Johnson - Astronaut Mike Fincke Welcomes You To ReelNASA on YouTube_DwpObdVfSa8 - transcript (automated).pdf","Transcript Link")</f>
        <v>Transcript Link</v>
      </c>
    </row>
    <row r="3567" ht="180" spans="1:13">
      <c r="A3567" s="1" t="s">
        <v>15649</v>
      </c>
      <c r="B3567" s="1" t="s">
        <v>13</v>
      </c>
      <c r="C3567" s="4" t="s">
        <v>15650</v>
      </c>
      <c r="D3567" s="1" t="s">
        <v>15651</v>
      </c>
      <c r="F3567" s="4" t="s">
        <v>17</v>
      </c>
      <c r="G3567" s="1" t="s">
        <v>18</v>
      </c>
      <c r="H3567" s="1" t="s">
        <v>19</v>
      </c>
      <c r="I3567" s="1" t="s">
        <v>20</v>
      </c>
      <c r="J3567" s="1" t="s">
        <v>15652</v>
      </c>
      <c r="K3567" s="1" t="s">
        <v>22</v>
      </c>
      <c r="L3567" s="1" t="str">
        <f>HYPERLINK("https://files.afu.se/Downloads/Transcripts/0%20-%20Government/USA%20-%20NASA%20Johnson/2009 05 14 - NASA Johnson - Atlantis visits Hubble  Flight Day 2 Highlights_QUJw22gHmYM - transcript (automated).pdf","Transcript Link")</f>
        <v>Transcript Link</v>
      </c>
      <c r="M3567" s="2" t="str">
        <f>HYPERLINK("https://files.afu.se/Downloads/Transcripts/0%20-%20Government/USA%20-%20NASA%20Johnson/2009 05 14 - NASA Johnson - Atlantis visits Hubble  Flight Day 2 Highlights_QUJw22gHmYM - transcript (automated).pdf","Transcript Link")</f>
        <v>Transcript Link</v>
      </c>
    </row>
    <row r="3568" ht="180" spans="1:13">
      <c r="A3568" s="1" t="s">
        <v>15649</v>
      </c>
      <c r="B3568" s="1" t="s">
        <v>13</v>
      </c>
      <c r="C3568" s="4" t="s">
        <v>15653</v>
      </c>
      <c r="D3568" s="1" t="s">
        <v>15654</v>
      </c>
      <c r="F3568" s="4" t="s">
        <v>17</v>
      </c>
      <c r="G3568" s="1" t="s">
        <v>18</v>
      </c>
      <c r="H3568" s="1" t="s">
        <v>19</v>
      </c>
      <c r="I3568" s="1" t="s">
        <v>20</v>
      </c>
      <c r="J3568" s="1" t="s">
        <v>15655</v>
      </c>
      <c r="K3568" s="1" t="s">
        <v>22</v>
      </c>
      <c r="L3568" s="1" t="str">
        <f>HYPERLINK("https://files.afu.se/Downloads/Transcripts/0%20-%20Government/USA%20-%20NASA%20Johnson/2009 05 14 - NASA Johnson - Got it! Atlantis Has a Hold on Hubble_Cziu4wMu880 - transcript (automated).pdf","Transcript Link")</f>
        <v>Transcript Link</v>
      </c>
      <c r="M3568" s="2" t="str">
        <f>HYPERLINK("https://files.afu.se/Downloads/Transcripts/0%20-%20Government/USA%20-%20NASA%20Johnson/2009 05 14 - NASA Johnson - Got it! Atlantis Has a Hold on Hubble_Cziu4wMu880 - transcript (automated).pdf","Transcript Link")</f>
        <v>Transcript Link</v>
      </c>
    </row>
    <row r="3569" ht="285" spans="1:13">
      <c r="A3569" s="1" t="s">
        <v>15656</v>
      </c>
      <c r="B3569" s="1" t="s">
        <v>13</v>
      </c>
      <c r="C3569" s="4" t="s">
        <v>15657</v>
      </c>
      <c r="D3569" s="1" t="s">
        <v>15658</v>
      </c>
      <c r="E3569" s="1" t="s">
        <v>15659</v>
      </c>
      <c r="F3569" s="4" t="s">
        <v>17</v>
      </c>
      <c r="G3569" s="1" t="s">
        <v>18</v>
      </c>
      <c r="H3569" s="1" t="s">
        <v>19</v>
      </c>
      <c r="I3569" s="1" t="s">
        <v>20</v>
      </c>
      <c r="J3569" s="1" t="s">
        <v>15660</v>
      </c>
      <c r="K3569" s="1" t="s">
        <v>22</v>
      </c>
      <c r="L3569" s="1" t="str">
        <f>HYPERLINK("https://files.afu.se/Downloads/Transcripts/0%20-%20Government/USA%20-%20NASA%20Johnson/2009 05 08 - NASA Johnson - Shuttle Commander Takes Video Questions In Space - POST VIDEO RESPONSE!_e16eXXAoisg - transcript (automated).pdf","Transcript Link")</f>
        <v>Transcript Link</v>
      </c>
      <c r="M3569" s="2" t="str">
        <f>HYPERLINK("https://files.afu.se/Downloads/Transcripts/0%20-%20Government/USA%20-%20NASA%20Johnson/2009 05 08 - NASA Johnson - Shuttle Commander Takes Video Questions In Space - POST VIDEO RESPONSE!_e16eXXAoisg - transcript (automated).pdf","Transcript Link")</f>
        <v>Transcript Link</v>
      </c>
    </row>
    <row r="3570" ht="180" spans="1:13">
      <c r="A3570" s="1" t="s">
        <v>15661</v>
      </c>
      <c r="B3570" s="1" t="s">
        <v>13</v>
      </c>
      <c r="C3570" s="4" t="s">
        <v>15662</v>
      </c>
      <c r="D3570" s="1" t="s">
        <v>15663</v>
      </c>
      <c r="E3570" s="1" t="s">
        <v>15664</v>
      </c>
      <c r="F3570" s="4" t="s">
        <v>17</v>
      </c>
      <c r="G3570" s="1" t="s">
        <v>18</v>
      </c>
      <c r="H3570" s="1" t="s">
        <v>19</v>
      </c>
      <c r="I3570" s="1" t="s">
        <v>20</v>
      </c>
      <c r="J3570" s="1" t="s">
        <v>15665</v>
      </c>
      <c r="K3570" s="1" t="s">
        <v>22</v>
      </c>
      <c r="L3570" s="1" t="str">
        <f>HYPERLINK("https://files.afu.se/Downloads/Transcripts/0%20-%20Government/USA%20-%20NASA%20Johnson/2009 04 16 - NASA Johnson - Behind the Scenes of Designing Lunar Living Spaces_wlyuwC8CMxI - transcript (automated).pdf","Transcript Link")</f>
        <v>Transcript Link</v>
      </c>
      <c r="M3570" s="2" t="str">
        <f>HYPERLINK("https://files.afu.se/Downloads/Transcripts/0%20-%20Government/USA%20-%20NASA%20Johnson/2009 04 16 - NASA Johnson - Behind the Scenes of Designing Lunar Living Spaces_wlyuwC8CMxI - transcript (automated).pdf","Transcript Link")</f>
        <v>Transcript Link</v>
      </c>
    </row>
    <row r="3571" ht="180" spans="1:13">
      <c r="A3571" s="1" t="s">
        <v>15666</v>
      </c>
      <c r="B3571" s="1" t="s">
        <v>13</v>
      </c>
      <c r="C3571" s="4" t="s">
        <v>15667</v>
      </c>
      <c r="D3571" s="1" t="s">
        <v>15668</v>
      </c>
      <c r="E3571" s="1" t="s">
        <v>15669</v>
      </c>
      <c r="F3571" s="4" t="s">
        <v>17</v>
      </c>
      <c r="G3571" s="1" t="s">
        <v>18</v>
      </c>
      <c r="H3571" s="1" t="s">
        <v>19</v>
      </c>
      <c r="I3571" s="1" t="s">
        <v>20</v>
      </c>
      <c r="J3571" s="1" t="s">
        <v>15670</v>
      </c>
      <c r="K3571" s="1" t="s">
        <v>22</v>
      </c>
      <c r="L3571" s="1" t="str">
        <f>HYPERLINK("https://files.afu.se/Downloads/Transcripts/0%20-%20Government/USA%20-%20NASA%20Johnson/2009 04 10 - NASA Johnson - Our Place in Space  Propulsion at Purdue_kmZFbxt5WBQ - transcript (automated).pdf","Transcript Link")</f>
        <v>Transcript Link</v>
      </c>
      <c r="M3571" s="2" t="str">
        <f>HYPERLINK("https://files.afu.se/Downloads/Transcripts/0%20-%20Government/USA%20-%20NASA%20Johnson/2009 04 10 - NASA Johnson - Our Place in Space  Propulsion at Purdue_kmZFbxt5WBQ - transcript (automated).pdf","Transcript Link")</f>
        <v>Transcript Link</v>
      </c>
    </row>
    <row r="3572" ht="180" spans="1:13">
      <c r="A3572" s="1" t="s">
        <v>15671</v>
      </c>
      <c r="B3572" s="1" t="s">
        <v>13</v>
      </c>
      <c r="C3572" s="4" t="s">
        <v>15672</v>
      </c>
      <c r="D3572" s="1" t="s">
        <v>15673</v>
      </c>
      <c r="E3572" s="1" t="s">
        <v>15674</v>
      </c>
      <c r="F3572" s="4" t="s">
        <v>17</v>
      </c>
      <c r="G3572" s="1" t="s">
        <v>18</v>
      </c>
      <c r="H3572" s="1" t="s">
        <v>19</v>
      </c>
      <c r="I3572" s="1" t="s">
        <v>20</v>
      </c>
      <c r="J3572" s="1" t="s">
        <v>15675</v>
      </c>
      <c r="K3572" s="1" t="s">
        <v>22</v>
      </c>
      <c r="L3572" s="1" t="str">
        <f>HYPERLINK("https://files.afu.se/Downloads/Transcripts/0%20-%20Government/USA%20-%20NASA%20Johnson/2009 03 26 - NASA Johnson - STS-119 Flyaround_xNYFlxLgH04 - transcript (automated).pdf","Transcript Link")</f>
        <v>Transcript Link</v>
      </c>
      <c r="M3572" s="2" t="str">
        <f>HYPERLINK("https://files.afu.se/Downloads/Transcripts/0%20-%20Government/USA%20-%20NASA%20Johnson/2009 03 26 - NASA Johnson - STS-119 Flyaround_xNYFlxLgH04 - transcript (automated).pdf","Transcript Link")</f>
        <v>Transcript Link</v>
      </c>
    </row>
    <row r="3573" ht="180" spans="1:13">
      <c r="A3573" s="1" t="s">
        <v>15676</v>
      </c>
      <c r="B3573" s="1" t="s">
        <v>13</v>
      </c>
      <c r="C3573" s="4" t="s">
        <v>15677</v>
      </c>
      <c r="D3573" s="1" t="s">
        <v>15678</v>
      </c>
      <c r="E3573" s="1" t="s">
        <v>15679</v>
      </c>
      <c r="F3573" s="4" t="s">
        <v>17</v>
      </c>
      <c r="G3573" s="1" t="s">
        <v>18</v>
      </c>
      <c r="H3573" s="1" t="s">
        <v>19</v>
      </c>
      <c r="I3573" s="1" t="s">
        <v>20</v>
      </c>
      <c r="J3573" s="1" t="s">
        <v>15680</v>
      </c>
      <c r="K3573" s="1" t="s">
        <v>22</v>
      </c>
      <c r="L3573" s="1" t="str">
        <f>HYPERLINK("https://files.afu.se/Downloads/Transcripts/0%20-%20Government/USA%20-%20NASA%20Johnson/2009 03 25 - NASA Johnson - STS-119  The Motion of Space_5risLyeWcic - transcript (automated).pdf","Transcript Link")</f>
        <v>Transcript Link</v>
      </c>
      <c r="M3573" s="2" t="str">
        <f>HYPERLINK("https://files.afu.se/Downloads/Transcripts/0%20-%20Government/USA%20-%20NASA%20Johnson/2009 03 25 - NASA Johnson - STS-119  The Motion of Space_5risLyeWcic - transcript (automated).pdf","Transcript Link")</f>
        <v>Transcript Link</v>
      </c>
    </row>
    <row r="3574" ht="180" spans="1:13">
      <c r="A3574" s="1" t="s">
        <v>15676</v>
      </c>
      <c r="B3574" s="1" t="s">
        <v>13</v>
      </c>
      <c r="C3574" s="4" t="s">
        <v>15681</v>
      </c>
      <c r="D3574" s="1" t="s">
        <v>15682</v>
      </c>
      <c r="E3574" s="1" t="s">
        <v>15683</v>
      </c>
      <c r="F3574" s="4" t="s">
        <v>17</v>
      </c>
      <c r="G3574" s="1" t="s">
        <v>18</v>
      </c>
      <c r="H3574" s="1" t="s">
        <v>19</v>
      </c>
      <c r="I3574" s="1" t="s">
        <v>20</v>
      </c>
      <c r="J3574" s="1" t="s">
        <v>15684</v>
      </c>
      <c r="K3574" s="1" t="s">
        <v>22</v>
      </c>
      <c r="L3574" s="1" t="str">
        <f>HYPERLINK("https://files.afu.se/Downloads/Transcripts/0%20-%20Government/USA%20-%20NASA%20Johnson/2009 03 25 - NASA Johnson - STS-119 Crew Farewell_GcJGof6sIgE - transcript (automated).pdf","Transcript Link")</f>
        <v>Transcript Link</v>
      </c>
      <c r="M3574" s="2" t="str">
        <f>HYPERLINK("https://files.afu.se/Downloads/Transcripts/0%20-%20Government/USA%20-%20NASA%20Johnson/2009 03 25 - NASA Johnson - STS-119 Crew Farewell_GcJGof6sIgE - transcript (automated).pdf","Transcript Link")</f>
        <v>Transcript Link</v>
      </c>
    </row>
    <row r="3575" ht="180" spans="1:13">
      <c r="A3575" s="1" t="s">
        <v>15676</v>
      </c>
      <c r="B3575" s="1" t="s">
        <v>13</v>
      </c>
      <c r="C3575" s="4" t="s">
        <v>15685</v>
      </c>
      <c r="D3575" s="1" t="s">
        <v>15686</v>
      </c>
      <c r="E3575" s="1" t="s">
        <v>15687</v>
      </c>
      <c r="F3575" s="4" t="s">
        <v>17</v>
      </c>
      <c r="G3575" s="1" t="s">
        <v>18</v>
      </c>
      <c r="H3575" s="1" t="s">
        <v>19</v>
      </c>
      <c r="I3575" s="1" t="s">
        <v>20</v>
      </c>
      <c r="J3575" s="1" t="s">
        <v>15688</v>
      </c>
      <c r="K3575" s="1" t="s">
        <v>22</v>
      </c>
      <c r="L3575" s="1" t="str">
        <f>HYPERLINK("https://files.afu.se/Downloads/Transcripts/0%20-%20Government/USA%20-%20NASA%20Johnson/2009 03 25 - NASA Johnson - President Barack Obama Speaks to the Shuttle and Station Crews, Part 4_3AXwJ_umiFo - transcript (automated).pdf","Transcript Link")</f>
        <v>Transcript Link</v>
      </c>
      <c r="M3575" s="2" t="str">
        <f>HYPERLINK("https://files.afu.se/Downloads/Transcripts/0%20-%20Government/USA%20-%20NASA%20Johnson/2009 03 25 - NASA Johnson - President Barack Obama Speaks to the Shuttle and Station Crews, Part 4_3AXwJ_umiFo - transcript (automated).pdf","Transcript Link")</f>
        <v>Transcript Link</v>
      </c>
    </row>
    <row r="3576" ht="180" spans="1:13">
      <c r="A3576" s="1" t="s">
        <v>15676</v>
      </c>
      <c r="B3576" s="1" t="s">
        <v>13</v>
      </c>
      <c r="C3576" s="4" t="s">
        <v>15689</v>
      </c>
      <c r="D3576" s="1" t="s">
        <v>15690</v>
      </c>
      <c r="E3576" s="1" t="s">
        <v>15687</v>
      </c>
      <c r="F3576" s="4" t="s">
        <v>17</v>
      </c>
      <c r="G3576" s="1" t="s">
        <v>18</v>
      </c>
      <c r="H3576" s="1" t="s">
        <v>19</v>
      </c>
      <c r="I3576" s="1" t="s">
        <v>20</v>
      </c>
      <c r="J3576" s="1" t="s">
        <v>15691</v>
      </c>
      <c r="K3576" s="1" t="s">
        <v>22</v>
      </c>
      <c r="L3576" s="1" t="str">
        <f>HYPERLINK("https://files.afu.se/Downloads/Transcripts/0%20-%20Government/USA%20-%20NASA%20Johnson/2009 03 25 - NASA Johnson - President Barack Obama Speaks to the Shuttle and Station Crews, Part 1__tZX2HUG_qs - transcript (automated).pdf","Transcript Link")</f>
        <v>Transcript Link</v>
      </c>
      <c r="M3576" s="2" t="str">
        <f>HYPERLINK("https://files.afu.se/Downloads/Transcripts/0%20-%20Government/USA%20-%20NASA%20Johnson/2009 03 25 - NASA Johnson - President Barack Obama Speaks to the Shuttle and Station Crews, Part 1__tZX2HUG_qs - transcript (automated).pdf","Transcript Link")</f>
        <v>Transcript Link</v>
      </c>
    </row>
    <row r="3577" ht="180" spans="1:13">
      <c r="A3577" s="1" t="s">
        <v>15676</v>
      </c>
      <c r="B3577" s="1" t="s">
        <v>13</v>
      </c>
      <c r="C3577" s="4" t="s">
        <v>15692</v>
      </c>
      <c r="D3577" s="1" t="s">
        <v>15693</v>
      </c>
      <c r="E3577" s="1" t="s">
        <v>15687</v>
      </c>
      <c r="F3577" s="4" t="s">
        <v>17</v>
      </c>
      <c r="G3577" s="1" t="s">
        <v>18</v>
      </c>
      <c r="H3577" s="1" t="s">
        <v>19</v>
      </c>
      <c r="I3577" s="1" t="s">
        <v>20</v>
      </c>
      <c r="J3577" s="1" t="s">
        <v>15694</v>
      </c>
      <c r="K3577" s="1" t="s">
        <v>22</v>
      </c>
      <c r="L3577" s="1" t="str">
        <f>HYPERLINK("https://files.afu.se/Downloads/Transcripts/0%20-%20Government/USA%20-%20NASA%20Johnson/2009 03 25 - NASA Johnson - President Barack Obama Speaks to the Shuttle and Station Crews, Part 2_rLZoTAY3MDc - transcript (automated).pdf","Transcript Link")</f>
        <v>Transcript Link</v>
      </c>
      <c r="M3577" s="2" t="str">
        <f>HYPERLINK("https://files.afu.se/Downloads/Transcripts/0%20-%20Government/USA%20-%20NASA%20Johnson/2009 03 25 - NASA Johnson - President Barack Obama Speaks to the Shuttle and Station Crews, Part 2_rLZoTAY3MDc - transcript (automated).pdf","Transcript Link")</f>
        <v>Transcript Link</v>
      </c>
    </row>
    <row r="3578" ht="180" spans="1:13">
      <c r="A3578" s="1" t="s">
        <v>15676</v>
      </c>
      <c r="B3578" s="1" t="s">
        <v>13</v>
      </c>
      <c r="C3578" s="4" t="s">
        <v>15695</v>
      </c>
      <c r="D3578" s="1" t="s">
        <v>15696</v>
      </c>
      <c r="E3578" s="1" t="s">
        <v>15687</v>
      </c>
      <c r="F3578" s="4" t="s">
        <v>17</v>
      </c>
      <c r="G3578" s="1" t="s">
        <v>18</v>
      </c>
      <c r="H3578" s="1" t="s">
        <v>19</v>
      </c>
      <c r="I3578" s="1" t="s">
        <v>20</v>
      </c>
      <c r="J3578" s="1" t="s">
        <v>15697</v>
      </c>
      <c r="K3578" s="1" t="s">
        <v>22</v>
      </c>
      <c r="L3578" s="1" t="str">
        <f>HYPERLINK("https://files.afu.se/Downloads/Transcripts/0%20-%20Government/USA%20-%20NASA%20Johnson/2009 03 25 - NASA Johnson - President Barack Obama Speaks to the Shuttle and Station Crews, Part 6_9X92RvFxt8c - transcript (automated).pdf","Transcript Link")</f>
        <v>Transcript Link</v>
      </c>
      <c r="M3578" s="2" t="str">
        <f>HYPERLINK("https://files.afu.se/Downloads/Transcripts/0%20-%20Government/USA%20-%20NASA%20Johnson/2009 03 25 - NASA Johnson - President Barack Obama Speaks to the Shuttle and Station Crews, Part 6_9X92RvFxt8c - transcript (automated).pdf","Transcript Link")</f>
        <v>Transcript Link</v>
      </c>
    </row>
    <row r="3579" ht="180" spans="1:13">
      <c r="A3579" s="1" t="s">
        <v>15676</v>
      </c>
      <c r="B3579" s="1" t="s">
        <v>13</v>
      </c>
      <c r="C3579" s="4" t="s">
        <v>15698</v>
      </c>
      <c r="D3579" s="1" t="s">
        <v>15699</v>
      </c>
      <c r="E3579" s="1" t="s">
        <v>15687</v>
      </c>
      <c r="F3579" s="4" t="s">
        <v>17</v>
      </c>
      <c r="G3579" s="1" t="s">
        <v>18</v>
      </c>
      <c r="H3579" s="1" t="s">
        <v>19</v>
      </c>
      <c r="I3579" s="1" t="s">
        <v>20</v>
      </c>
      <c r="J3579" s="1" t="s">
        <v>15700</v>
      </c>
      <c r="K3579" s="1" t="s">
        <v>22</v>
      </c>
      <c r="L3579" s="1" t="str">
        <f>HYPERLINK("https://files.afu.se/Downloads/Transcripts/0%20-%20Government/USA%20-%20NASA%20Johnson/2009 03 25 - NASA Johnson - President Barack Obama Speaks to the Shuttle and Station Crews, Part 5_rEPK4Yw5Ics - transcript (automated).pdf","Transcript Link")</f>
        <v>Transcript Link</v>
      </c>
      <c r="M3579" s="2" t="str">
        <f>HYPERLINK("https://files.afu.se/Downloads/Transcripts/0%20-%20Government/USA%20-%20NASA%20Johnson/2009 03 25 - NASA Johnson - President Barack Obama Speaks to the Shuttle and Station Crews, Part 5_rEPK4Yw5Ics - transcript (automated).pdf","Transcript Link")</f>
        <v>Transcript Link</v>
      </c>
    </row>
    <row r="3580" ht="180" spans="1:13">
      <c r="A3580" s="1" t="s">
        <v>15676</v>
      </c>
      <c r="B3580" s="1" t="s">
        <v>13</v>
      </c>
      <c r="C3580" s="4" t="s">
        <v>15701</v>
      </c>
      <c r="D3580" s="1" t="s">
        <v>15702</v>
      </c>
      <c r="E3580" s="1" t="s">
        <v>15687</v>
      </c>
      <c r="F3580" s="4" t="s">
        <v>17</v>
      </c>
      <c r="G3580" s="1" t="s">
        <v>18</v>
      </c>
      <c r="H3580" s="1" t="s">
        <v>19</v>
      </c>
      <c r="I3580" s="1" t="s">
        <v>20</v>
      </c>
      <c r="J3580" s="1" t="s">
        <v>15703</v>
      </c>
      <c r="K3580" s="1" t="s">
        <v>22</v>
      </c>
      <c r="L3580" s="1" t="str">
        <f>HYPERLINK("https://files.afu.se/Downloads/Transcripts/0%20-%20Government/USA%20-%20NASA%20Johnson/2009 03 25 - NASA Johnson - President Barack Obama Speaks to the Shuttle and Station Crews, Part 3_Wd1xr7XvYE8 - transcript (automated).pdf","Transcript Link")</f>
        <v>Transcript Link</v>
      </c>
      <c r="M3580" s="2" t="str">
        <f>HYPERLINK("https://files.afu.se/Downloads/Transcripts/0%20-%20Government/USA%20-%20NASA%20Johnson/2009 03 25 - NASA Johnson - President Barack Obama Speaks to the Shuttle and Station Crews, Part 3_Wd1xr7XvYE8 - transcript (automated).pdf","Transcript Link")</f>
        <v>Transcript Link</v>
      </c>
    </row>
    <row r="3581" ht="180" spans="1:13">
      <c r="A3581" s="1" t="s">
        <v>15704</v>
      </c>
      <c r="B3581" s="1" t="s">
        <v>13</v>
      </c>
      <c r="C3581" s="4" t="s">
        <v>15705</v>
      </c>
      <c r="D3581" s="1" t="s">
        <v>15706</v>
      </c>
      <c r="E3581" s="1" t="s">
        <v>15707</v>
      </c>
      <c r="F3581" s="4" t="s">
        <v>17</v>
      </c>
      <c r="G3581" s="1" t="s">
        <v>18</v>
      </c>
      <c r="H3581" s="1" t="s">
        <v>19</v>
      </c>
      <c r="I3581" s="1" t="s">
        <v>20</v>
      </c>
      <c r="J3581" s="1" t="s">
        <v>15708</v>
      </c>
      <c r="K3581" s="1" t="s">
        <v>22</v>
      </c>
      <c r="L3581" s="1" t="str">
        <f>HYPERLINK("https://files.afu.se/Downloads/Transcripts/0%20-%20Government/USA%20-%20NASA%20Johnson/2009 03 23 - NASA Johnson - STS-119 Flight Day 8 Highlights_DYkDzPAhC3Y - transcript (automated).pdf","Transcript Link")</f>
        <v>Transcript Link</v>
      </c>
      <c r="M3581" s="2" t="str">
        <f>HYPERLINK("https://files.afu.se/Downloads/Transcripts/0%20-%20Government/USA%20-%20NASA%20Johnson/2009 03 23 - NASA Johnson - STS-119 Flight Day 8 Highlights_DYkDzPAhC3Y - transcript (automated).pdf","Transcript Link")</f>
        <v>Transcript Link</v>
      </c>
    </row>
    <row r="3582" ht="180" spans="1:13">
      <c r="A3582" s="1" t="s">
        <v>15709</v>
      </c>
      <c r="B3582" s="1" t="s">
        <v>13</v>
      </c>
      <c r="C3582" s="4" t="s">
        <v>15710</v>
      </c>
      <c r="D3582" s="1" t="s">
        <v>15711</v>
      </c>
      <c r="E3582" s="1" t="s">
        <v>15712</v>
      </c>
      <c r="F3582" s="4" t="s">
        <v>17</v>
      </c>
      <c r="G3582" s="1" t="s">
        <v>18</v>
      </c>
      <c r="H3582" s="1" t="s">
        <v>19</v>
      </c>
      <c r="I3582" s="1" t="s">
        <v>20</v>
      </c>
      <c r="J3582" s="1" t="s">
        <v>15713</v>
      </c>
      <c r="K3582" s="1" t="s">
        <v>22</v>
      </c>
      <c r="L3582" s="1" t="str">
        <f>HYPERLINK("https://files.afu.se/Downloads/Transcripts/0%20-%20Government/USA%20-%20NASA%20Johnson/2009 03 22 - NASA Johnson - STS-119  Exercising in Space_0ue85np82C8 - transcript (automated).pdf","Transcript Link")</f>
        <v>Transcript Link</v>
      </c>
      <c r="M3582" s="2" t="str">
        <f>HYPERLINK("https://files.afu.se/Downloads/Transcripts/0%20-%20Government/USA%20-%20NASA%20Johnson/2009 03 22 - NASA Johnson - STS-119  Exercising in Space_0ue85np82C8 - transcript (automated).pdf","Transcript Link")</f>
        <v>Transcript Link</v>
      </c>
    </row>
    <row r="3583" ht="180" spans="1:13">
      <c r="A3583" s="1" t="s">
        <v>15714</v>
      </c>
      <c r="B3583" s="1" t="s">
        <v>13</v>
      </c>
      <c r="C3583" s="4" t="s">
        <v>15715</v>
      </c>
      <c r="D3583" s="1" t="s">
        <v>15716</v>
      </c>
      <c r="E3583" s="1" t="s">
        <v>15717</v>
      </c>
      <c r="F3583" s="4" t="s">
        <v>17</v>
      </c>
      <c r="G3583" s="1" t="s">
        <v>18</v>
      </c>
      <c r="H3583" s="1" t="s">
        <v>19</v>
      </c>
      <c r="I3583" s="1" t="s">
        <v>20</v>
      </c>
      <c r="J3583" s="1" t="s">
        <v>15718</v>
      </c>
      <c r="K3583" s="1" t="s">
        <v>22</v>
      </c>
      <c r="L3583" s="1" t="str">
        <f>HYPERLINK("https://files.afu.se/Downloads/Transcripts/0%20-%20Government/USA%20-%20NASA%20Johnson/2009 03 21 - NASA Johnson - Radio Exercise_861EPmdpmRU - transcript (automated).pdf","Transcript Link")</f>
        <v>Transcript Link</v>
      </c>
      <c r="M3583" s="2" t="str">
        <f>HYPERLINK("https://files.afu.se/Downloads/Transcripts/0%20-%20Government/USA%20-%20NASA%20Johnson/2009 03 21 - NASA Johnson - Radio Exercise_861EPmdpmRU - transcript (automated).pdf","Transcript Link")</f>
        <v>Transcript Link</v>
      </c>
    </row>
    <row r="3584" ht="180" spans="1:13">
      <c r="A3584" s="1" t="s">
        <v>15714</v>
      </c>
      <c r="B3584" s="1" t="s">
        <v>13</v>
      </c>
      <c r="C3584" s="4" t="s">
        <v>15719</v>
      </c>
      <c r="D3584" s="1" t="s">
        <v>15720</v>
      </c>
      <c r="E3584" s="1" t="s">
        <v>15721</v>
      </c>
      <c r="F3584" s="4" t="s">
        <v>17</v>
      </c>
      <c r="G3584" s="1" t="s">
        <v>18</v>
      </c>
      <c r="H3584" s="1" t="s">
        <v>19</v>
      </c>
      <c r="I3584" s="1" t="s">
        <v>20</v>
      </c>
      <c r="J3584" s="1" t="s">
        <v>15722</v>
      </c>
      <c r="K3584" s="1" t="s">
        <v>22</v>
      </c>
      <c r="L3584" s="1" t="str">
        <f>HYPERLINK("https://files.afu.se/Downloads/Transcripts/0%20-%20Government/USA%20-%20NASA%20Johnson/2009 03 21 - NASA Johnson - Free Bird!_lg3sMZPO7FA - transcript (automated).pdf","Transcript Link")</f>
        <v>Transcript Link</v>
      </c>
      <c r="M3584" s="2" t="str">
        <f>HYPERLINK("https://files.afu.se/Downloads/Transcripts/0%20-%20Government/USA%20-%20NASA%20Johnson/2009 03 21 - NASA Johnson - Free Bird!_lg3sMZPO7FA - transcript (automated).pdf","Transcript Link")</f>
        <v>Transcript Link</v>
      </c>
    </row>
    <row r="3585" ht="180" spans="1:13">
      <c r="A3585" s="1" t="s">
        <v>15723</v>
      </c>
      <c r="B3585" s="1" t="s">
        <v>13</v>
      </c>
      <c r="C3585" s="4" t="s">
        <v>15724</v>
      </c>
      <c r="D3585" s="1" t="s">
        <v>15725</v>
      </c>
      <c r="E3585" s="1" t="s">
        <v>15726</v>
      </c>
      <c r="F3585" s="4" t="s">
        <v>17</v>
      </c>
      <c r="G3585" s="1" t="s">
        <v>18</v>
      </c>
      <c r="H3585" s="1" t="s">
        <v>19</v>
      </c>
      <c r="I3585" s="1" t="s">
        <v>20</v>
      </c>
      <c r="J3585" s="1" t="s">
        <v>15727</v>
      </c>
      <c r="K3585" s="1" t="s">
        <v>22</v>
      </c>
      <c r="L3585" s="1" t="str">
        <f>HYPERLINK("https://files.afu.se/Downloads/Transcripts/0%20-%20Government/USA%20-%20NASA%20Johnson/2009 03 18 - NASA Johnson - 119welcome_7UnweHNYMR4 - transcript (automated).pdf","Transcript Link")</f>
        <v>Transcript Link</v>
      </c>
      <c r="M3585" s="2" t="str">
        <f>HYPERLINK("https://files.afu.se/Downloads/Transcripts/0%20-%20Government/USA%20-%20NASA%20Johnson/2009 03 18 - NASA Johnson - 119welcome_7UnweHNYMR4 - transcript (automated).pdf","Transcript Link")</f>
        <v>Transcript Link</v>
      </c>
    </row>
    <row r="3586" ht="180" spans="1:13">
      <c r="A3586" s="1" t="s">
        <v>15728</v>
      </c>
      <c r="B3586" s="1" t="s">
        <v>13</v>
      </c>
      <c r="C3586" s="4" t="s">
        <v>15729</v>
      </c>
      <c r="D3586" s="1" t="s">
        <v>15730</v>
      </c>
      <c r="E3586" s="1" t="s">
        <v>15731</v>
      </c>
      <c r="F3586" s="4" t="s">
        <v>17</v>
      </c>
      <c r="G3586" s="1" t="s">
        <v>18</v>
      </c>
      <c r="H3586" s="1" t="s">
        <v>19</v>
      </c>
      <c r="I3586" s="1" t="s">
        <v>20</v>
      </c>
      <c r="J3586" s="1" t="s">
        <v>15732</v>
      </c>
      <c r="K3586" s="1" t="s">
        <v>22</v>
      </c>
      <c r="L3586" s="1" t="str">
        <f>HYPERLINK("https://files.afu.se/Downloads/Transcripts/0%20-%20Government/USA%20-%20NASA%20Johnson/2009 03 17 - NASA Johnson - STS-119 Rendezvous Pitch Maneuver__7cDEwIdOBA - transcript (automated).pdf","Transcript Link")</f>
        <v>Transcript Link</v>
      </c>
      <c r="M3586" s="2" t="str">
        <f>HYPERLINK("https://files.afu.se/Downloads/Transcripts/0%20-%20Government/USA%20-%20NASA%20Johnson/2009 03 17 - NASA Johnson - STS-119 Rendezvous Pitch Maneuver__7cDEwIdOBA - transcript (automated).pdf","Transcript Link")</f>
        <v>Transcript Link</v>
      </c>
    </row>
    <row r="3587" ht="180" spans="1:13">
      <c r="A3587" s="1" t="s">
        <v>15733</v>
      </c>
      <c r="B3587" s="1" t="s">
        <v>13</v>
      </c>
      <c r="C3587" s="4" t="s">
        <v>15734</v>
      </c>
      <c r="D3587" s="1" t="s">
        <v>15735</v>
      </c>
      <c r="E3587" s="1" t="s">
        <v>15736</v>
      </c>
      <c r="F3587" s="4" t="s">
        <v>17</v>
      </c>
      <c r="G3587" s="1" t="s">
        <v>18</v>
      </c>
      <c r="H3587" s="1" t="s">
        <v>19</v>
      </c>
      <c r="I3587" s="1" t="s">
        <v>20</v>
      </c>
      <c r="J3587" s="1" t="s">
        <v>15737</v>
      </c>
      <c r="K3587" s="1" t="s">
        <v>22</v>
      </c>
      <c r="L3587" s="1" t="str">
        <f>HYPERLINK("https://files.afu.se/Downloads/Transcripts/0%20-%20Government/USA%20-%20NASA%20Johnson/2009 02 20 - NASA Johnson - Everest Video Teaser_yJx_8dGLhJA - transcript (automated).pdf","Transcript Link")</f>
        <v>Transcript Link</v>
      </c>
      <c r="M3587" s="2" t="str">
        <f>HYPERLINK("https://files.afu.se/Downloads/Transcripts/0%20-%20Government/USA%20-%20NASA%20Johnson/2009 02 20 - NASA Johnson - Everest Video Teaser_yJx_8dGLhJA - transcript (automated).pdf","Transcript Link")</f>
        <v>Transcript Link</v>
      </c>
    </row>
    <row r="3588" ht="180" spans="1:13">
      <c r="A3588" s="1" t="s">
        <v>15738</v>
      </c>
      <c r="B3588" s="1" t="s">
        <v>13</v>
      </c>
      <c r="C3588" s="4" t="s">
        <v>15739</v>
      </c>
      <c r="D3588" s="1" t="s">
        <v>15740</v>
      </c>
      <c r="E3588" s="1" t="s">
        <v>15741</v>
      </c>
      <c r="F3588" s="4" t="s">
        <v>17</v>
      </c>
      <c r="G3588" s="1" t="s">
        <v>18</v>
      </c>
      <c r="H3588" s="1" t="s">
        <v>19</v>
      </c>
      <c r="I3588" s="1" t="s">
        <v>20</v>
      </c>
      <c r="J3588" s="1" t="s">
        <v>15742</v>
      </c>
      <c r="K3588" s="1" t="s">
        <v>22</v>
      </c>
      <c r="L3588" s="1" t="str">
        <f>HYPERLINK("https://files.afu.se/Downloads/Transcripts/0%20-%20Government/USA%20-%20NASA%20Johnson/2009 02 10 - NASA Johnson - Constellation University Institutes Project - University of Alabama Huntsville_mHqmdWFWMQs - transcript (automated).pdf","Transcript Link")</f>
        <v>Transcript Link</v>
      </c>
      <c r="M3588" s="2" t="str">
        <f>HYPERLINK("https://files.afu.se/Downloads/Transcripts/0%20-%20Government/USA%20-%20NASA%20Johnson/2009 02 10 - NASA Johnson - Constellation University Institutes Project - University of Alabama Huntsville_mHqmdWFWMQs - transcript (automated).pdf","Transcript Link")</f>
        <v>Transcript Link</v>
      </c>
    </row>
    <row r="3589" ht="180" spans="1:13">
      <c r="A3589" s="1" t="s">
        <v>15743</v>
      </c>
      <c r="B3589" s="1" t="s">
        <v>13</v>
      </c>
      <c r="C3589" s="4" t="s">
        <v>15744</v>
      </c>
      <c r="D3589" s="1" t="s">
        <v>15745</v>
      </c>
      <c r="E3589" s="1" t="s">
        <v>15746</v>
      </c>
      <c r="F3589" s="4" t="s">
        <v>17</v>
      </c>
      <c r="G3589" s="1" t="s">
        <v>18</v>
      </c>
      <c r="H3589" s="1" t="s">
        <v>19</v>
      </c>
      <c r="I3589" s="1" t="s">
        <v>20</v>
      </c>
      <c r="J3589" s="1" t="s">
        <v>15747</v>
      </c>
      <c r="K3589" s="1" t="s">
        <v>22</v>
      </c>
      <c r="L3589" s="1" t="str">
        <f>HYPERLINK("https://files.afu.se/Downloads/Transcripts/0%20-%20Government/USA%20-%20NASA%20Johnson/2009 02 06 - NASA Johnson - Station Commander Waves Terrible Towel for Super Bowl_rpyfE_FB2hY - transcript (automated).pdf","Transcript Link")</f>
        <v>Transcript Link</v>
      </c>
      <c r="M3589" s="2" t="str">
        <f>HYPERLINK("https://files.afu.se/Downloads/Transcripts/0%20-%20Government/USA%20-%20NASA%20Johnson/2009 02 06 - NASA Johnson - Station Commander Waves Terrible Towel for Super Bowl_rpyfE_FB2hY - transcript (automated).pdf","Transcript Link")</f>
        <v>Transcript Link</v>
      </c>
    </row>
    <row r="3590" ht="225" spans="1:13">
      <c r="A3590" s="1" t="s">
        <v>15748</v>
      </c>
      <c r="B3590" s="1" t="s">
        <v>13</v>
      </c>
      <c r="C3590" s="4" t="s">
        <v>15749</v>
      </c>
      <c r="D3590" s="1" t="s">
        <v>15750</v>
      </c>
      <c r="E3590" s="1" t="s">
        <v>15751</v>
      </c>
      <c r="F3590" s="4" t="s">
        <v>17</v>
      </c>
      <c r="G3590" s="1" t="s">
        <v>18</v>
      </c>
      <c r="H3590" s="1" t="s">
        <v>19</v>
      </c>
      <c r="I3590" s="1" t="s">
        <v>20</v>
      </c>
      <c r="J3590" s="1" t="s">
        <v>15752</v>
      </c>
      <c r="K3590" s="1" t="s">
        <v>22</v>
      </c>
      <c r="L3590" s="1" t="str">
        <f>HYPERLINK("https://files.afu.se/Downloads/Transcripts/0%20-%20Government/USA%20-%20NASA%20Johnson/2008 12 11 - NASA Johnson - NASA in Motion_lqt9_9np4-8 - transcript (automated).pdf","Transcript Link")</f>
        <v>Transcript Link</v>
      </c>
      <c r="M3590" s="2" t="str">
        <f>HYPERLINK("https://files.afu.se/Downloads/Transcripts/0%20-%20Government/USA%20-%20NASA%20Johnson/2008 12 11 - NASA Johnson - NASA in Motion_lqt9_9np4-8 - transcript (automated).pdf","Transcript Link")</f>
        <v>Transcript Link</v>
      </c>
    </row>
    <row r="3591" ht="225" spans="1:13">
      <c r="A3591" s="1" t="s">
        <v>15753</v>
      </c>
      <c r="B3591" s="1" t="s">
        <v>13</v>
      </c>
      <c r="C3591" s="4" t="s">
        <v>15754</v>
      </c>
      <c r="D3591" s="1" t="s">
        <v>15755</v>
      </c>
      <c r="E3591" s="1" t="s">
        <v>15756</v>
      </c>
      <c r="F3591" s="4" t="s">
        <v>17</v>
      </c>
      <c r="G3591" s="1" t="s">
        <v>18</v>
      </c>
      <c r="H3591" s="1" t="s">
        <v>19</v>
      </c>
      <c r="I3591" s="1" t="s">
        <v>20</v>
      </c>
      <c r="J3591" s="1" t="s">
        <v>15757</v>
      </c>
      <c r="K3591" s="1" t="s">
        <v>22</v>
      </c>
      <c r="L3591" s="1" t="str">
        <f>HYPERLINK("https://files.afu.se/Downloads/Transcripts/0%20-%20Government/USA%20-%20NASA%20Johnson/2008 11 25 - NASA Johnson - Third Space Trek for STS-126_lwWNtd2moXs - transcript (automated).pdf","Transcript Link")</f>
        <v>Transcript Link</v>
      </c>
      <c r="M3591" s="2" t="str">
        <f>HYPERLINK("https://files.afu.se/Downloads/Transcripts/0%20-%20Government/USA%20-%20NASA%20Johnson/2008 11 25 - NASA Johnson - Third Space Trek for STS-126_lwWNtd2moXs - transcript (automated).pdf","Transcript Link")</f>
        <v>Transcript Link</v>
      </c>
    </row>
    <row r="3592" ht="180" spans="1:13">
      <c r="A3592" s="1" t="s">
        <v>15753</v>
      </c>
      <c r="B3592" s="1" t="s">
        <v>13</v>
      </c>
      <c r="C3592" s="4" t="s">
        <v>15758</v>
      </c>
      <c r="D3592" s="1" t="s">
        <v>15759</v>
      </c>
      <c r="E3592" s="1" t="s">
        <v>15760</v>
      </c>
      <c r="F3592" s="4" t="s">
        <v>17</v>
      </c>
      <c r="G3592" s="1" t="s">
        <v>18</v>
      </c>
      <c r="H3592" s="1" t="s">
        <v>19</v>
      </c>
      <c r="I3592" s="1" t="s">
        <v>20</v>
      </c>
      <c r="J3592" s="1" t="s">
        <v>15761</v>
      </c>
      <c r="K3592" s="1" t="s">
        <v>22</v>
      </c>
      <c r="L3592" s="1" t="str">
        <f>HYPERLINK("https://files.afu.se/Downloads/Transcripts/0%20-%20Government/USA%20-%20NASA%20Johnson/2008 11 25 - NASA Johnson - A Cup of Joe in Space_8sDc00IK7mA - transcript (automated).pdf","Transcript Link")</f>
        <v>Transcript Link</v>
      </c>
      <c r="M3592" s="2" t="str">
        <f>HYPERLINK("https://files.afu.se/Downloads/Transcripts/0%20-%20Government/USA%20-%20NASA%20Johnson/2008 11 25 - NASA Johnson - A Cup of Joe in Space_8sDc00IK7mA - transcript (automated).pdf","Transcript Link")</f>
        <v>Transcript Link</v>
      </c>
    </row>
    <row r="3593" ht="180" spans="1:13">
      <c r="A3593" s="1" t="s">
        <v>15753</v>
      </c>
      <c r="B3593" s="1" t="s">
        <v>13</v>
      </c>
      <c r="C3593" s="4" t="s">
        <v>15762</v>
      </c>
      <c r="D3593" s="1" t="s">
        <v>15763</v>
      </c>
      <c r="E3593" s="1" t="s">
        <v>15764</v>
      </c>
      <c r="F3593" s="4" t="s">
        <v>17</v>
      </c>
      <c r="G3593" s="1" t="s">
        <v>18</v>
      </c>
      <c r="H3593" s="1" t="s">
        <v>19</v>
      </c>
      <c r="I3593" s="1" t="s">
        <v>20</v>
      </c>
      <c r="J3593" s="1" t="s">
        <v>15765</v>
      </c>
      <c r="K3593" s="1" t="s">
        <v>22</v>
      </c>
      <c r="L3593" s="1" t="str">
        <f>HYPERLINK("https://files.afu.se/Downloads/Transcripts/0%20-%20Government/USA%20-%20NASA%20Johnson/2008 11 25 - NASA Johnson - Testing Orion's Abort Motor - Close Up_vfq5yy7BhsM - transcript (automated).pdf","Transcript Link")</f>
        <v>Transcript Link</v>
      </c>
      <c r="M3593" s="2" t="str">
        <f>HYPERLINK("https://files.afu.se/Downloads/Transcripts/0%20-%20Government/USA%20-%20NASA%20Johnson/2008 11 25 - NASA Johnson - Testing Orion's Abort Motor - Close Up_vfq5yy7BhsM - transcript (automated).pdf","Transcript Link")</f>
        <v>Transcript Link</v>
      </c>
    </row>
    <row r="3594" ht="180" spans="1:13">
      <c r="A3594" s="1" t="s">
        <v>15753</v>
      </c>
      <c r="B3594" s="1" t="s">
        <v>13</v>
      </c>
      <c r="C3594" s="4" t="s">
        <v>15766</v>
      </c>
      <c r="D3594" s="1" t="s">
        <v>15767</v>
      </c>
      <c r="E3594" s="1" t="s">
        <v>15764</v>
      </c>
      <c r="F3594" s="4" t="s">
        <v>17</v>
      </c>
      <c r="G3594" s="1" t="s">
        <v>18</v>
      </c>
      <c r="H3594" s="1" t="s">
        <v>19</v>
      </c>
      <c r="I3594" s="1" t="s">
        <v>20</v>
      </c>
      <c r="J3594" s="1" t="s">
        <v>15768</v>
      </c>
      <c r="K3594" s="1" t="s">
        <v>22</v>
      </c>
      <c r="L3594" s="1" t="str">
        <f>HYPERLINK("https://files.afu.se/Downloads/Transcripts/0%20-%20Government/USA%20-%20NASA%20Johnson/2008 11 25 - NASA Johnson - Testing Orion's Abort Motor - Wide Angle_e0_wwWFTOE0 - transcript (automated).pdf","Transcript Link")</f>
        <v>Transcript Link</v>
      </c>
      <c r="M3594" s="2" t="str">
        <f>HYPERLINK("https://files.afu.se/Downloads/Transcripts/0%20-%20Government/USA%20-%20NASA%20Johnson/2008 11 25 - NASA Johnson - Testing Orion's Abort Motor - Wide Angle_e0_wwWFTOE0 - transcript (automated).pdf","Transcript Link")</f>
        <v>Transcript Link</v>
      </c>
    </row>
    <row r="3595" ht="180" spans="1:13">
      <c r="A3595" s="1" t="s">
        <v>15769</v>
      </c>
      <c r="B3595" s="1" t="s">
        <v>13</v>
      </c>
      <c r="C3595" s="4" t="s">
        <v>15770</v>
      </c>
      <c r="D3595" s="1" t="s">
        <v>15771</v>
      </c>
      <c r="E3595" s="1" t="s">
        <v>15772</v>
      </c>
      <c r="F3595" s="4" t="s">
        <v>17</v>
      </c>
      <c r="G3595" s="1" t="s">
        <v>18</v>
      </c>
      <c r="H3595" s="1" t="s">
        <v>19</v>
      </c>
      <c r="I3595" s="1" t="s">
        <v>20</v>
      </c>
      <c r="J3595" s="1" t="s">
        <v>15773</v>
      </c>
      <c r="K3595" s="1" t="s">
        <v>22</v>
      </c>
      <c r="L3595" s="1" t="str">
        <f>HYPERLINK("https://files.afu.se/Downloads/Transcripts/0%20-%20Government/USA%20-%20NASA%20Johnson/2008 11 21 - NASA Johnson - Skywalkers Continue Home Improvements in Space_eWf0Kh9kYLE - transcript (automated).pdf","Transcript Link")</f>
        <v>Transcript Link</v>
      </c>
      <c r="M3595" s="2" t="str">
        <f>HYPERLINK("https://files.afu.se/Downloads/Transcripts/0%20-%20Government/USA%20-%20NASA%20Johnson/2008 11 21 - NASA Johnson - Skywalkers Continue Home Improvements in Space_eWf0Kh9kYLE - transcript (automated).pdf","Transcript Link")</f>
        <v>Transcript Link</v>
      </c>
    </row>
    <row r="3596" ht="180" spans="1:13">
      <c r="A3596" s="1" t="s">
        <v>15769</v>
      </c>
      <c r="B3596" s="1" t="s">
        <v>13</v>
      </c>
      <c r="C3596" s="4" t="s">
        <v>15774</v>
      </c>
      <c r="D3596" s="1" t="s">
        <v>15775</v>
      </c>
      <c r="E3596" s="1" t="s">
        <v>15776</v>
      </c>
      <c r="F3596" s="4" t="s">
        <v>17</v>
      </c>
      <c r="G3596" s="1" t="s">
        <v>18</v>
      </c>
      <c r="H3596" s="1" t="s">
        <v>19</v>
      </c>
      <c r="I3596" s="1" t="s">
        <v>20</v>
      </c>
      <c r="J3596" s="1" t="s">
        <v>15777</v>
      </c>
      <c r="K3596" s="1" t="s">
        <v>22</v>
      </c>
      <c r="L3596" s="1" t="str">
        <f>HYPERLINK("https://files.afu.se/Downloads/Transcripts/0%20-%20Government/USA%20-%20NASA%20Johnson/2008 11 21 - NASA Johnson - Happy Birthday International Space Station!_Q0yYSnK1yIk - transcript (automated).pdf","Transcript Link")</f>
        <v>Transcript Link</v>
      </c>
      <c r="M3596" s="2" t="str">
        <f>HYPERLINK("https://files.afu.se/Downloads/Transcripts/0%20-%20Government/USA%20-%20NASA%20Johnson/2008 11 21 - NASA Johnson - Happy Birthday International Space Station!_Q0yYSnK1yIk - transcript (automated).pdf","Transcript Link")</f>
        <v>Transcript Link</v>
      </c>
    </row>
    <row r="3597" ht="210" spans="1:13">
      <c r="A3597" s="1" t="s">
        <v>15769</v>
      </c>
      <c r="B3597" s="1" t="s">
        <v>13</v>
      </c>
      <c r="C3597" s="4" t="s">
        <v>15778</v>
      </c>
      <c r="D3597" s="1" t="s">
        <v>15779</v>
      </c>
      <c r="E3597" s="1" t="s">
        <v>15780</v>
      </c>
      <c r="F3597" s="4" t="s">
        <v>17</v>
      </c>
      <c r="G3597" s="1" t="s">
        <v>18</v>
      </c>
      <c r="H3597" s="1" t="s">
        <v>19</v>
      </c>
      <c r="I3597" s="1" t="s">
        <v>20</v>
      </c>
      <c r="J3597" s="1" t="s">
        <v>15781</v>
      </c>
      <c r="K3597" s="1" t="s">
        <v>22</v>
      </c>
      <c r="L3597" s="1" t="str">
        <f>HYPERLINK("https://files.afu.se/Downloads/Transcripts/0%20-%20Government/USA%20-%20NASA%20Johnson/2008 11 21 - NASA Johnson - Walking the Void_vXOaUiDvEZw - transcript (automated).pdf","Transcript Link")</f>
        <v>Transcript Link</v>
      </c>
      <c r="M3597" s="2" t="str">
        <f>HYPERLINK("https://files.afu.se/Downloads/Transcripts/0%20-%20Government/USA%20-%20NASA%20Johnson/2008 11 21 - NASA Johnson - Walking the Void_vXOaUiDvEZw - transcript (automated).pdf","Transcript Link")</f>
        <v>Transcript Link</v>
      </c>
    </row>
    <row r="3598" ht="195" spans="1:13">
      <c r="A3598" s="1" t="s">
        <v>15769</v>
      </c>
      <c r="B3598" s="1" t="s">
        <v>13</v>
      </c>
      <c r="C3598" s="4" t="s">
        <v>15782</v>
      </c>
      <c r="D3598" s="1" t="s">
        <v>15783</v>
      </c>
      <c r="E3598" s="1" t="s">
        <v>15784</v>
      </c>
      <c r="F3598" s="4" t="s">
        <v>17</v>
      </c>
      <c r="G3598" s="1" t="s">
        <v>18</v>
      </c>
      <c r="H3598" s="1" t="s">
        <v>19</v>
      </c>
      <c r="I3598" s="1" t="s">
        <v>20</v>
      </c>
      <c r="J3598" s="1" t="s">
        <v>15785</v>
      </c>
      <c r="K3598" s="1" t="s">
        <v>22</v>
      </c>
      <c r="L3598" s="1" t="str">
        <f>HYPERLINK("https://files.afu.se/Downloads/Transcripts/0%20-%20Government/USA%20-%20NASA%20Johnson/2008 11 21 - NASA Johnson - Come on in! Station Crew Greets STS-126 Astronauts__w4dVPzvlMA - transcript (automated).pdf","Transcript Link")</f>
        <v>Transcript Link</v>
      </c>
      <c r="M3598" s="2" t="str">
        <f>HYPERLINK("https://files.afu.se/Downloads/Transcripts/0%20-%20Government/USA%20-%20NASA%20Johnson/2008 11 21 - NASA Johnson - Come on in! Station Crew Greets STS-126 Astronauts__w4dVPzvlMA - transcript (automated).pdf","Transcript Link")</f>
        <v>Transcript Link</v>
      </c>
    </row>
    <row r="3599" ht="195" spans="1:13">
      <c r="A3599" s="1" t="s">
        <v>15769</v>
      </c>
      <c r="B3599" s="1" t="s">
        <v>13</v>
      </c>
      <c r="C3599" s="4" t="s">
        <v>15786</v>
      </c>
      <c r="D3599" s="1" t="s">
        <v>15787</v>
      </c>
      <c r="E3599" s="1" t="s">
        <v>15788</v>
      </c>
      <c r="F3599" s="4" t="s">
        <v>17</v>
      </c>
      <c r="G3599" s="1" t="s">
        <v>18</v>
      </c>
      <c r="H3599" s="1" t="s">
        <v>19</v>
      </c>
      <c r="I3599" s="1" t="s">
        <v>20</v>
      </c>
      <c r="J3599" s="1" t="s">
        <v>15789</v>
      </c>
      <c r="K3599" s="1" t="s">
        <v>22</v>
      </c>
      <c r="L3599" s="1" t="str">
        <f>HYPERLINK("https://files.afu.se/Downloads/Transcripts/0%20-%20Government/USA%20-%20NASA%20Johnson/2008 11 21 - NASA Johnson - Arrival Day_63vhQOnZ834 - transcript (automated).pdf","Transcript Link")</f>
        <v>Transcript Link</v>
      </c>
      <c r="M3599" s="2" t="str">
        <f>HYPERLINK("https://files.afu.se/Downloads/Transcripts/0%20-%20Government/USA%20-%20NASA%20Johnson/2008 11 21 - NASA Johnson - Arrival Day_63vhQOnZ834 - transcript (automated).pdf","Transcript Link")</f>
        <v>Transcript Link</v>
      </c>
    </row>
    <row r="3600" ht="255" spans="1:13">
      <c r="A3600" s="1" t="s">
        <v>15769</v>
      </c>
      <c r="B3600" s="1" t="s">
        <v>13</v>
      </c>
      <c r="C3600" s="4" t="s">
        <v>15790</v>
      </c>
      <c r="D3600" s="1" t="s">
        <v>15791</v>
      </c>
      <c r="E3600" s="1" t="s">
        <v>15792</v>
      </c>
      <c r="F3600" s="4" t="s">
        <v>17</v>
      </c>
      <c r="G3600" s="1" t="s">
        <v>18</v>
      </c>
      <c r="H3600" s="1" t="s">
        <v>19</v>
      </c>
      <c r="I3600" s="1" t="s">
        <v>20</v>
      </c>
      <c r="J3600" s="1" t="s">
        <v>15793</v>
      </c>
      <c r="K3600" s="1" t="s">
        <v>22</v>
      </c>
      <c r="L3600" s="1" t="str">
        <f>HYPERLINK("https://files.afu.se/Downloads/Transcripts/0%20-%20Government/USA%20-%20NASA%20Johnson/2008 11 21 - NASA Johnson - Endeavour Lights the Night Sky_KRnPy6aU29o - transcript (automated).pdf","Transcript Link")</f>
        <v>Transcript Link</v>
      </c>
      <c r="M3600" s="2" t="str">
        <f>HYPERLINK("https://files.afu.se/Downloads/Transcripts/0%20-%20Government/USA%20-%20NASA%20Johnson/2008 11 21 - NASA Johnson - Endeavour Lights the Night Sky_KRnPy6aU29o - transcript (automated).pdf","Transcript Link")</f>
        <v>Transcript Link</v>
      </c>
    </row>
    <row r="3601" ht="180" spans="1:13">
      <c r="A3601" s="1" t="s">
        <v>15794</v>
      </c>
      <c r="B3601" s="1" t="s">
        <v>13</v>
      </c>
      <c r="C3601" s="4" t="s">
        <v>15795</v>
      </c>
      <c r="D3601" s="1" t="s">
        <v>15796</v>
      </c>
      <c r="E3601" s="1" t="s">
        <v>15797</v>
      </c>
      <c r="F3601" s="4" t="s">
        <v>17</v>
      </c>
      <c r="G3601" s="1" t="s">
        <v>18</v>
      </c>
      <c r="H3601" s="1" t="s">
        <v>19</v>
      </c>
      <c r="I3601" s="1" t="s">
        <v>20</v>
      </c>
      <c r="J3601" s="1" t="s">
        <v>15798</v>
      </c>
      <c r="K3601" s="1" t="s">
        <v>22</v>
      </c>
      <c r="L3601" s="1" t="str">
        <f>HYPERLINK("https://files.afu.se/Downloads/Transcripts/0%20-%20Government/USA%20-%20NASA%20Johnson/2008 10 09 - NASA Johnson - Ask Astronaut Greg Chamitoff  That's news to me!_2p2Kt4L3M0Q - transcript (automated).pdf","Transcript Link")</f>
        <v>Transcript Link</v>
      </c>
      <c r="M3601" s="2" t="str">
        <f>HYPERLINK("https://files.afu.se/Downloads/Transcripts/0%20-%20Government/USA%20-%20NASA%20Johnson/2008 10 09 - NASA Johnson - Ask Astronaut Greg Chamitoff  That's news to me!_2p2Kt4L3M0Q - transcript (automated).pdf","Transcript Link")</f>
        <v>Transcript Link</v>
      </c>
    </row>
    <row r="3602" ht="195" spans="1:13">
      <c r="A3602" s="1" t="s">
        <v>15799</v>
      </c>
      <c r="B3602" s="1" t="s">
        <v>13</v>
      </c>
      <c r="C3602" s="4" t="s">
        <v>15800</v>
      </c>
      <c r="D3602" s="1" t="s">
        <v>15801</v>
      </c>
      <c r="E3602" s="1" t="s">
        <v>15802</v>
      </c>
      <c r="F3602" s="4" t="s">
        <v>17</v>
      </c>
      <c r="G3602" s="1" t="s">
        <v>18</v>
      </c>
      <c r="H3602" s="1" t="s">
        <v>19</v>
      </c>
      <c r="I3602" s="1" t="s">
        <v>20</v>
      </c>
      <c r="J3602" s="1" t="s">
        <v>15803</v>
      </c>
      <c r="K3602" s="1" t="s">
        <v>22</v>
      </c>
      <c r="L3602" s="1" t="str">
        <f>HYPERLINK("https://files.afu.se/Downloads/Transcripts/0%20-%20Government/USA%20-%20NASA%20Johnson/2008 10 07 - NASA Johnson - Ask Astronaut Greg Chamitoff  Station's Junk Drawer _Ij8b-RSlUyc - transcript (automated).pdf","Transcript Link")</f>
        <v>Transcript Link</v>
      </c>
      <c r="M3602" s="2" t="str">
        <f>HYPERLINK("https://files.afu.se/Downloads/Transcripts/0%20-%20Government/USA%20-%20NASA%20Johnson/2008 10 07 - NASA Johnson - Ask Astronaut Greg Chamitoff  Station's Junk Drawer _Ij8b-RSlUyc - transcript (automated).pdf","Transcript Link")</f>
        <v>Transcript Link</v>
      </c>
    </row>
    <row r="3603" ht="210" spans="1:13">
      <c r="A3603" s="1" t="s">
        <v>15804</v>
      </c>
      <c r="B3603" s="1" t="s">
        <v>13</v>
      </c>
      <c r="C3603" s="4" t="s">
        <v>15805</v>
      </c>
      <c r="D3603" s="1" t="s">
        <v>15806</v>
      </c>
      <c r="E3603" s="1" t="s">
        <v>15807</v>
      </c>
      <c r="F3603" s="4" t="s">
        <v>17</v>
      </c>
      <c r="G3603" s="1" t="s">
        <v>18</v>
      </c>
      <c r="H3603" s="1" t="s">
        <v>19</v>
      </c>
      <c r="I3603" s="1" t="s">
        <v>20</v>
      </c>
      <c r="J3603" s="1" t="s">
        <v>15808</v>
      </c>
      <c r="K3603" s="1" t="s">
        <v>22</v>
      </c>
      <c r="L3603" s="1" t="str">
        <f>HYPERLINK("https://files.afu.se/Downloads/Transcripts/0%20-%20Government/USA%20-%20NASA%20Johnson/2008 10 06 - NASA Johnson - Ask Astronaut Greg Chamitoff  Need a Boost _5bNscJamkWk - transcript (automated).pdf","Transcript Link")</f>
        <v>Transcript Link</v>
      </c>
      <c r="M3603" s="2" t="str">
        <f>HYPERLINK("https://files.afu.se/Downloads/Transcripts/0%20-%20Government/USA%20-%20NASA%20Johnson/2008 10 06 - NASA Johnson - Ask Astronaut Greg Chamitoff  Need a Boost _5bNscJamkWk - transcript (automated).pdf","Transcript Link")</f>
        <v>Transcript Link</v>
      </c>
    </row>
    <row r="3604" ht="285" spans="1:13">
      <c r="A3604" s="1" t="s">
        <v>15809</v>
      </c>
      <c r="B3604" s="1" t="s">
        <v>13</v>
      </c>
      <c r="C3604" s="4" t="s">
        <v>15810</v>
      </c>
      <c r="D3604" s="1" t="s">
        <v>15811</v>
      </c>
      <c r="E3604" s="1" t="s">
        <v>15812</v>
      </c>
      <c r="F3604" s="4" t="s">
        <v>17</v>
      </c>
      <c r="G3604" s="1" t="s">
        <v>18</v>
      </c>
      <c r="H3604" s="1" t="s">
        <v>19</v>
      </c>
      <c r="I3604" s="1" t="s">
        <v>20</v>
      </c>
      <c r="J3604" s="1" t="s">
        <v>15813</v>
      </c>
      <c r="K3604" s="1" t="s">
        <v>22</v>
      </c>
      <c r="L3604" s="1" t="str">
        <f>HYPERLINK("https://files.afu.se/Downloads/Transcripts/0%20-%20Government/USA%20-%20NASA%20Johnson/2008 10 01 - NASA Johnson - Earth vs. Space Chess Match; Chamitoff Makes his Move_Mj52CgKHzHQ - transcript (automated).pdf","Transcript Link")</f>
        <v>Transcript Link</v>
      </c>
      <c r="M3604" s="2" t="str">
        <f>HYPERLINK("https://files.afu.se/Downloads/Transcripts/0%20-%20Government/USA%20-%20NASA%20Johnson/2008 10 01 - NASA Johnson - Earth vs. Space Chess Match; Chamitoff Makes his Move_Mj52CgKHzHQ - transcript (automated).pdf","Transcript Link")</f>
        <v>Transcript Link</v>
      </c>
    </row>
    <row r="3605" ht="409.5" spans="1:13">
      <c r="A3605" s="1" t="s">
        <v>15814</v>
      </c>
      <c r="B3605" s="1" t="s">
        <v>13</v>
      </c>
      <c r="C3605" s="4" t="s">
        <v>15815</v>
      </c>
      <c r="D3605" s="1" t="s">
        <v>15816</v>
      </c>
      <c r="E3605" s="1" t="s">
        <v>15817</v>
      </c>
      <c r="F3605" s="4" t="s">
        <v>17</v>
      </c>
      <c r="G3605" s="1" t="s">
        <v>18</v>
      </c>
      <c r="H3605" s="1" t="s">
        <v>19</v>
      </c>
      <c r="I3605" s="1" t="s">
        <v>20</v>
      </c>
      <c r="J3605" s="1" t="s">
        <v>15818</v>
      </c>
      <c r="K3605" s="1" t="s">
        <v>22</v>
      </c>
      <c r="L3605" s="1" t="str">
        <f>HYPERLINK("https://files.afu.se/Downloads/Transcripts/0%20-%20Government/USA%20-%20NASA%20Johnson/2008 09 30 - NASA Johnson - Apollo Guys_sItKDSf0xl8 - transcript (automated).pdf","Transcript Link")</f>
        <v>Transcript Link</v>
      </c>
      <c r="M3605" s="2" t="str">
        <f>HYPERLINK("https://files.afu.se/Downloads/Transcripts/0%20-%20Government/USA%20-%20NASA%20Johnson/2008 09 30 - NASA Johnson - Apollo Guys_sItKDSf0xl8 - transcript (automated).pdf","Transcript Link")</f>
        <v>Transcript Link</v>
      </c>
    </row>
    <row r="3606" ht="240" spans="1:13">
      <c r="A3606" s="1" t="s">
        <v>15814</v>
      </c>
      <c r="B3606" s="1" t="s">
        <v>13</v>
      </c>
      <c r="C3606" s="4" t="s">
        <v>15819</v>
      </c>
      <c r="D3606" s="1" t="s">
        <v>15820</v>
      </c>
      <c r="E3606" s="1" t="s">
        <v>15821</v>
      </c>
      <c r="F3606" s="4" t="s">
        <v>17</v>
      </c>
      <c r="G3606" s="1" t="s">
        <v>18</v>
      </c>
      <c r="H3606" s="1" t="s">
        <v>19</v>
      </c>
      <c r="I3606" s="1" t="s">
        <v>20</v>
      </c>
      <c r="J3606" s="1" t="s">
        <v>15822</v>
      </c>
      <c r="K3606" s="1" t="s">
        <v>22</v>
      </c>
      <c r="L3606" s="1" t="str">
        <f>HYPERLINK("https://files.afu.se/Downloads/Transcripts/0%20-%20Government/USA%20-%20NASA%20Johnson/2008 09 30 - NASA Johnson - The Future of NASA_AiQ9_dLPhfY - transcript (automated).pdf","Transcript Link")</f>
        <v>Transcript Link</v>
      </c>
      <c r="M3606" s="2" t="str">
        <f>HYPERLINK("https://files.afu.se/Downloads/Transcripts/0%20-%20Government/USA%20-%20NASA%20Johnson/2008 09 30 - NASA Johnson - The Future of NASA_AiQ9_dLPhfY - transcript (automated).pdf","Transcript Link")</f>
        <v>Transcript Link</v>
      </c>
    </row>
    <row r="3607" ht="409.5" spans="1:13">
      <c r="A3607" s="1" t="s">
        <v>15814</v>
      </c>
      <c r="B3607" s="1" t="s">
        <v>13</v>
      </c>
      <c r="C3607" s="4" t="s">
        <v>15823</v>
      </c>
      <c r="D3607" s="1" t="s">
        <v>15824</v>
      </c>
      <c r="E3607" s="1" t="s">
        <v>15825</v>
      </c>
      <c r="F3607" s="4" t="s">
        <v>17</v>
      </c>
      <c r="G3607" s="1" t="s">
        <v>18</v>
      </c>
      <c r="H3607" s="1" t="s">
        <v>19</v>
      </c>
      <c r="I3607" s="1" t="s">
        <v>20</v>
      </c>
      <c r="J3607" s="1" t="s">
        <v>15826</v>
      </c>
      <c r="K3607" s="1" t="s">
        <v>22</v>
      </c>
      <c r="L3607" s="1" t="str">
        <f>HYPERLINK("https://files.afu.se/Downloads/Transcripts/0%20-%20Government/USA%20-%20NASA%20Johnson/2008 09 30 - NASA Johnson - I.S.S. Baby_mgSCH6q9gY8 - transcript (automated).pdf","Transcript Link")</f>
        <v>Transcript Link</v>
      </c>
      <c r="M3607" s="2" t="str">
        <f>HYPERLINK("https://files.afu.se/Downloads/Transcripts/0%20-%20Government/USA%20-%20NASA%20Johnson/2008 09 30 - NASA Johnson - I.S.S. Baby_mgSCH6q9gY8 - transcript (automated).pdf","Transcript Link")</f>
        <v>Transcript Link</v>
      </c>
    </row>
    <row r="3608" ht="195" spans="1:13">
      <c r="A3608" s="1" t="s">
        <v>15814</v>
      </c>
      <c r="B3608" s="1" t="s">
        <v>13</v>
      </c>
      <c r="C3608" s="4" t="s">
        <v>15827</v>
      </c>
      <c r="D3608" s="1" t="s">
        <v>15828</v>
      </c>
      <c r="E3608" s="1" t="s">
        <v>15829</v>
      </c>
      <c r="F3608" s="4" t="s">
        <v>17</v>
      </c>
      <c r="G3608" s="1" t="s">
        <v>18</v>
      </c>
      <c r="H3608" s="1" t="s">
        <v>19</v>
      </c>
      <c r="I3608" s="1" t="s">
        <v>20</v>
      </c>
      <c r="J3608" s="1" t="s">
        <v>15830</v>
      </c>
      <c r="K3608" s="1" t="s">
        <v>22</v>
      </c>
      <c r="L3608" s="1" t="str">
        <f>HYPERLINK("https://files.afu.se/Downloads/Transcripts/0%20-%20Government/USA%20-%20NASA%20Johnson/2008 09 30 - NASA Johnson - Ask Astronaut Greg Chamitoff  It's About Time!_fNcFyRkwQYA - transcript (automated).pdf","Transcript Link")</f>
        <v>Transcript Link</v>
      </c>
      <c r="M3608" s="2" t="str">
        <f>HYPERLINK("https://files.afu.se/Downloads/Transcripts/0%20-%20Government/USA%20-%20NASA%20Johnson/2008 09 30 - NASA Johnson - Ask Astronaut Greg Chamitoff  It's About Time!_fNcFyRkwQYA - transcript (automated).pdf","Transcript Link")</f>
        <v>Transcript Link</v>
      </c>
    </row>
    <row r="3609" ht="180" spans="1:13">
      <c r="A3609" s="1" t="s">
        <v>15831</v>
      </c>
      <c r="B3609" s="1" t="s">
        <v>13</v>
      </c>
      <c r="C3609" s="4" t="s">
        <v>15832</v>
      </c>
      <c r="D3609" s="1" t="s">
        <v>15833</v>
      </c>
      <c r="E3609" s="1" t="s">
        <v>15834</v>
      </c>
      <c r="F3609" s="4" t="s">
        <v>17</v>
      </c>
      <c r="G3609" s="1" t="s">
        <v>18</v>
      </c>
      <c r="H3609" s="1" t="s">
        <v>19</v>
      </c>
      <c r="I3609" s="1" t="s">
        <v>20</v>
      </c>
      <c r="J3609" s="1" t="s">
        <v>15835</v>
      </c>
      <c r="K3609" s="1" t="s">
        <v>22</v>
      </c>
      <c r="L3609" s="1" t="str">
        <f>HYPERLINK("https://files.afu.se/Downloads/Transcripts/0%20-%20Government/USA%20-%20NASA%20Johnson/2008 09 29 - NASA Johnson - Ask Astronaut Greg Chamitoff  'The Smell of Space'_KtUNUdO2_1k - transcript (automated).pdf","Transcript Link")</f>
        <v>Transcript Link</v>
      </c>
      <c r="M3609" s="2" t="str">
        <f>HYPERLINK("https://files.afu.se/Downloads/Transcripts/0%20-%20Government/USA%20-%20NASA%20Johnson/2008 09 29 - NASA Johnson - Ask Astronaut Greg Chamitoff  'The Smell of Space'_KtUNUdO2_1k - transcript (automated).pdf","Transcript Link")</f>
        <v>Transcript Link</v>
      </c>
    </row>
    <row r="3610" ht="180" spans="1:13">
      <c r="A3610" s="1" t="s">
        <v>15836</v>
      </c>
      <c r="B3610" s="1" t="s">
        <v>13</v>
      </c>
      <c r="C3610" s="4" t="s">
        <v>15837</v>
      </c>
      <c r="D3610" s="1" t="s">
        <v>15838</v>
      </c>
      <c r="E3610" s="1" t="s">
        <v>15839</v>
      </c>
      <c r="F3610" s="4" t="s">
        <v>17</v>
      </c>
      <c r="G3610" s="1" t="s">
        <v>18</v>
      </c>
      <c r="H3610" s="1" t="s">
        <v>19</v>
      </c>
      <c r="I3610" s="1" t="s">
        <v>20</v>
      </c>
      <c r="J3610" s="1" t="s">
        <v>15840</v>
      </c>
      <c r="K3610" s="1" t="s">
        <v>22</v>
      </c>
      <c r="L3610" s="1" t="str">
        <f>HYPERLINK("https://files.afu.se/Downloads/Transcripts/0%20-%20Government/USA%20-%20NASA%20Johnson/2008 09 25 - NASA Johnson - Ask Astronaut Greg Chamitoff  In Your Dreams_AutZQ-4KpEQ - transcript (automated).pdf","Transcript Link")</f>
        <v>Transcript Link</v>
      </c>
      <c r="M3610" s="2" t="str">
        <f>HYPERLINK("https://files.afu.se/Downloads/Transcripts/0%20-%20Government/USA%20-%20NASA%20Johnson/2008 09 25 - NASA Johnson - Ask Astronaut Greg Chamitoff  In Your Dreams_AutZQ-4KpEQ - transcript (automated).pdf","Transcript Link")</f>
        <v>Transcript Link</v>
      </c>
    </row>
    <row r="3611" ht="180" spans="1:13">
      <c r="A3611" s="1" t="s">
        <v>15841</v>
      </c>
      <c r="B3611" s="1" t="s">
        <v>13</v>
      </c>
      <c r="C3611" s="4" t="s">
        <v>15842</v>
      </c>
      <c r="D3611" s="1" t="s">
        <v>15843</v>
      </c>
      <c r="E3611" s="1" t="s">
        <v>15844</v>
      </c>
      <c r="F3611" s="4" t="s">
        <v>17</v>
      </c>
      <c r="G3611" s="1" t="s">
        <v>18</v>
      </c>
      <c r="H3611" s="1" t="s">
        <v>19</v>
      </c>
      <c r="I3611" s="1" t="s">
        <v>20</v>
      </c>
      <c r="J3611" s="1" t="s">
        <v>15845</v>
      </c>
      <c r="K3611" s="1" t="s">
        <v>22</v>
      </c>
      <c r="L3611" s="1" t="str">
        <f>HYPERLINK("https://files.afu.se/Downloads/Transcripts/0%20-%20Government/USA%20-%20NASA%20Johnson/2008 09 10 - NASA Johnson - Ask Astronaut Greg Chamitoff  Fitness and Stress in Space_veDmf1cKbmU - transcript (automated).pdf","Transcript Link")</f>
        <v>Transcript Link</v>
      </c>
      <c r="M3611" s="2" t="str">
        <f>HYPERLINK("https://files.afu.se/Downloads/Transcripts/0%20-%20Government/USA%20-%20NASA%20Johnson/2008 09 10 - NASA Johnson - Ask Astronaut Greg Chamitoff  Fitness and Stress in Space_veDmf1cKbmU - transcript (automated).pdf","Transcript Link")</f>
        <v>Transcript Link</v>
      </c>
    </row>
    <row r="3612" ht="180" spans="1:13">
      <c r="A3612" s="1" t="s">
        <v>15846</v>
      </c>
      <c r="B3612" s="1" t="s">
        <v>13</v>
      </c>
      <c r="C3612" s="4" t="s">
        <v>15847</v>
      </c>
      <c r="D3612" s="1" t="s">
        <v>15848</v>
      </c>
      <c r="E3612" s="1" t="s">
        <v>15849</v>
      </c>
      <c r="F3612" s="4" t="s">
        <v>17</v>
      </c>
      <c r="G3612" s="1" t="s">
        <v>18</v>
      </c>
      <c r="H3612" s="1" t="s">
        <v>19</v>
      </c>
      <c r="I3612" s="1" t="s">
        <v>20</v>
      </c>
      <c r="J3612" s="1" t="s">
        <v>15850</v>
      </c>
      <c r="K3612" s="1" t="s">
        <v>22</v>
      </c>
      <c r="L3612" s="1" t="str">
        <f>HYPERLINK("https://files.afu.se/Downloads/Transcripts/0%20-%20Government/USA%20-%20NASA%20Johnson/2008 09 03 - NASA Johnson - Ask Astronaut Greg Chamitoff  Working Hard, Hardly Working _12vZSwQtmgo - transcript (automated).pdf","Transcript Link")</f>
        <v>Transcript Link</v>
      </c>
      <c r="M3612" s="2" t="str">
        <f>HYPERLINK("https://files.afu.se/Downloads/Transcripts/0%20-%20Government/USA%20-%20NASA%20Johnson/2008 09 03 - NASA Johnson - Ask Astronaut Greg Chamitoff  Working Hard, Hardly Working _12vZSwQtmgo - transcript (automated).pdf","Transcript Link")</f>
        <v>Transcript Link</v>
      </c>
    </row>
    <row r="3613" ht="195" spans="1:13">
      <c r="A3613" s="1" t="s">
        <v>15846</v>
      </c>
      <c r="B3613" s="1" t="s">
        <v>13</v>
      </c>
      <c r="C3613" s="4" t="s">
        <v>15851</v>
      </c>
      <c r="D3613" s="1" t="s">
        <v>15852</v>
      </c>
      <c r="E3613" s="1" t="s">
        <v>15853</v>
      </c>
      <c r="F3613" s="4" t="s">
        <v>17</v>
      </c>
      <c r="G3613" s="1" t="s">
        <v>18</v>
      </c>
      <c r="H3613" s="1" t="s">
        <v>19</v>
      </c>
      <c r="I3613" s="1" t="s">
        <v>20</v>
      </c>
      <c r="J3613" s="1" t="s">
        <v>15854</v>
      </c>
      <c r="K3613" s="1" t="s">
        <v>22</v>
      </c>
      <c r="L3613" s="1" t="str">
        <f>HYPERLINK("https://files.afu.se/Downloads/Transcripts/0%20-%20Government/USA%20-%20NASA%20Johnson/2008 09 03 - NASA Johnson - Ask Astronaut Greg Chamitoff  Scuba for Space _d_ATYPb89eA - transcript (automated).pdf","Transcript Link")</f>
        <v>Transcript Link</v>
      </c>
      <c r="M3613" s="2" t="str">
        <f>HYPERLINK("https://files.afu.se/Downloads/Transcripts/0%20-%20Government/USA%20-%20NASA%20Johnson/2008 09 03 - NASA Johnson - Ask Astronaut Greg Chamitoff  Scuba for Space _d_ATYPb89eA - transcript (automated).pdf","Transcript Link")</f>
        <v>Transcript Link</v>
      </c>
    </row>
    <row r="3614" ht="180" spans="1:13">
      <c r="A3614" s="1" t="s">
        <v>15855</v>
      </c>
      <c r="B3614" s="1" t="s">
        <v>13</v>
      </c>
      <c r="C3614" s="4" t="s">
        <v>15856</v>
      </c>
      <c r="D3614" s="1" t="s">
        <v>15857</v>
      </c>
      <c r="E3614" s="1" t="s">
        <v>15858</v>
      </c>
      <c r="F3614" s="4" t="s">
        <v>17</v>
      </c>
      <c r="G3614" s="1" t="s">
        <v>18</v>
      </c>
      <c r="H3614" s="1" t="s">
        <v>19</v>
      </c>
      <c r="I3614" s="1" t="s">
        <v>20</v>
      </c>
      <c r="J3614" s="1" t="s">
        <v>15859</v>
      </c>
      <c r="K3614" s="1" t="s">
        <v>22</v>
      </c>
      <c r="L3614" s="1" t="str">
        <f>HYPERLINK("https://files.afu.se/Downloads/Transcripts/0%20-%20Government/USA%20-%20NASA%20Johnson/2008 09 02 - NASA Johnson - Ask Astronaut Greg Chamitoff  Tinkering on Orbit_x5P9mTiRQuY - transcript (automated).pdf","Transcript Link")</f>
        <v>Transcript Link</v>
      </c>
      <c r="M3614" s="2" t="str">
        <f>HYPERLINK("https://files.afu.se/Downloads/Transcripts/0%20-%20Government/USA%20-%20NASA%20Johnson/2008 09 02 - NASA Johnson - Ask Astronaut Greg Chamitoff  Tinkering on Orbit_x5P9mTiRQuY - transcript (automated).pdf","Transcript Link")</f>
        <v>Transcript Link</v>
      </c>
    </row>
    <row r="3615" ht="210" spans="1:13">
      <c r="A3615" s="1" t="s">
        <v>15860</v>
      </c>
      <c r="B3615" s="1" t="s">
        <v>13</v>
      </c>
      <c r="C3615" s="4" t="s">
        <v>15861</v>
      </c>
      <c r="D3615" s="1" t="s">
        <v>15862</v>
      </c>
      <c r="E3615" s="1" t="s">
        <v>15863</v>
      </c>
      <c r="F3615" s="4" t="s">
        <v>17</v>
      </c>
      <c r="G3615" s="1" t="s">
        <v>18</v>
      </c>
      <c r="H3615" s="1" t="s">
        <v>19</v>
      </c>
      <c r="I3615" s="1" t="s">
        <v>20</v>
      </c>
      <c r="J3615" s="1" t="s">
        <v>15864</v>
      </c>
      <c r="K3615" s="1" t="s">
        <v>22</v>
      </c>
      <c r="L3615" s="1" t="str">
        <f>HYPERLINK("https://files.afu.se/Downloads/Transcripts/0%20-%20Government/USA%20-%20NASA%20Johnson/2008 08 29 - NASA Johnson - Ask Astronaut Greg Chamitoff  Light a Match!_fuFftT6ZR4k - transcript (automated).pdf","Transcript Link")</f>
        <v>Transcript Link</v>
      </c>
      <c r="M3615" s="2" t="str">
        <f>HYPERLINK("https://files.afu.se/Downloads/Transcripts/0%20-%20Government/USA%20-%20NASA%20Johnson/2008 08 29 - NASA Johnson - Ask Astronaut Greg Chamitoff  Light a Match!_fuFftT6ZR4k - transcript (automated).pdf","Transcript Link")</f>
        <v>Transcript Link</v>
      </c>
    </row>
    <row r="3616" ht="195" spans="1:13">
      <c r="A3616" s="1" t="s">
        <v>15865</v>
      </c>
      <c r="B3616" s="1" t="s">
        <v>13</v>
      </c>
      <c r="C3616" s="4" t="s">
        <v>15866</v>
      </c>
      <c r="D3616" s="1" t="s">
        <v>15867</v>
      </c>
      <c r="E3616" s="1" t="s">
        <v>15868</v>
      </c>
      <c r="F3616" s="4" t="s">
        <v>17</v>
      </c>
      <c r="G3616" s="1" t="s">
        <v>18</v>
      </c>
      <c r="H3616" s="1" t="s">
        <v>19</v>
      </c>
      <c r="I3616" s="1" t="s">
        <v>20</v>
      </c>
      <c r="J3616" s="1" t="s">
        <v>15869</v>
      </c>
      <c r="K3616" s="1" t="s">
        <v>22</v>
      </c>
      <c r="L3616" s="1" t="str">
        <f>HYPERLINK("https://files.afu.se/Downloads/Transcripts/0%20-%20Government/USA%20-%20NASA%20Johnson/2008 08 28 - NASA Johnson - Ask Astronaut Greg Chamitoff  Speaking Neemo_uAPi0lDPI4o - transcript (automated).pdf","Transcript Link")</f>
        <v>Transcript Link</v>
      </c>
      <c r="M3616" s="2" t="str">
        <f>HYPERLINK("https://files.afu.se/Downloads/Transcripts/0%20-%20Government/USA%20-%20NASA%20Johnson/2008 08 28 - NASA Johnson - Ask Astronaut Greg Chamitoff  Speaking Neemo_uAPi0lDPI4o - transcript (automated).pdf","Transcript Link")</f>
        <v>Transcript Link</v>
      </c>
    </row>
    <row r="3617" ht="180" spans="1:13">
      <c r="A3617" s="1" t="s">
        <v>15870</v>
      </c>
      <c r="B3617" s="1" t="s">
        <v>13</v>
      </c>
      <c r="C3617" s="4" t="s">
        <v>15871</v>
      </c>
      <c r="D3617" s="1" t="s">
        <v>15872</v>
      </c>
      <c r="E3617" s="1" t="s">
        <v>15873</v>
      </c>
      <c r="F3617" s="4" t="s">
        <v>17</v>
      </c>
      <c r="G3617" s="1" t="s">
        <v>18</v>
      </c>
      <c r="H3617" s="1" t="s">
        <v>19</v>
      </c>
      <c r="I3617" s="1" t="s">
        <v>20</v>
      </c>
      <c r="J3617" s="1" t="s">
        <v>15874</v>
      </c>
      <c r="K3617" s="1" t="s">
        <v>22</v>
      </c>
      <c r="L3617" s="1" t="str">
        <f>HYPERLINK("https://files.afu.se/Downloads/Transcripts/0%20-%20Government/USA%20-%20NASA%20Johnson/2008 08 27 - NASA Johnson - Ask Astronaut Greg Chamitoff  A Hairy Situation_7NJXH5EWp3M - transcript (automated).pdf","Transcript Link")</f>
        <v>Transcript Link</v>
      </c>
      <c r="M3617" s="2" t="str">
        <f>HYPERLINK("https://files.afu.se/Downloads/Transcripts/0%20-%20Government/USA%20-%20NASA%20Johnson/2008 08 27 - NASA Johnson - Ask Astronaut Greg Chamitoff  A Hairy Situation_7NJXH5EWp3M - transcript (automated).pdf","Transcript Link")</f>
        <v>Transcript Link</v>
      </c>
    </row>
    <row r="3618" ht="180" spans="1:13">
      <c r="A3618" s="1" t="s">
        <v>15875</v>
      </c>
      <c r="B3618" s="1" t="s">
        <v>13</v>
      </c>
      <c r="C3618" s="4" t="s">
        <v>15876</v>
      </c>
      <c r="D3618" s="1" t="s">
        <v>15877</v>
      </c>
      <c r="E3618" s="1" t="s">
        <v>15878</v>
      </c>
      <c r="F3618" s="4" t="s">
        <v>17</v>
      </c>
      <c r="G3618" s="1" t="s">
        <v>18</v>
      </c>
      <c r="H3618" s="1" t="s">
        <v>19</v>
      </c>
      <c r="I3618" s="1" t="s">
        <v>20</v>
      </c>
      <c r="J3618" s="1" t="s">
        <v>15879</v>
      </c>
      <c r="K3618" s="1" t="s">
        <v>22</v>
      </c>
      <c r="L3618" s="1" t="str">
        <f>HYPERLINK("https://files.afu.se/Downloads/Transcripts/0%20-%20Government/USA%20-%20NASA%20Johnson/2008 08 26 - NASA Johnson - Ask Astronaut Greg Chamitoff  Hallucinations __0VdV4-Pbh4 - transcript (automated).pdf","Transcript Link")</f>
        <v>Transcript Link</v>
      </c>
      <c r="M3618" s="2" t="str">
        <f>HYPERLINK("https://files.afu.se/Downloads/Transcripts/0%20-%20Government/USA%20-%20NASA%20Johnson/2008 08 26 - NASA Johnson - Ask Astronaut Greg Chamitoff  Hallucinations __0VdV4-Pbh4 - transcript (automated).pdf","Transcript Link")</f>
        <v>Transcript Link</v>
      </c>
    </row>
    <row r="3619" ht="180" spans="1:13">
      <c r="A3619" s="1" t="s">
        <v>15880</v>
      </c>
      <c r="B3619" s="1" t="s">
        <v>13</v>
      </c>
      <c r="C3619" s="4" t="s">
        <v>15881</v>
      </c>
      <c r="D3619" s="1" t="s">
        <v>15882</v>
      </c>
      <c r="E3619" s="1" t="s">
        <v>15883</v>
      </c>
      <c r="F3619" s="4" t="s">
        <v>17</v>
      </c>
      <c r="G3619" s="1" t="s">
        <v>18</v>
      </c>
      <c r="H3619" s="1" t="s">
        <v>19</v>
      </c>
      <c r="I3619" s="1" t="s">
        <v>20</v>
      </c>
      <c r="J3619" s="1" t="s">
        <v>15884</v>
      </c>
      <c r="K3619" s="1" t="s">
        <v>22</v>
      </c>
      <c r="L3619" s="1" t="str">
        <f>HYPERLINK("https://files.afu.se/Downloads/Transcripts/0%20-%20Government/USA%20-%20NASA%20Johnson/2008 08 25 - NASA Johnson - Ask Astronaut Greg Chamitoff  Space Station Orientation_-N5A0L83C_M - transcript (automated).pdf","Transcript Link")</f>
        <v>Transcript Link</v>
      </c>
      <c r="M3619" s="2" t="str">
        <f>HYPERLINK("https://files.afu.se/Downloads/Transcripts/0%20-%20Government/USA%20-%20NASA%20Johnson/2008 08 25 - NASA Johnson - Ask Astronaut Greg Chamitoff  Space Station Orientation_-N5A0L83C_M - transcript (automated).pdf","Transcript Link")</f>
        <v>Transcript Link</v>
      </c>
    </row>
    <row r="3620" ht="180" spans="1:13">
      <c r="A3620" s="1" t="s">
        <v>15885</v>
      </c>
      <c r="B3620" s="1" t="s">
        <v>13</v>
      </c>
      <c r="C3620" s="4" t="s">
        <v>15886</v>
      </c>
      <c r="D3620" s="1" t="s">
        <v>15887</v>
      </c>
      <c r="E3620" s="1" t="s">
        <v>15888</v>
      </c>
      <c r="F3620" s="4" t="s">
        <v>17</v>
      </c>
      <c r="G3620" s="1" t="s">
        <v>18</v>
      </c>
      <c r="H3620" s="1" t="s">
        <v>19</v>
      </c>
      <c r="I3620" s="1" t="s">
        <v>20</v>
      </c>
      <c r="J3620" s="1" t="s">
        <v>15889</v>
      </c>
      <c r="K3620" s="1" t="s">
        <v>22</v>
      </c>
      <c r="L3620" s="1" t="str">
        <f>HYPERLINK("https://files.afu.se/Downloads/Transcripts/0%20-%20Government/USA%20-%20NASA%20Johnson/2008 08 22 - NASA Johnson - Ask an Astronaut  Post a Video Response!_VaSKLKs4hk4 - transcript (automated).pdf","Transcript Link")</f>
        <v>Transcript Link</v>
      </c>
      <c r="M3620" s="2" t="str">
        <f>HYPERLINK("https://files.afu.se/Downloads/Transcripts/0%20-%20Government/USA%20-%20NASA%20Johnson/2008 08 22 - NASA Johnson - Ask an Astronaut  Post a Video Response!_VaSKLKs4hk4 - transcript (automated).pdf","Transcript Link")</f>
        <v>Transcript Link</v>
      </c>
    </row>
    <row r="3621" ht="180" spans="1:13">
      <c r="A3621" s="1" t="s">
        <v>15890</v>
      </c>
      <c r="B3621" s="1" t="s">
        <v>13</v>
      </c>
      <c r="C3621" s="4" t="s">
        <v>15891</v>
      </c>
      <c r="D3621" s="1" t="s">
        <v>15892</v>
      </c>
      <c r="E3621" s="1" t="s">
        <v>15893</v>
      </c>
      <c r="F3621" s="4" t="s">
        <v>17</v>
      </c>
      <c r="G3621" s="1" t="s">
        <v>18</v>
      </c>
      <c r="H3621" s="1" t="s">
        <v>19</v>
      </c>
      <c r="I3621" s="1" t="s">
        <v>20</v>
      </c>
      <c r="J3621" s="1" t="s">
        <v>15894</v>
      </c>
      <c r="K3621" s="1" t="s">
        <v>22</v>
      </c>
      <c r="L3621" s="1" t="str">
        <f>HYPERLINK("https://files.afu.se/Downloads/Transcripts/0%20-%20Government/USA%20-%20NASA%20Johnson/2008 08 21 - NASA Johnson - Constellation  What does it take _pOrzI21ZF8U - transcript (automated).pdf","Transcript Link")</f>
        <v>Transcript Link</v>
      </c>
      <c r="M3621" s="2" t="str">
        <f>HYPERLINK("https://files.afu.se/Downloads/Transcripts/0%20-%20Government/USA%20-%20NASA%20Johnson/2008 08 21 - NASA Johnson - Constellation  What does it take _pOrzI21ZF8U - transcript (automated).pdf","Transcript Link")</f>
        <v>Transcript Link</v>
      </c>
    </row>
    <row r="3622" ht="180" spans="1:13">
      <c r="A3622" s="1" t="s">
        <v>15895</v>
      </c>
      <c r="B3622" s="1" t="s">
        <v>13</v>
      </c>
      <c r="C3622" s="4" t="s">
        <v>15896</v>
      </c>
      <c r="D3622" s="1" t="s">
        <v>15897</v>
      </c>
      <c r="E3622" s="1" t="s">
        <v>15898</v>
      </c>
      <c r="F3622" s="4" t="s">
        <v>17</v>
      </c>
      <c r="G3622" s="1" t="s">
        <v>18</v>
      </c>
      <c r="H3622" s="1" t="s">
        <v>19</v>
      </c>
      <c r="I3622" s="1" t="s">
        <v>20</v>
      </c>
      <c r="J3622" s="1" t="s">
        <v>15899</v>
      </c>
      <c r="K3622" s="1" t="s">
        <v>22</v>
      </c>
      <c r="L3622" s="1" t="str">
        <f>HYPERLINK("https://files.afu.se/Downloads/Transcripts/0%20-%20Government/USA%20-%20NASA%20Johnson/2008 07 23 - NASA Johnson - Test of the Orion Launch Abort System on the Pad_UDC0EEh4YeA - transcript (automated).pdf","Transcript Link")</f>
        <v>Transcript Link</v>
      </c>
      <c r="M3622" s="2" t="str">
        <f>HYPERLINK("https://files.afu.se/Downloads/Transcripts/0%20-%20Government/USA%20-%20NASA%20Johnson/2008 07 23 - NASA Johnson - Test of the Orion Launch Abort System on the Pad_UDC0EEh4YeA - transcript (automated).pdf","Transcript Link")</f>
        <v>Transcript Link</v>
      </c>
    </row>
    <row r="3623" ht="180" spans="1:13">
      <c r="A3623" s="1" t="s">
        <v>15900</v>
      </c>
      <c r="B3623" s="1" t="s">
        <v>13</v>
      </c>
      <c r="C3623" s="4" t="s">
        <v>15901</v>
      </c>
      <c r="D3623" s="1" t="s">
        <v>15902</v>
      </c>
      <c r="E3623" s="1" t="s">
        <v>15903</v>
      </c>
      <c r="F3623" s="4" t="s">
        <v>17</v>
      </c>
      <c r="G3623" s="1" t="s">
        <v>18</v>
      </c>
      <c r="H3623" s="1" t="s">
        <v>19</v>
      </c>
      <c r="I3623" s="1" t="s">
        <v>20</v>
      </c>
      <c r="J3623" s="1" t="s">
        <v>15904</v>
      </c>
      <c r="K3623" s="1" t="s">
        <v>22</v>
      </c>
      <c r="L3623" s="1" t="str">
        <f>HYPERLINK("https://files.afu.se/Downloads/Transcripts/0%20-%20Government/USA%20-%20NASA%20Johnson/2008 06 27 - NASA Johnson - A Look Inside Orion_wlzytubpMiE - transcript (automated).pdf","Transcript Link")</f>
        <v>Transcript Link</v>
      </c>
      <c r="M3623" s="2" t="str">
        <f>HYPERLINK("https://files.afu.se/Downloads/Transcripts/0%20-%20Government/USA%20-%20NASA%20Johnson/2008 06 27 - NASA Johnson - A Look Inside Orion_wlzytubpMiE - transcript (automated).pdf","Transcript Link")</f>
        <v>Transcript Link</v>
      </c>
    </row>
    <row r="3624" ht="285" spans="1:13">
      <c r="A3624" s="1" t="s">
        <v>15905</v>
      </c>
      <c r="B3624" s="1" t="s">
        <v>13</v>
      </c>
      <c r="C3624" s="4" t="s">
        <v>15906</v>
      </c>
      <c r="D3624" s="1" t="s">
        <v>15907</v>
      </c>
      <c r="E3624" s="1" t="s">
        <v>15908</v>
      </c>
      <c r="F3624" s="4" t="s">
        <v>17</v>
      </c>
      <c r="G3624" s="1" t="s">
        <v>18</v>
      </c>
      <c r="H3624" s="1" t="s">
        <v>19</v>
      </c>
      <c r="I3624" s="1" t="s">
        <v>20</v>
      </c>
      <c r="J3624" s="1" t="s">
        <v>15909</v>
      </c>
      <c r="K3624" s="1" t="s">
        <v>22</v>
      </c>
      <c r="L3624" s="1" t="str">
        <f>HYPERLINK("https://files.afu.se/Downloads/Transcripts/0%20-%20Government/USA%20-%20NASA%20Johnson/2008 06 07 - NASA Johnson - Your Wildest Dreams_k7jd30y6qr8 - transcript (automated).pdf","Transcript Link")</f>
        <v>Transcript Link</v>
      </c>
      <c r="M3624" s="2" t="str">
        <f>HYPERLINK("https://files.afu.se/Downloads/Transcripts/0%20-%20Government/USA%20-%20NASA%20Johnson/2008 06 07 - NASA Johnson - Your Wildest Dreams_k7jd30y6qr8 - transcript (automated).pdf","Transcript Link")</f>
        <v>Transcript Link</v>
      </c>
    </row>
    <row r="3625" ht="330" spans="1:13">
      <c r="A3625" s="1" t="s">
        <v>15910</v>
      </c>
      <c r="B3625" s="1" t="s">
        <v>13</v>
      </c>
      <c r="C3625" s="4" t="s">
        <v>15911</v>
      </c>
      <c r="D3625" s="1" t="s">
        <v>15912</v>
      </c>
      <c r="E3625" s="1" t="s">
        <v>15913</v>
      </c>
      <c r="F3625" s="4" t="s">
        <v>17</v>
      </c>
      <c r="G3625" s="1" t="s">
        <v>18</v>
      </c>
      <c r="H3625" s="1" t="s">
        <v>19</v>
      </c>
      <c r="I3625" s="1" t="s">
        <v>20</v>
      </c>
      <c r="J3625" s="1" t="s">
        <v>15914</v>
      </c>
      <c r="K3625" s="1" t="s">
        <v>22</v>
      </c>
      <c r="L3625" s="1" t="str">
        <f>HYPERLINK("https://files.afu.se/Downloads/Transcripts/0%20-%20Government/USA%20-%20NASA%20Johnson/2008 05 31 - NASA Johnson - Discovery Lifts Off!_tiGsH4xmelI - transcript (automated).pdf","Transcript Link")</f>
        <v>Transcript Link</v>
      </c>
      <c r="M3625" s="2" t="str">
        <f>HYPERLINK("https://files.afu.se/Downloads/Transcripts/0%20-%20Government/USA%20-%20NASA%20Johnson/2008 05 31 - NASA Johnson - Discovery Lifts Off!_tiGsH4xmelI - transcript (automated).pdf","Transcript Link")</f>
        <v>Transcript Link</v>
      </c>
    </row>
    <row r="3626" ht="180" spans="1:13">
      <c r="A3626" s="1" t="s">
        <v>15915</v>
      </c>
      <c r="B3626" s="1" t="s">
        <v>13</v>
      </c>
      <c r="C3626" s="4" t="s">
        <v>15916</v>
      </c>
      <c r="D3626" s="1" t="s">
        <v>15917</v>
      </c>
      <c r="E3626" s="1" t="s">
        <v>15918</v>
      </c>
      <c r="F3626" s="4" t="s">
        <v>17</v>
      </c>
      <c r="G3626" s="1" t="s">
        <v>18</v>
      </c>
      <c r="H3626" s="1" t="s">
        <v>19</v>
      </c>
      <c r="I3626" s="1" t="s">
        <v>20</v>
      </c>
      <c r="J3626" s="1" t="s">
        <v>15919</v>
      </c>
      <c r="K3626" s="1" t="s">
        <v>22</v>
      </c>
      <c r="L3626" s="1" t="str">
        <f>HYPERLINK("https://files.afu.se/Downloads/Transcripts/0%20-%20Government/USA%20-%20NASA%20Johnson/2008 05 06 - NASA Johnson - Happy International Women's Day!_fArt6k6j70k - transcript (automated).pdf","Transcript Link")</f>
        <v>Transcript Link</v>
      </c>
      <c r="M3626" s="2" t="str">
        <f>HYPERLINK("https://files.afu.se/Downloads/Transcripts/0%20-%20Government/USA%20-%20NASA%20Johnson/2008 05 06 - NASA Johnson - Happy International Women's Day!_fArt6k6j70k - transcript (automated).pdf","Transcript Link")</f>
        <v>Transcript Link</v>
      </c>
    </row>
    <row r="3627" ht="180" spans="1:13">
      <c r="A3627" s="1" t="s">
        <v>15920</v>
      </c>
      <c r="B3627" s="1" t="s">
        <v>13</v>
      </c>
      <c r="C3627" s="4" t="s">
        <v>15921</v>
      </c>
      <c r="D3627" s="1" t="s">
        <v>15922</v>
      </c>
      <c r="E3627" s="1" t="s">
        <v>15923</v>
      </c>
      <c r="F3627" s="4" t="s">
        <v>17</v>
      </c>
      <c r="G3627" s="1" t="s">
        <v>18</v>
      </c>
      <c r="H3627" s="1" t="s">
        <v>19</v>
      </c>
      <c r="I3627" s="1" t="s">
        <v>20</v>
      </c>
      <c r="J3627" s="1" t="s">
        <v>15924</v>
      </c>
      <c r="K3627" s="1" t="s">
        <v>22</v>
      </c>
      <c r="L3627" s="1" t="str">
        <f>HYPERLINK("https://files.afu.se/Downloads/Transcripts/0%20-%20Government/USA%20-%20NASA%20Johnson/2008 04 04 - NASA Johnson - Everest Expedition 2008  The Journey Begins_L5-vPCmdlSQ - transcript (automated).pdf","Transcript Link")</f>
        <v>Transcript Link</v>
      </c>
      <c r="M3627" s="2" t="str">
        <f>HYPERLINK("https://files.afu.se/Downloads/Transcripts/0%20-%20Government/USA%20-%20NASA%20Johnson/2008 04 04 - NASA Johnson - Everest Expedition 2008  The Journey Begins_L5-vPCmdlSQ - transcript (automated).pdf","Transcript Link")</f>
        <v>Transcript Link</v>
      </c>
    </row>
    <row r="3628" ht="180" spans="1:13">
      <c r="A3628" s="1" t="s">
        <v>15925</v>
      </c>
      <c r="B3628" s="1" t="s">
        <v>13</v>
      </c>
      <c r="C3628" s="4" t="s">
        <v>15926</v>
      </c>
      <c r="D3628" s="1" t="s">
        <v>15927</v>
      </c>
      <c r="E3628" s="1" t="s">
        <v>15928</v>
      </c>
      <c r="F3628" s="4" t="s">
        <v>17</v>
      </c>
      <c r="G3628" s="1" t="s">
        <v>18</v>
      </c>
      <c r="H3628" s="1" t="s">
        <v>19</v>
      </c>
      <c r="I3628" s="1" t="s">
        <v>20</v>
      </c>
      <c r="J3628" s="1" t="s">
        <v>15929</v>
      </c>
      <c r="K3628" s="1" t="s">
        <v>22</v>
      </c>
      <c r="L3628" s="1" t="str">
        <f>HYPERLINK("https://files.afu.se/Downloads/Transcripts/0%20-%20Government/USA%20-%20NASA%20Johnson/2008 03 23 - NASA Johnson - Everest Expedition 2008 Trailer_aYkqQANPQxY - transcript (automated).pdf","Transcript Link")</f>
        <v>Transcript Link</v>
      </c>
      <c r="M3628" s="2" t="str">
        <f>HYPERLINK("https://files.afu.se/Downloads/Transcripts/0%20-%20Government/USA%20-%20NASA%20Johnson/2008 03 23 - NASA Johnson - Everest Expedition 2008 Trailer_aYkqQANPQxY - transcript (automated).pdf","Transcript Link")</f>
        <v>Transcript Link</v>
      </c>
    </row>
    <row r="3629" ht="285" spans="1:13">
      <c r="A3629" s="1" t="s">
        <v>15930</v>
      </c>
      <c r="B3629" s="1" t="s">
        <v>13</v>
      </c>
      <c r="C3629" s="4" t="s">
        <v>15931</v>
      </c>
      <c r="D3629" s="1" t="s">
        <v>15932</v>
      </c>
      <c r="E3629" s="1" t="s">
        <v>15933</v>
      </c>
      <c r="F3629" s="4" t="s">
        <v>17</v>
      </c>
      <c r="G3629" s="1" t="s">
        <v>18</v>
      </c>
      <c r="H3629" s="1" t="s">
        <v>19</v>
      </c>
      <c r="I3629" s="1" t="s">
        <v>20</v>
      </c>
      <c r="J3629" s="1" t="s">
        <v>15934</v>
      </c>
      <c r="K3629" s="1" t="s">
        <v>22</v>
      </c>
      <c r="L3629" s="1" t="str">
        <f>HYPERLINK("https://files.afu.se/Downloads/Transcripts/0%20-%20Government/USA%20-%20NASA%20Johnson/2008 03 22 - NASA Johnson - We're Going to be Friends_S_bn0aDorjQ - transcript (automated).pdf","Transcript Link")</f>
        <v>Transcript Link</v>
      </c>
      <c r="M3629" s="2" t="str">
        <f>HYPERLINK("https://files.afu.se/Downloads/Transcripts/0%20-%20Government/USA%20-%20NASA%20Johnson/2008 03 22 - NASA Johnson - We're Going to be Friends_S_bn0aDorjQ - transcript (automated).pdf","Transcript Link")</f>
        <v>Transcript Link</v>
      </c>
    </row>
    <row r="3630" ht="180" spans="1:13">
      <c r="A3630" s="1" t="s">
        <v>15935</v>
      </c>
      <c r="B3630" s="1" t="s">
        <v>13</v>
      </c>
      <c r="C3630" s="4" t="s">
        <v>15936</v>
      </c>
      <c r="D3630" s="1" t="s">
        <v>15937</v>
      </c>
      <c r="E3630" s="1" t="s">
        <v>15938</v>
      </c>
      <c r="F3630" s="4" t="s">
        <v>17</v>
      </c>
      <c r="G3630" s="1" t="s">
        <v>18</v>
      </c>
      <c r="H3630" s="1" t="s">
        <v>19</v>
      </c>
      <c r="I3630" s="1" t="s">
        <v>20</v>
      </c>
      <c r="J3630" s="1" t="s">
        <v>15939</v>
      </c>
      <c r="K3630" s="1" t="s">
        <v>22</v>
      </c>
      <c r="L3630" s="1" t="str">
        <f>HYPERLINK("https://files.afu.se/Downloads/Transcripts/0%20-%20Government/USA%20-%20NASA%20Johnson/2008 03 21 - NASA Johnson - Booster Shot  Endeavour's Night Launch from SRB Cams_yrm0VRoUHRo - transcript (automated).pdf","Transcript Link")</f>
        <v>Transcript Link</v>
      </c>
      <c r="M3630" s="2" t="str">
        <f>HYPERLINK("https://files.afu.se/Downloads/Transcripts/0%20-%20Government/USA%20-%20NASA%20Johnson/2008 03 21 - NASA Johnson - Booster Shot  Endeavour's Night Launch from SRB Cams_yrm0VRoUHRo - transcript (automated).pdf","Transcript Link")</f>
        <v>Transcript Link</v>
      </c>
    </row>
    <row r="3631" ht="180" spans="1:13">
      <c r="A3631" s="1" t="s">
        <v>15935</v>
      </c>
      <c r="B3631" s="1" t="s">
        <v>13</v>
      </c>
      <c r="C3631" s="4" t="s">
        <v>15940</v>
      </c>
      <c r="D3631" s="1" t="s">
        <v>15941</v>
      </c>
      <c r="E3631" s="1" t="s">
        <v>15942</v>
      </c>
      <c r="F3631" s="4" t="s">
        <v>17</v>
      </c>
      <c r="G3631" s="1" t="s">
        <v>18</v>
      </c>
      <c r="H3631" s="1" t="s">
        <v>19</v>
      </c>
      <c r="I3631" s="1" t="s">
        <v>20</v>
      </c>
      <c r="J3631" s="1" t="s">
        <v>15943</v>
      </c>
      <c r="K3631" s="1" t="s">
        <v>22</v>
      </c>
      <c r="L3631" s="1" t="str">
        <f>HYPERLINK("https://files.afu.se/Downloads/Transcripts/0%20-%20Government/USA%20-%20NASA%20Johnson/2008 03 21 - NASA Johnson - Hope Floats  Tour Japanese Experiment Module, Kibo_68y3xl5HVmo - transcript (automated).pdf","Transcript Link")</f>
        <v>Transcript Link</v>
      </c>
      <c r="M3631" s="2" t="str">
        <f>HYPERLINK("https://files.afu.se/Downloads/Transcripts/0%20-%20Government/USA%20-%20NASA%20Johnson/2008 03 21 - NASA Johnson - Hope Floats  Tour Japanese Experiment Module, Kibo_68y3xl5HVmo - transcript (automated).pdf","Transcript Link")</f>
        <v>Transcript Link</v>
      </c>
    </row>
    <row r="3632" ht="285" spans="1:13">
      <c r="A3632" s="1" t="s">
        <v>15944</v>
      </c>
      <c r="B3632" s="1" t="s">
        <v>13</v>
      </c>
      <c r="C3632" s="4" t="s">
        <v>15945</v>
      </c>
      <c r="D3632" s="1" t="s">
        <v>15946</v>
      </c>
      <c r="E3632" s="1" t="s">
        <v>15947</v>
      </c>
      <c r="F3632" s="4" t="s">
        <v>17</v>
      </c>
      <c r="G3632" s="1" t="s">
        <v>18</v>
      </c>
      <c r="H3632" s="1" t="s">
        <v>19</v>
      </c>
      <c r="I3632" s="1" t="s">
        <v>20</v>
      </c>
      <c r="J3632" s="1" t="s">
        <v>15948</v>
      </c>
      <c r="K3632" s="1" t="s">
        <v>22</v>
      </c>
      <c r="L3632" s="1" t="str">
        <f>HYPERLINK("https://files.afu.se/Downloads/Transcripts/0%20-%20Government/USA%20-%20NASA%20Johnson/2008 03 19 - NASA Johnson - Turn! Turn! Turn!_su4QYQdWicQ - transcript (automated).pdf","Transcript Link")</f>
        <v>Transcript Link</v>
      </c>
      <c r="M3632" s="2" t="str">
        <f>HYPERLINK("https://files.afu.se/Downloads/Transcripts/0%20-%20Government/USA%20-%20NASA%20Johnson/2008 03 19 - NASA Johnson - Turn! Turn! Turn!_su4QYQdWicQ - transcript (automated).pdf","Transcript Link")</f>
        <v>Transcript Link</v>
      </c>
    </row>
    <row r="3633" ht="270" spans="1:13">
      <c r="A3633" s="1" t="s">
        <v>15949</v>
      </c>
      <c r="B3633" s="1" t="s">
        <v>13</v>
      </c>
      <c r="C3633" s="4" t="s">
        <v>15950</v>
      </c>
      <c r="D3633" s="1" t="s">
        <v>15951</v>
      </c>
      <c r="E3633" s="1" t="s">
        <v>15952</v>
      </c>
      <c r="F3633" s="4" t="s">
        <v>17</v>
      </c>
      <c r="G3633" s="1" t="s">
        <v>18</v>
      </c>
      <c r="H3633" s="1" t="s">
        <v>19</v>
      </c>
      <c r="I3633" s="1" t="s">
        <v>20</v>
      </c>
      <c r="J3633" s="1" t="s">
        <v>15953</v>
      </c>
      <c r="K3633" s="1" t="s">
        <v>22</v>
      </c>
      <c r="L3633" s="1" t="str">
        <f>HYPERLINK("https://files.afu.se/Downloads/Transcripts/0%20-%20Government/USA%20-%20NASA%20Johnson/2008 03 14 - NASA Johnson - 'Do it all, Have a Ball!' Mr. Saturday Night!_6_jR-oG1eQk - transcript (automated).pdf","Transcript Link")</f>
        <v>Transcript Link</v>
      </c>
      <c r="M3633" s="2" t="str">
        <f>HYPERLINK("https://files.afu.se/Downloads/Transcripts/0%20-%20Government/USA%20-%20NASA%20Johnson/2008 03 14 - NASA Johnson - 'Do it all, Have a Ball!' Mr. Saturday Night!_6_jR-oG1eQk - transcript (automated).pdf","Transcript Link")</f>
        <v>Transcript Link</v>
      </c>
    </row>
    <row r="3634" ht="255" spans="1:13">
      <c r="A3634" s="1" t="s">
        <v>15949</v>
      </c>
      <c r="B3634" s="1" t="s">
        <v>13</v>
      </c>
      <c r="C3634" s="4" t="s">
        <v>15954</v>
      </c>
      <c r="D3634" s="1" t="s">
        <v>15955</v>
      </c>
      <c r="E3634" s="1" t="s">
        <v>15956</v>
      </c>
      <c r="F3634" s="4" t="s">
        <v>17</v>
      </c>
      <c r="G3634" s="1" t="s">
        <v>18</v>
      </c>
      <c r="H3634" s="1" t="s">
        <v>19</v>
      </c>
      <c r="I3634" s="1" t="s">
        <v>20</v>
      </c>
      <c r="J3634" s="1" t="s">
        <v>15957</v>
      </c>
      <c r="K3634" s="1" t="s">
        <v>22</v>
      </c>
      <c r="L3634" s="1" t="str">
        <f>HYPERLINK("https://files.afu.se/Downloads/Transcripts/0%20-%20Government/USA%20-%20NASA%20Johnson/2008 03 14 - NASA Johnson - Godzilla Wake up_IXTVju0bSdE - transcript (automated).pdf","Transcript Link")</f>
        <v>Transcript Link</v>
      </c>
      <c r="M3634" s="2" t="str">
        <f>HYPERLINK("https://files.afu.se/Downloads/Transcripts/0%20-%20Government/USA%20-%20NASA%20Johnson/2008 03 14 - NASA Johnson - Godzilla Wake up_IXTVju0bSdE - transcript (automated).pdf","Transcript Link")</f>
        <v>Transcript Link</v>
      </c>
    </row>
    <row r="3635" ht="255" spans="1:13">
      <c r="A3635" s="1" t="s">
        <v>15958</v>
      </c>
      <c r="B3635" s="1" t="s">
        <v>13</v>
      </c>
      <c r="C3635" s="4" t="s">
        <v>15959</v>
      </c>
      <c r="D3635" s="1" t="s">
        <v>15960</v>
      </c>
      <c r="E3635" s="1" t="s">
        <v>15961</v>
      </c>
      <c r="F3635" s="4" t="s">
        <v>17</v>
      </c>
      <c r="G3635" s="1" t="s">
        <v>18</v>
      </c>
      <c r="H3635" s="1" t="s">
        <v>19</v>
      </c>
      <c r="I3635" s="1" t="s">
        <v>20</v>
      </c>
      <c r="J3635" s="1" t="s">
        <v>15962</v>
      </c>
      <c r="K3635" s="1" t="s">
        <v>22</v>
      </c>
      <c r="L3635" s="1" t="str">
        <f>HYPERLINK("https://files.afu.se/Downloads/Transcripts/0%20-%20Government/USA%20-%20NASA%20Johnson/2008 03 13 - NASA Johnson - Linus &amp; Lucy_5YsZ9__9KlA - transcript (automated).pdf","Transcript Link")</f>
        <v>Transcript Link</v>
      </c>
      <c r="M3635" s="2" t="str">
        <f>HYPERLINK("https://files.afu.se/Downloads/Transcripts/0%20-%20Government/USA%20-%20NASA%20Johnson/2008 03 13 - NASA Johnson - Linus &amp; Lucy_5YsZ9__9KlA - transcript (automated).pdf","Transcript Link")</f>
        <v>Transcript Link</v>
      </c>
    </row>
    <row r="3636" ht="180" spans="1:13">
      <c r="A3636" s="1" t="s">
        <v>15958</v>
      </c>
      <c r="B3636" s="1" t="s">
        <v>13</v>
      </c>
      <c r="C3636" s="4" t="s">
        <v>15963</v>
      </c>
      <c r="D3636" s="1" t="s">
        <v>15964</v>
      </c>
      <c r="E3636" s="1" t="s">
        <v>15965</v>
      </c>
      <c r="F3636" s="4" t="s">
        <v>17</v>
      </c>
      <c r="G3636" s="1" t="s">
        <v>18</v>
      </c>
      <c r="H3636" s="1" t="s">
        <v>19</v>
      </c>
      <c r="I3636" s="1" t="s">
        <v>20</v>
      </c>
      <c r="J3636" s="1" t="s">
        <v>15966</v>
      </c>
      <c r="K3636" s="1" t="s">
        <v>22</v>
      </c>
      <c r="L3636" s="1" t="str">
        <f>HYPERLINK("https://files.afu.se/Downloads/Transcripts/0%20-%20Government/USA%20-%20NASA%20Johnson/2008 03 13 - NASA Johnson - Welcome Aboard! My Home is Your Home_W0fArNhU5l8 - transcript (automated).pdf","Transcript Link")</f>
        <v>Transcript Link</v>
      </c>
      <c r="M3636" s="2" t="str">
        <f>HYPERLINK("https://files.afu.se/Downloads/Transcripts/0%20-%20Government/USA%20-%20NASA%20Johnson/2008 03 13 - NASA Johnson - Welcome Aboard! My Home is Your Home_W0fArNhU5l8 - transcript (automated).pdf","Transcript Link")</f>
        <v>Transcript Link</v>
      </c>
    </row>
    <row r="3637" ht="409.5" spans="1:13">
      <c r="A3637" s="1" t="s">
        <v>15958</v>
      </c>
      <c r="B3637" s="1" t="s">
        <v>13</v>
      </c>
      <c r="C3637" s="4" t="s">
        <v>15967</v>
      </c>
      <c r="D3637" s="1" t="s">
        <v>15968</v>
      </c>
      <c r="E3637" s="1" t="s">
        <v>15969</v>
      </c>
      <c r="F3637" s="4" t="s">
        <v>17</v>
      </c>
      <c r="G3637" s="1" t="s">
        <v>18</v>
      </c>
      <c r="H3637" s="1" t="s">
        <v>19</v>
      </c>
      <c r="I3637" s="1" t="s">
        <v>20</v>
      </c>
      <c r="J3637" s="1" t="s">
        <v>15970</v>
      </c>
      <c r="K3637" s="1" t="s">
        <v>22</v>
      </c>
      <c r="L3637" s="1" t="str">
        <f>HYPERLINK("https://files.afu.se/Downloads/Transcripts/0%20-%20Government/USA%20-%20NASA%20Johnson/2008 03 13 - NASA Johnson - Endeavour on the Flip Side_7qiAF7gMZ2o - transcript (automated).pdf","Transcript Link")</f>
        <v>Transcript Link</v>
      </c>
      <c r="M3637" s="2" t="str">
        <f>HYPERLINK("https://files.afu.se/Downloads/Transcripts/0%20-%20Government/USA%20-%20NASA%20Johnson/2008 03 13 - NASA Johnson - Endeavour on the Flip Side_7qiAF7gMZ2o - transcript (automated).pdf","Transcript Link")</f>
        <v>Transcript Link</v>
      </c>
    </row>
    <row r="3638" ht="180" spans="1:13">
      <c r="A3638" s="1" t="s">
        <v>15971</v>
      </c>
      <c r="B3638" s="1" t="s">
        <v>13</v>
      </c>
      <c r="C3638" s="4" t="s">
        <v>15972</v>
      </c>
      <c r="D3638" s="1" t="s">
        <v>15973</v>
      </c>
      <c r="E3638" s="1" t="s">
        <v>15974</v>
      </c>
      <c r="F3638" s="4" t="s">
        <v>17</v>
      </c>
      <c r="G3638" s="1" t="s">
        <v>18</v>
      </c>
      <c r="H3638" s="1" t="s">
        <v>19</v>
      </c>
      <c r="I3638" s="1" t="s">
        <v>20</v>
      </c>
      <c r="J3638" s="1" t="s">
        <v>15975</v>
      </c>
      <c r="K3638" s="1" t="s">
        <v>22</v>
      </c>
      <c r="L3638" s="1" t="str">
        <f>HYPERLINK("https://files.afu.se/Downloads/Transcripts/0%20-%20Government/USA%20-%20NASA%20Johnson/2008 03 11 - NASA Johnson - Room with a View  Launch from Vehicle Assembly Building_f2rbrNMSXBs - transcript (automated).pdf","Transcript Link")</f>
        <v>Transcript Link</v>
      </c>
      <c r="M3638" s="2" t="str">
        <f>HYPERLINK("https://files.afu.se/Downloads/Transcripts/0%20-%20Government/USA%20-%20NASA%20Johnson/2008 03 11 - NASA Johnson - Room with a View  Launch from Vehicle Assembly Building_f2rbrNMSXBs - transcript (automated).pdf","Transcript Link")</f>
        <v>Transcript Link</v>
      </c>
    </row>
    <row r="3639" ht="180" spans="1:13">
      <c r="A3639" s="1" t="s">
        <v>15971</v>
      </c>
      <c r="B3639" s="1" t="s">
        <v>13</v>
      </c>
      <c r="C3639" s="4" t="s">
        <v>15976</v>
      </c>
      <c r="D3639" s="1" t="s">
        <v>15977</v>
      </c>
      <c r="E3639" s="1" t="s">
        <v>15978</v>
      </c>
      <c r="F3639" s="4" t="s">
        <v>17</v>
      </c>
      <c r="G3639" s="1" t="s">
        <v>18</v>
      </c>
      <c r="H3639" s="1" t="s">
        <v>19</v>
      </c>
      <c r="I3639" s="1" t="s">
        <v>20</v>
      </c>
      <c r="J3639" s="1" t="s">
        <v>15979</v>
      </c>
      <c r="K3639" s="1" t="s">
        <v>22</v>
      </c>
      <c r="L3639" s="1" t="str">
        <f>HYPERLINK("https://files.afu.se/Downloads/Transcripts/0%20-%20Government/USA%20-%20NASA%20Johnson/2008 03 11 - NASA Johnson - 'Early Sunrise' Endeavour Lifts off into the Night_enssQtVVqm4 - transcript (automated).pdf","Transcript Link")</f>
        <v>Transcript Link</v>
      </c>
      <c r="M3639" s="2" t="str">
        <f>HYPERLINK("https://files.afu.se/Downloads/Transcripts/0%20-%20Government/USA%20-%20NASA%20Johnson/2008 03 11 - NASA Johnson - 'Early Sunrise' Endeavour Lifts off into the Night_enssQtVVqm4 - transcript (automated).pdf","Transcript Link")</f>
        <v>Transcript Link</v>
      </c>
    </row>
    <row r="3640" ht="180" spans="1:13">
      <c r="A3640" s="1" t="s">
        <v>15980</v>
      </c>
      <c r="B3640" s="1" t="s">
        <v>13</v>
      </c>
      <c r="C3640" s="4" t="s">
        <v>15981</v>
      </c>
      <c r="D3640" s="1" t="s">
        <v>15982</v>
      </c>
      <c r="E3640" s="1" t="s">
        <v>15983</v>
      </c>
      <c r="F3640" s="4" t="s">
        <v>17</v>
      </c>
      <c r="G3640" s="1" t="s">
        <v>18</v>
      </c>
      <c r="H3640" s="1" t="s">
        <v>19</v>
      </c>
      <c r="I3640" s="1" t="s">
        <v>20</v>
      </c>
      <c r="J3640" s="1" t="s">
        <v>15984</v>
      </c>
      <c r="K3640" s="1" t="s">
        <v>22</v>
      </c>
      <c r="L3640" s="1" t="str">
        <f>HYPERLINK("https://files.afu.se/Downloads/Transcripts/0%20-%20Government/USA%20-%20NASA%20Johnson/2008 03 10 - NASA Johnson - All Aboard  Station Goes Global (animation)_-JGP1v9bxpQ - transcript (automated).pdf","Transcript Link")</f>
        <v>Transcript Link</v>
      </c>
      <c r="M3640" s="2" t="str">
        <f>HYPERLINK("https://files.afu.se/Downloads/Transcripts/0%20-%20Government/USA%20-%20NASA%20Johnson/2008 03 10 - NASA Johnson - All Aboard  Station Goes Global (animation)_-JGP1v9bxpQ - transcript (automated).pdf","Transcript Link")</f>
        <v>Transcript Link</v>
      </c>
    </row>
    <row r="3641" ht="180" spans="1:13">
      <c r="A3641" s="1" t="s">
        <v>15980</v>
      </c>
      <c r="B3641" s="1" t="s">
        <v>13</v>
      </c>
      <c r="C3641" s="4" t="s">
        <v>15985</v>
      </c>
      <c r="D3641" s="1" t="s">
        <v>15917</v>
      </c>
      <c r="E3641" s="1" t="s">
        <v>15918</v>
      </c>
      <c r="F3641" s="4" t="s">
        <v>17</v>
      </c>
      <c r="G3641" s="1" t="s">
        <v>18</v>
      </c>
      <c r="H3641" s="1" t="s">
        <v>19</v>
      </c>
      <c r="I3641" s="1" t="s">
        <v>20</v>
      </c>
      <c r="J3641" s="1" t="s">
        <v>15986</v>
      </c>
      <c r="K3641" s="1" t="s">
        <v>22</v>
      </c>
      <c r="L3641" s="1" t="str">
        <f>HYPERLINK("https://files.afu.se/Downloads/Transcripts/0%20-%20Government/USA%20-%20NASA%20Johnson/2008 03 10 - NASA Johnson - Happy International Women's Day!_raUqLDqjJKg - transcript (automated).pdf","Transcript Link")</f>
        <v>Transcript Link</v>
      </c>
      <c r="M3641" s="2" t="str">
        <f>HYPERLINK("https://files.afu.se/Downloads/Transcripts/0%20-%20Government/USA%20-%20NASA%20Johnson/2008 03 10 - NASA Johnson - Happy International Women's Day!_raUqLDqjJKg - transcript (automated).pdf","Transcript Link")</f>
        <v>Transcript Link</v>
      </c>
    </row>
    <row r="3642" ht="180" spans="1:13">
      <c r="A3642" s="1" t="s">
        <v>15987</v>
      </c>
      <c r="B3642" s="1" t="s">
        <v>13</v>
      </c>
      <c r="C3642" s="4" t="s">
        <v>15988</v>
      </c>
      <c r="D3642" s="1" t="s">
        <v>15989</v>
      </c>
      <c r="E3642" s="1" t="s">
        <v>15990</v>
      </c>
      <c r="F3642" s="4" t="s">
        <v>17</v>
      </c>
      <c r="G3642" s="1" t="s">
        <v>18</v>
      </c>
      <c r="H3642" s="1" t="s">
        <v>19</v>
      </c>
      <c r="I3642" s="1" t="s">
        <v>20</v>
      </c>
      <c r="J3642" s="1" t="s">
        <v>15991</v>
      </c>
      <c r="K3642" s="1" t="s">
        <v>22</v>
      </c>
      <c r="L3642" s="1" t="str">
        <f>HYPERLINK("https://files.afu.se/Downloads/Transcripts/0%20-%20Government/USA%20-%20NASA%20Johnson/2008 02 28 - NASA Johnson - From Launch to Land  The Voyage of Columbus_gOARToiteow - transcript (automated).pdf","Transcript Link")</f>
        <v>Transcript Link</v>
      </c>
      <c r="M3642" s="2" t="str">
        <f>HYPERLINK("https://files.afu.se/Downloads/Transcripts/0%20-%20Government/USA%20-%20NASA%20Johnson/2008 02 28 - NASA Johnson - From Launch to Land  The Voyage of Columbus_gOARToiteow - transcript (automated).pdf","Transcript Link")</f>
        <v>Transcript Link</v>
      </c>
    </row>
    <row r="3643" ht="180" spans="1:13">
      <c r="A3643" s="1" t="s">
        <v>15987</v>
      </c>
      <c r="B3643" s="1" t="s">
        <v>13</v>
      </c>
      <c r="C3643" s="4" t="s">
        <v>15992</v>
      </c>
      <c r="D3643" s="1" t="s">
        <v>15993</v>
      </c>
      <c r="E3643" s="1" t="s">
        <v>15994</v>
      </c>
      <c r="F3643" s="4" t="s">
        <v>17</v>
      </c>
      <c r="G3643" s="1" t="s">
        <v>18</v>
      </c>
      <c r="H3643" s="1" t="s">
        <v>19</v>
      </c>
      <c r="I3643" s="1" t="s">
        <v>20</v>
      </c>
      <c r="J3643" s="1" t="s">
        <v>15995</v>
      </c>
      <c r="K3643" s="1" t="s">
        <v>22</v>
      </c>
      <c r="L3643" s="1" t="str">
        <f>HYPERLINK("https://files.afu.se/Downloads/Transcripts/0%20-%20Government/USA%20-%20NASA%20Johnson/2008 02 28 - NASA Johnson - Welcome Home STS-122 Crew!_b3rwLgUTjcw - transcript (automated).pdf","Transcript Link")</f>
        <v>Transcript Link</v>
      </c>
      <c r="M3643" s="2" t="str">
        <f>HYPERLINK("https://files.afu.se/Downloads/Transcripts/0%20-%20Government/USA%20-%20NASA%20Johnson/2008 02 28 - NASA Johnson - Welcome Home STS-122 Crew!_b3rwLgUTjcw - transcript (automated).pdf","Transcript Link")</f>
        <v>Transcript Link</v>
      </c>
    </row>
    <row r="3644" ht="180" spans="1:13">
      <c r="A3644" s="1" t="s">
        <v>15996</v>
      </c>
      <c r="B3644" s="1" t="s">
        <v>13</v>
      </c>
      <c r="C3644" s="4" t="s">
        <v>15997</v>
      </c>
      <c r="D3644" s="1" t="s">
        <v>15998</v>
      </c>
      <c r="E3644" s="1" t="s">
        <v>15999</v>
      </c>
      <c r="F3644" s="4" t="s">
        <v>17</v>
      </c>
      <c r="G3644" s="1" t="s">
        <v>18</v>
      </c>
      <c r="H3644" s="1" t="s">
        <v>19</v>
      </c>
      <c r="I3644" s="1" t="s">
        <v>20</v>
      </c>
      <c r="J3644" s="1" t="s">
        <v>16000</v>
      </c>
      <c r="K3644" s="1" t="s">
        <v>22</v>
      </c>
      <c r="L3644" s="1" t="str">
        <f>HYPERLINK("https://files.afu.se/Downloads/Transcripts/0%20-%20Government/USA%20-%20NASA%20Johnson/2008 02 22 - NASA Johnson - Game On  NASA Advances Virtual Cockpit for Moon Landings_ONbK_AA7TsM - transcript (automated).pdf","Transcript Link")</f>
        <v>Transcript Link</v>
      </c>
      <c r="M3644" s="2" t="str">
        <f>HYPERLINK("https://files.afu.se/Downloads/Transcripts/0%20-%20Government/USA%20-%20NASA%20Johnson/2008 02 22 - NASA Johnson - Game On  NASA Advances Virtual Cockpit for Moon Landings_ONbK_AA7TsM - transcript (automated).pdf","Transcript Link")</f>
        <v>Transcript Link</v>
      </c>
    </row>
    <row r="3645" ht="180" spans="1:13">
      <c r="A3645" s="1" t="s">
        <v>16001</v>
      </c>
      <c r="B3645" s="1" t="s">
        <v>13</v>
      </c>
      <c r="C3645" s="4" t="s">
        <v>16002</v>
      </c>
      <c r="D3645" s="1" t="s">
        <v>16003</v>
      </c>
      <c r="E3645" s="1" t="s">
        <v>16004</v>
      </c>
      <c r="F3645" s="4" t="s">
        <v>17</v>
      </c>
      <c r="G3645" s="1" t="s">
        <v>18</v>
      </c>
      <c r="H3645" s="1" t="s">
        <v>19</v>
      </c>
      <c r="I3645" s="1" t="s">
        <v>20</v>
      </c>
      <c r="J3645" s="1" t="s">
        <v>16005</v>
      </c>
      <c r="K3645" s="1" t="s">
        <v>22</v>
      </c>
      <c r="L3645" s="1" t="str">
        <f>HYPERLINK("https://files.afu.se/Downloads/Transcripts/0%20-%20Government/USA%20-%20NASA%20Johnson/2008 02 20 - NASA Johnson - Atlantis Rests at Wheel Stop_X1K9QW51gYI - transcript (automated).pdf","Transcript Link")</f>
        <v>Transcript Link</v>
      </c>
      <c r="M3645" s="2" t="str">
        <f>HYPERLINK("https://files.afu.se/Downloads/Transcripts/0%20-%20Government/USA%20-%20NASA%20Johnson/2008 02 20 - NASA Johnson - Atlantis Rests at Wheel Stop_X1K9QW51gYI - transcript (automated).pdf","Transcript Link")</f>
        <v>Transcript Link</v>
      </c>
    </row>
    <row r="3646" ht="255" spans="1:13">
      <c r="A3646" s="1" t="s">
        <v>16006</v>
      </c>
      <c r="B3646" s="1" t="s">
        <v>13</v>
      </c>
      <c r="C3646" s="4" t="s">
        <v>16007</v>
      </c>
      <c r="D3646" s="1" t="s">
        <v>16008</v>
      </c>
      <c r="E3646" s="1" t="s">
        <v>16009</v>
      </c>
      <c r="F3646" s="4" t="s">
        <v>17</v>
      </c>
      <c r="G3646" s="1" t="s">
        <v>18</v>
      </c>
      <c r="H3646" s="1" t="s">
        <v>19</v>
      </c>
      <c r="I3646" s="1" t="s">
        <v>20</v>
      </c>
      <c r="J3646" s="1" t="s">
        <v>16010</v>
      </c>
      <c r="K3646" s="1" t="s">
        <v>22</v>
      </c>
      <c r="L3646" s="1" t="str">
        <f>HYPERLINK("https://files.afu.se/Downloads/Transcripts/0%20-%20Government/USA%20-%20NASA%20Johnson/2008 02 17 - NASA Johnson - Oysters and Pearls_QBCNNel9EVU - transcript (automated).pdf","Transcript Link")</f>
        <v>Transcript Link</v>
      </c>
      <c r="M3646" s="2" t="str">
        <f>HYPERLINK("https://files.afu.se/Downloads/Transcripts/0%20-%20Government/USA%20-%20NASA%20Johnson/2008 02 17 - NASA Johnson - Oysters and Pearls_QBCNNel9EVU - transcript (automated).pdf","Transcript Link")</f>
        <v>Transcript Link</v>
      </c>
    </row>
    <row r="3647" ht="180" spans="1:13">
      <c r="A3647" s="1" t="s">
        <v>16006</v>
      </c>
      <c r="B3647" s="1" t="s">
        <v>13</v>
      </c>
      <c r="C3647" s="4" t="s">
        <v>16011</v>
      </c>
      <c r="D3647" s="1" t="s">
        <v>16012</v>
      </c>
      <c r="E3647" s="1" t="s">
        <v>16013</v>
      </c>
      <c r="F3647" s="4" t="s">
        <v>17</v>
      </c>
      <c r="G3647" s="1" t="s">
        <v>18</v>
      </c>
      <c r="H3647" s="1" t="s">
        <v>19</v>
      </c>
      <c r="I3647" s="1" t="s">
        <v>20</v>
      </c>
      <c r="J3647" s="1" t="s">
        <v>16014</v>
      </c>
      <c r="K3647" s="1" t="s">
        <v>22</v>
      </c>
      <c r="L3647" s="1" t="str">
        <f>HYPERLINK("https://files.afu.se/Downloads/Transcripts/0%20-%20Government/USA%20-%20NASA%20Johnson/2008 02 17 - NASA Johnson - Wheels on the Bus_naVLj5RZndY - transcript (automated).pdf","Transcript Link")</f>
        <v>Transcript Link</v>
      </c>
      <c r="M3647" s="2" t="str">
        <f>HYPERLINK("https://files.afu.se/Downloads/Transcripts/0%20-%20Government/USA%20-%20NASA%20Johnson/2008 02 17 - NASA Johnson - Wheels on the Bus_naVLj5RZndY - transcript (automated).pdf","Transcript Link")</f>
        <v>Transcript Link</v>
      </c>
    </row>
    <row r="3648" ht="255" spans="1:13">
      <c r="A3648" s="1" t="s">
        <v>16015</v>
      </c>
      <c r="B3648" s="1" t="s">
        <v>13</v>
      </c>
      <c r="C3648" s="4" t="s">
        <v>16016</v>
      </c>
      <c r="D3648" s="1" t="s">
        <v>16017</v>
      </c>
      <c r="E3648" s="1" t="s">
        <v>16018</v>
      </c>
      <c r="F3648" s="4" t="s">
        <v>17</v>
      </c>
      <c r="G3648" s="1" t="s">
        <v>18</v>
      </c>
      <c r="H3648" s="1" t="s">
        <v>19</v>
      </c>
      <c r="I3648" s="1" t="s">
        <v>20</v>
      </c>
      <c r="J3648" s="1" t="s">
        <v>16019</v>
      </c>
      <c r="K3648" s="1" t="s">
        <v>22</v>
      </c>
      <c r="L3648" s="1" t="str">
        <f>HYPERLINK("https://files.afu.se/Downloads/Transcripts/0%20-%20Government/USA%20-%20NASA%20Johnson/2008 02 16 - NASA Johnson - Dream Come True_1sN7RXC9vIw - transcript (automated).pdf","Transcript Link")</f>
        <v>Transcript Link</v>
      </c>
      <c r="M3648" s="2" t="str">
        <f>HYPERLINK("https://files.afu.se/Downloads/Transcripts/0%20-%20Government/USA%20-%20NASA%20Johnson/2008 02 16 - NASA Johnson - Dream Come True_1sN7RXC9vIw - transcript (automated).pdf","Transcript Link")</f>
        <v>Transcript Link</v>
      </c>
    </row>
    <row r="3649" ht="180" spans="1:13">
      <c r="A3649" s="1" t="s">
        <v>16015</v>
      </c>
      <c r="B3649" s="1" t="s">
        <v>13</v>
      </c>
      <c r="C3649" s="4" t="s">
        <v>16020</v>
      </c>
      <c r="D3649" s="1" t="s">
        <v>16021</v>
      </c>
      <c r="E3649" s="1" t="s">
        <v>16022</v>
      </c>
      <c r="F3649" s="4" t="s">
        <v>17</v>
      </c>
      <c r="G3649" s="1" t="s">
        <v>18</v>
      </c>
      <c r="H3649" s="1" t="s">
        <v>19</v>
      </c>
      <c r="I3649" s="1" t="s">
        <v>20</v>
      </c>
      <c r="J3649" s="1" t="s">
        <v>16023</v>
      </c>
      <c r="K3649" s="1" t="s">
        <v>22</v>
      </c>
      <c r="L3649" s="1" t="str">
        <f>HYPERLINK("https://files.afu.se/Downloads/Transcripts/0%20-%20Government/USA%20-%20NASA%20Johnson/2008 02 16 - NASA Johnson - Two Crews and the News from Space_dQNNjDQrslQ - transcript (automated).pdf","Transcript Link")</f>
        <v>Transcript Link</v>
      </c>
      <c r="M3649" s="2" t="str">
        <f>HYPERLINK("https://files.afu.se/Downloads/Transcripts/0%20-%20Government/USA%20-%20NASA%20Johnson/2008 02 16 - NASA Johnson - Two Crews and the News from Space_dQNNjDQrslQ - transcript (automated).pdf","Transcript Link")</f>
        <v>Transcript Link</v>
      </c>
    </row>
    <row r="3650" ht="180" spans="1:13">
      <c r="A3650" s="1" t="s">
        <v>16024</v>
      </c>
      <c r="B3650" s="1" t="s">
        <v>13</v>
      </c>
      <c r="C3650" s="4" t="s">
        <v>16025</v>
      </c>
      <c r="D3650" s="1" t="s">
        <v>16026</v>
      </c>
      <c r="E3650" s="1" t="s">
        <v>16027</v>
      </c>
      <c r="F3650" s="4" t="s">
        <v>17</v>
      </c>
      <c r="G3650" s="1" t="s">
        <v>18</v>
      </c>
      <c r="H3650" s="1" t="s">
        <v>19</v>
      </c>
      <c r="I3650" s="1" t="s">
        <v>20</v>
      </c>
      <c r="J3650" s="1" t="s">
        <v>16028</v>
      </c>
      <c r="K3650" s="1" t="s">
        <v>22</v>
      </c>
      <c r="L3650" s="1" t="str">
        <f>HYPERLINK("https://files.afu.se/Downloads/Transcripts/0%20-%20Government/USA%20-%20NASA%20Johnson/2008 02 13 - NASA Johnson - Flight to Florida for TCDT_ge_uzCSbPg0 - transcript (automated).pdf","Transcript Link")</f>
        <v>Transcript Link</v>
      </c>
      <c r="M3650" s="2" t="str">
        <f>HYPERLINK("https://files.afu.se/Downloads/Transcripts/0%20-%20Government/USA%20-%20NASA%20Johnson/2008 02 13 - NASA Johnson - Flight to Florida for TCDT_ge_uzCSbPg0 - transcript (automated).pdf","Transcript Link")</f>
        <v>Transcript Link</v>
      </c>
    </row>
    <row r="3651" ht="255" spans="1:13">
      <c r="A3651" s="1" t="s">
        <v>16029</v>
      </c>
      <c r="B3651" s="1" t="s">
        <v>13</v>
      </c>
      <c r="C3651" s="4" t="s">
        <v>16030</v>
      </c>
      <c r="D3651" s="1" t="s">
        <v>16031</v>
      </c>
      <c r="E3651" s="1" t="s">
        <v>16032</v>
      </c>
      <c r="F3651" s="4" t="s">
        <v>17</v>
      </c>
      <c r="G3651" s="1" t="s">
        <v>18</v>
      </c>
      <c r="H3651" s="1" t="s">
        <v>19</v>
      </c>
      <c r="I3651" s="1" t="s">
        <v>20</v>
      </c>
      <c r="J3651" s="1" t="s">
        <v>16033</v>
      </c>
      <c r="K3651" s="1" t="s">
        <v>22</v>
      </c>
      <c r="L3651" s="1" t="str">
        <f>HYPERLINK("https://files.afu.se/Downloads/Transcripts/0%20-%20Government/USA%20-%20NASA%20Johnson/2008 02 12 - NASA Johnson - Fly Like an Eagle_54rYZAjI9eQ - transcript (automated).pdf","Transcript Link")</f>
        <v>Transcript Link</v>
      </c>
      <c r="M3651" s="2" t="str">
        <f>HYPERLINK("https://files.afu.se/Downloads/Transcripts/0%20-%20Government/USA%20-%20NASA%20Johnson/2008 02 12 - NASA Johnson - Fly Like an Eagle_54rYZAjI9eQ - transcript (automated).pdf","Transcript Link")</f>
        <v>Transcript Link</v>
      </c>
    </row>
    <row r="3652" ht="255" spans="1:13">
      <c r="A3652" s="1" t="s">
        <v>16029</v>
      </c>
      <c r="B3652" s="1" t="s">
        <v>13</v>
      </c>
      <c r="C3652" s="4" t="s">
        <v>16034</v>
      </c>
      <c r="D3652" s="1" t="s">
        <v>16035</v>
      </c>
      <c r="E3652" s="1" t="s">
        <v>16036</v>
      </c>
      <c r="F3652" s="4" t="s">
        <v>17</v>
      </c>
      <c r="G3652" s="1" t="s">
        <v>18</v>
      </c>
      <c r="H3652" s="1" t="s">
        <v>19</v>
      </c>
      <c r="I3652" s="1" t="s">
        <v>20</v>
      </c>
      <c r="J3652" s="1" t="s">
        <v>16037</v>
      </c>
      <c r="K3652" s="1" t="s">
        <v>22</v>
      </c>
      <c r="L3652" s="1" t="str">
        <f>HYPERLINK("https://files.afu.se/Downloads/Transcripts/0%20-%20Government/USA%20-%20NASA%20Johnson/2008 02 12 - NASA Johnson - Maenner_sWhx_uAII38 - transcript (automated).pdf","Transcript Link")</f>
        <v>Transcript Link</v>
      </c>
      <c r="M3652" s="2" t="str">
        <f>HYPERLINK("https://files.afu.se/Downloads/Transcripts/0%20-%20Government/USA%20-%20NASA%20Johnson/2008 02 12 - NASA Johnson - Maenner_sWhx_uAII38 - transcript (automated).pdf","Transcript Link")</f>
        <v>Transcript Link</v>
      </c>
    </row>
    <row r="3653" ht="270" spans="1:13">
      <c r="A3653" s="1" t="s">
        <v>16029</v>
      </c>
      <c r="B3653" s="1" t="s">
        <v>13</v>
      </c>
      <c r="C3653" s="4" t="s">
        <v>16038</v>
      </c>
      <c r="D3653" s="1" t="s">
        <v>16039</v>
      </c>
      <c r="E3653" s="1" t="s">
        <v>16040</v>
      </c>
      <c r="F3653" s="4" t="s">
        <v>17</v>
      </c>
      <c r="G3653" s="1" t="s">
        <v>18</v>
      </c>
      <c r="H3653" s="1" t="s">
        <v>19</v>
      </c>
      <c r="I3653" s="1" t="s">
        <v>20</v>
      </c>
      <c r="J3653" s="1" t="s">
        <v>16041</v>
      </c>
      <c r="K3653" s="1" t="s">
        <v>22</v>
      </c>
      <c r="L3653" s="1" t="str">
        <f>HYPERLINK("https://files.afu.se/Downloads/Transcripts/0%20-%20Government/USA%20-%20NASA%20Johnson/2008 02 12 - NASA Johnson - Wake up! Commander Steve Frick_ARdX6Uf2K4s - transcript (automated).pdf","Transcript Link")</f>
        <v>Transcript Link</v>
      </c>
      <c r="M3653" s="2" t="str">
        <f>HYPERLINK("https://files.afu.se/Downloads/Transcripts/0%20-%20Government/USA%20-%20NASA%20Johnson/2008 02 12 - NASA Johnson - Wake up! Commander Steve Frick_ARdX6Uf2K4s - transcript (automated).pdf","Transcript Link")</f>
        <v>Transcript Link</v>
      </c>
    </row>
    <row r="3654" ht="255" spans="1:13">
      <c r="A3654" s="1" t="s">
        <v>16042</v>
      </c>
      <c r="B3654" s="1" t="s">
        <v>13</v>
      </c>
      <c r="C3654" s="4" t="s">
        <v>16043</v>
      </c>
      <c r="D3654" s="1" t="s">
        <v>16044</v>
      </c>
      <c r="E3654" s="1" t="s">
        <v>16045</v>
      </c>
      <c r="F3654" s="4" t="s">
        <v>17</v>
      </c>
      <c r="G3654" s="1" t="s">
        <v>18</v>
      </c>
      <c r="H3654" s="1" t="s">
        <v>19</v>
      </c>
      <c r="I3654" s="1" t="s">
        <v>20</v>
      </c>
      <c r="J3654" s="1" t="s">
        <v>16046</v>
      </c>
      <c r="K3654" s="1" t="s">
        <v>22</v>
      </c>
      <c r="L3654" s="1" t="str">
        <f>HYPERLINK("https://files.afu.se/Downloads/Transcripts/0%20-%20Government/USA%20-%20NASA%20Johnson/2008 02 11 - NASA Johnson - Book of Love_iM7btO-1MLQ - transcript (automated).pdf","Transcript Link")</f>
        <v>Transcript Link</v>
      </c>
      <c r="M3654" s="2" t="str">
        <f>HYPERLINK("https://files.afu.se/Downloads/Transcripts/0%20-%20Government/USA%20-%20NASA%20Johnson/2008 02 11 - NASA Johnson - Book of Love_iM7btO-1MLQ - transcript (automated).pdf","Transcript Link")</f>
        <v>Transcript Link</v>
      </c>
    </row>
    <row r="3655" ht="180" spans="1:13">
      <c r="A3655" s="1" t="s">
        <v>16042</v>
      </c>
      <c r="B3655" s="1" t="s">
        <v>13</v>
      </c>
      <c r="C3655" s="4" t="s">
        <v>16047</v>
      </c>
      <c r="D3655" s="1" t="s">
        <v>16048</v>
      </c>
      <c r="E3655" s="1" t="s">
        <v>16049</v>
      </c>
      <c r="F3655" s="4" t="s">
        <v>17</v>
      </c>
      <c r="G3655" s="1" t="s">
        <v>18</v>
      </c>
      <c r="H3655" s="1" t="s">
        <v>19</v>
      </c>
      <c r="I3655" s="1" t="s">
        <v>20</v>
      </c>
      <c r="J3655" s="1" t="s">
        <v>16050</v>
      </c>
      <c r="K3655" s="1" t="s">
        <v>22</v>
      </c>
      <c r="L3655" s="1" t="str">
        <f>HYPERLINK("https://files.afu.se/Downloads/Transcripts/0%20-%20Government/USA%20-%20NASA%20Johnson/2008 02 11 - NASA Johnson - The Voyage of Columbus (animation)_t03P5WfWj34 - transcript (automated).pdf","Transcript Link")</f>
        <v>Transcript Link</v>
      </c>
      <c r="M3655" s="2" t="str">
        <f>HYPERLINK("https://files.afu.se/Downloads/Transcripts/0%20-%20Government/USA%20-%20NASA%20Johnson/2008 02 11 - NASA Johnson - The Voyage of Columbus (animation)_t03P5WfWj34 - transcript (automated).pdf","Transcript Link")</f>
        <v>Transcript Link</v>
      </c>
    </row>
    <row r="3656" ht="300" spans="1:13">
      <c r="A3656" s="1" t="s">
        <v>16051</v>
      </c>
      <c r="B3656" s="1" t="s">
        <v>13</v>
      </c>
      <c r="C3656" s="4" t="s">
        <v>16052</v>
      </c>
      <c r="D3656" s="1" t="s">
        <v>16053</v>
      </c>
      <c r="E3656" s="1" t="s">
        <v>16054</v>
      </c>
      <c r="F3656" s="4" t="s">
        <v>17</v>
      </c>
      <c r="G3656" s="1" t="s">
        <v>18</v>
      </c>
      <c r="H3656" s="1" t="s">
        <v>19</v>
      </c>
      <c r="I3656" s="1" t="s">
        <v>20</v>
      </c>
      <c r="J3656" s="1" t="s">
        <v>16055</v>
      </c>
      <c r="K3656" s="1" t="s">
        <v>22</v>
      </c>
      <c r="L3656" s="1" t="str">
        <f>HYPERLINK("https://files.afu.se/Downloads/Transcripts/0%20-%20Government/USA%20-%20NASA%20Johnson/2008 02 10 - NASA Johnson - Atlantis' Acrobats  One backflip and a dock to ISS_4RSnOiMVfHk - transcript (automated).pdf","Transcript Link")</f>
        <v>Transcript Link</v>
      </c>
      <c r="M3656" s="2" t="str">
        <f>HYPERLINK("https://files.afu.se/Downloads/Transcripts/0%20-%20Government/USA%20-%20NASA%20Johnson/2008 02 10 - NASA Johnson - Atlantis' Acrobats  One backflip and a dock to ISS_4RSnOiMVfHk - transcript (automated).pdf","Transcript Link")</f>
        <v>Transcript Link</v>
      </c>
    </row>
    <row r="3657" ht="270" spans="1:13">
      <c r="A3657" s="1" t="s">
        <v>16056</v>
      </c>
      <c r="B3657" s="1" t="s">
        <v>13</v>
      </c>
      <c r="C3657" s="4" t="s">
        <v>16057</v>
      </c>
      <c r="D3657" s="1" t="s">
        <v>16058</v>
      </c>
      <c r="E3657" s="1" t="s">
        <v>16059</v>
      </c>
      <c r="F3657" s="4" t="s">
        <v>17</v>
      </c>
      <c r="G3657" s="1" t="s">
        <v>18</v>
      </c>
      <c r="H3657" s="1" t="s">
        <v>19</v>
      </c>
      <c r="I3657" s="1" t="s">
        <v>20</v>
      </c>
      <c r="J3657" s="1" t="s">
        <v>16060</v>
      </c>
      <c r="K3657" s="1" t="s">
        <v>22</v>
      </c>
      <c r="L3657" s="1" t="str">
        <f>HYPERLINK("https://files.afu.se/Downloads/Transcripts/0%20-%20Government/USA%20-%20NASA%20Johnson/2008 02 07 - NASA Johnson - Up, up and away! Atlantis rockets spaceward!_8o72MzrgFiU - transcript (automated).pdf","Transcript Link")</f>
        <v>Transcript Link</v>
      </c>
      <c r="M3657" s="2" t="str">
        <f>HYPERLINK("https://files.afu.se/Downloads/Transcripts/0%20-%20Government/USA%20-%20NASA%20Johnson/2008 02 07 - NASA Johnson - Up, up and away! Atlantis rockets spaceward!_8o72MzrgFiU - transcript (automated).pdf","Transcript Link")</f>
        <v>Transcript Link</v>
      </c>
    </row>
    <row r="3658" ht="180" spans="1:13">
      <c r="A3658" s="1" t="s">
        <v>16061</v>
      </c>
      <c r="B3658" s="1" t="s">
        <v>13</v>
      </c>
      <c r="C3658" s="4" t="s">
        <v>16062</v>
      </c>
      <c r="D3658" s="1" t="s">
        <v>16063</v>
      </c>
      <c r="E3658" s="1" t="s">
        <v>16064</v>
      </c>
      <c r="F3658" s="4" t="s">
        <v>17</v>
      </c>
      <c r="G3658" s="1" t="s">
        <v>18</v>
      </c>
      <c r="H3658" s="1" t="s">
        <v>19</v>
      </c>
      <c r="I3658" s="1" t="s">
        <v>20</v>
      </c>
      <c r="J3658" s="1" t="s">
        <v>16065</v>
      </c>
      <c r="K3658" s="1" t="s">
        <v>22</v>
      </c>
      <c r="L3658" s="1" t="str">
        <f>HYPERLINK("https://files.afu.se/Downloads/Transcripts/0%20-%20Government/USA%20-%20NASA%20Johnson/2008 02 06 - NASA Johnson - Constellation  It's for the new generation_7a2PaTECVSk - transcript (automated).pdf","Transcript Link")</f>
        <v>Transcript Link</v>
      </c>
      <c r="M3658" s="2" t="str">
        <f>HYPERLINK("https://files.afu.se/Downloads/Transcripts/0%20-%20Government/USA%20-%20NASA%20Johnson/2008 02 06 - NASA Johnson - Constellation  It's for the new generation_7a2PaTECVSk - transcript (automated).pdf","Transcript Link")</f>
        <v>Transcript Link</v>
      </c>
    </row>
    <row r="3659" ht="180" spans="1:13">
      <c r="A3659" s="1" t="s">
        <v>16061</v>
      </c>
      <c r="B3659" s="1" t="s">
        <v>13</v>
      </c>
      <c r="C3659" s="4" t="s">
        <v>16066</v>
      </c>
      <c r="D3659" s="1" t="s">
        <v>16067</v>
      </c>
      <c r="E3659" s="1" t="s">
        <v>16068</v>
      </c>
      <c r="F3659" s="4" t="s">
        <v>17</v>
      </c>
      <c r="G3659" s="1" t="s">
        <v>18</v>
      </c>
      <c r="H3659" s="1" t="s">
        <v>19</v>
      </c>
      <c r="I3659" s="1" t="s">
        <v>20</v>
      </c>
      <c r="J3659" s="1" t="s">
        <v>16069</v>
      </c>
      <c r="K3659" s="1" t="s">
        <v>22</v>
      </c>
      <c r="L3659" s="1" t="str">
        <f>HYPERLINK("https://files.afu.se/Downloads/Transcripts/0%20-%20Government/USA%20-%20NASA%20Johnson/2008 02 06 - NASA Johnson - What can Orange do for You _VP4YsVtJdfQ - transcript (automated).pdf","Transcript Link")</f>
        <v>Transcript Link</v>
      </c>
      <c r="M3659" s="2" t="str">
        <f>HYPERLINK("https://files.afu.se/Downloads/Transcripts/0%20-%20Government/USA%20-%20NASA%20Johnson/2008 02 06 - NASA Johnson - What can Orange do for You _VP4YsVtJdfQ - transcript (automated).pdf","Transcript Link")</f>
        <v>Transcript Link</v>
      </c>
    </row>
    <row r="3660" ht="180" spans="1:13">
      <c r="A3660" s="1" t="s">
        <v>16070</v>
      </c>
      <c r="B3660" s="1" t="s">
        <v>13</v>
      </c>
      <c r="C3660" s="4" t="s">
        <v>16071</v>
      </c>
      <c r="D3660" s="1" t="s">
        <v>16072</v>
      </c>
      <c r="E3660" s="1" t="s">
        <v>16073</v>
      </c>
      <c r="F3660" s="4" t="s">
        <v>17</v>
      </c>
      <c r="G3660" s="1" t="s">
        <v>18</v>
      </c>
      <c r="H3660" s="1" t="s">
        <v>19</v>
      </c>
      <c r="I3660" s="1" t="s">
        <v>20</v>
      </c>
      <c r="J3660" s="1" t="s">
        <v>16074</v>
      </c>
      <c r="K3660" s="1" t="s">
        <v>22</v>
      </c>
      <c r="L3660" s="1" t="str">
        <f>HYPERLINK("https://files.afu.se/Downloads/Transcripts/0%20-%20Government/USA%20-%20NASA%20Johnson/2007 12 15 - NASA Johnson - Let's Take a Walk_Zn_IcuVZPps - transcript (automated).pdf","Transcript Link")</f>
        <v>Transcript Link</v>
      </c>
      <c r="M3660" s="2" t="str">
        <f>HYPERLINK("https://files.afu.se/Downloads/Transcripts/0%20-%20Government/USA%20-%20NASA%20Johnson/2007 12 15 - NASA Johnson - Let's Take a Walk_Zn_IcuVZPps - transcript (automated).pdf","Transcript Link")</f>
        <v>Transcript Link</v>
      </c>
    </row>
    <row r="3661" ht="180" spans="1:13">
      <c r="A3661" s="1" t="s">
        <v>16075</v>
      </c>
      <c r="B3661" s="1" t="s">
        <v>13</v>
      </c>
      <c r="C3661" s="4" t="s">
        <v>16076</v>
      </c>
      <c r="D3661" s="1" t="s">
        <v>16077</v>
      </c>
      <c r="E3661" s="1" t="s">
        <v>16078</v>
      </c>
      <c r="F3661" s="4" t="s">
        <v>17</v>
      </c>
      <c r="G3661" s="1" t="s">
        <v>18</v>
      </c>
      <c r="H3661" s="1" t="s">
        <v>19</v>
      </c>
      <c r="I3661" s="1" t="s">
        <v>20</v>
      </c>
      <c r="J3661" s="1" t="s">
        <v>16079</v>
      </c>
      <c r="K3661" s="1" t="s">
        <v>22</v>
      </c>
      <c r="L3661" s="1" t="str">
        <f>HYPERLINK("https://files.afu.se/Downloads/Transcripts/0%20-%20Government/USA%20-%20NASA%20Johnson/2007 12 10 - NASA Johnson - Office Space_2NbApv43bHM - transcript (automated).pdf","Transcript Link")</f>
        <v>Transcript Link</v>
      </c>
      <c r="M3661" s="2" t="str">
        <f>HYPERLINK("https://files.afu.se/Downloads/Transcripts/0%20-%20Government/USA%20-%20NASA%20Johnson/2007 12 10 - NASA Johnson - Office Space_2NbApv43bHM - transcript (automated).pdf","Transcript Link")</f>
        <v>Transcript Link</v>
      </c>
    </row>
    <row r="3662" ht="180" spans="1:13">
      <c r="A3662" s="1" t="s">
        <v>16080</v>
      </c>
      <c r="B3662" s="1" t="s">
        <v>13</v>
      </c>
      <c r="C3662" s="4" t="s">
        <v>16081</v>
      </c>
      <c r="D3662" s="1" t="s">
        <v>16082</v>
      </c>
      <c r="E3662" s="1" t="s">
        <v>16083</v>
      </c>
      <c r="F3662" s="4" t="s">
        <v>17</v>
      </c>
      <c r="G3662" s="1" t="s">
        <v>18</v>
      </c>
      <c r="H3662" s="1" t="s">
        <v>19</v>
      </c>
      <c r="I3662" s="1" t="s">
        <v>20</v>
      </c>
      <c r="J3662" s="1" t="s">
        <v>16084</v>
      </c>
      <c r="K3662" s="1" t="s">
        <v>22</v>
      </c>
      <c r="L3662" s="1" t="str">
        <f>HYPERLINK("https://files.afu.se/Downloads/Transcripts/0%20-%20Government/USA%20-%20NASA%20Johnson/2007 12 07 - NASA Johnson - Teamwork  A Universal Language_Tmd2poItPmA - transcript (automated).pdf","Transcript Link")</f>
        <v>Transcript Link</v>
      </c>
      <c r="M3662" s="2" t="str">
        <f>HYPERLINK("https://files.afu.se/Downloads/Transcripts/0%20-%20Government/USA%20-%20NASA%20Johnson/2007 12 07 - NASA Johnson - Teamwork  A Universal Language_Tmd2poItPmA - transcript (automated).pdf","Transcript Link")</f>
        <v>Transcript Link</v>
      </c>
    </row>
    <row r="3663" ht="180" spans="1:13">
      <c r="A3663" s="1" t="s">
        <v>16085</v>
      </c>
      <c r="B3663" s="1" t="s">
        <v>13</v>
      </c>
      <c r="C3663" s="4" t="s">
        <v>16086</v>
      </c>
      <c r="D3663" s="1" t="s">
        <v>16087</v>
      </c>
      <c r="E3663" s="1" t="s">
        <v>16088</v>
      </c>
      <c r="F3663" s="4" t="s">
        <v>17</v>
      </c>
      <c r="G3663" s="1" t="s">
        <v>18</v>
      </c>
      <c r="H3663" s="1" t="s">
        <v>19</v>
      </c>
      <c r="I3663" s="1" t="s">
        <v>20</v>
      </c>
      <c r="J3663" s="1" t="s">
        <v>16089</v>
      </c>
      <c r="K3663" s="1" t="s">
        <v>22</v>
      </c>
      <c r="L3663" s="1" t="str">
        <f>HYPERLINK("https://files.afu.se/Downloads/Transcripts/0%20-%20Government/USA%20-%20NASA%20Johnson/2007 12 05 - NASA Johnson - Two Strapping Guys_2ewHl3FefBE - transcript (automated).pdf","Transcript Link")</f>
        <v>Transcript Link</v>
      </c>
      <c r="M3663" s="2" t="str">
        <f>HYPERLINK("https://files.afu.se/Downloads/Transcripts/0%20-%20Government/USA%20-%20NASA%20Johnson/2007 12 05 - NASA Johnson - Two Strapping Guys_2ewHl3FefBE - transcript (automated).pdf","Transcript Link")</f>
        <v>Transcript Link</v>
      </c>
    </row>
    <row r="3664" ht="180" spans="1:13">
      <c r="A3664" s="1" t="s">
        <v>16090</v>
      </c>
      <c r="B3664" s="1" t="s">
        <v>13</v>
      </c>
      <c r="C3664" s="4" t="s">
        <v>16091</v>
      </c>
      <c r="D3664" s="1" t="s">
        <v>16092</v>
      </c>
      <c r="E3664" s="1" t="s">
        <v>16093</v>
      </c>
      <c r="F3664" s="4" t="s">
        <v>17</v>
      </c>
      <c r="G3664" s="1" t="s">
        <v>18</v>
      </c>
      <c r="H3664" s="1" t="s">
        <v>19</v>
      </c>
      <c r="I3664" s="1" t="s">
        <v>20</v>
      </c>
      <c r="J3664" s="1" t="s">
        <v>16094</v>
      </c>
      <c r="K3664" s="1" t="s">
        <v>22</v>
      </c>
      <c r="L3664" s="1" t="str">
        <f>HYPERLINK("https://files.afu.se/Downloads/Transcripts/0%20-%20Government/USA%20-%20NASA%20Johnson/2007 12 04 - NASA Johnson - What are YOU doing today _MJnj6I0OBIc - transcript (automated).pdf","Transcript Link")</f>
        <v>Transcript Link</v>
      </c>
      <c r="M3664" s="2" t="str">
        <f>HYPERLINK("https://files.afu.se/Downloads/Transcripts/0%20-%20Government/USA%20-%20NASA%20Johnson/2007 12 04 - NASA Johnson - What are YOU doing today _MJnj6I0OBIc - transcript (automated).pdf","Transcript Link")</f>
        <v>Transcript Link</v>
      </c>
    </row>
    <row r="3665" ht="180" spans="1:13">
      <c r="A3665" s="1" t="s">
        <v>16095</v>
      </c>
      <c r="B3665" s="1" t="s">
        <v>13</v>
      </c>
      <c r="C3665" s="4" t="s">
        <v>16096</v>
      </c>
      <c r="D3665" s="1" t="s">
        <v>16097</v>
      </c>
      <c r="E3665" s="1" t="s">
        <v>16098</v>
      </c>
      <c r="F3665" s="4" t="s">
        <v>17</v>
      </c>
      <c r="G3665" s="1" t="s">
        <v>18</v>
      </c>
      <c r="H3665" s="1" t="s">
        <v>19</v>
      </c>
      <c r="I3665" s="1" t="s">
        <v>20</v>
      </c>
      <c r="J3665" s="1" t="s">
        <v>16099</v>
      </c>
      <c r="K3665" s="1" t="s">
        <v>22</v>
      </c>
      <c r="L3665" s="1" t="str">
        <f>HYPERLINK("https://files.afu.se/Downloads/Transcripts/0%20-%20Government/USA%20-%20NASA%20Johnson/2007 11 30 - NASA Johnson - What Not to Wear_JRbYCVia7WM - transcript (automated).pdf","Transcript Link")</f>
        <v>Transcript Link</v>
      </c>
      <c r="M3665" s="2" t="str">
        <f>HYPERLINK("https://files.afu.se/Downloads/Transcripts/0%20-%20Government/USA%20-%20NASA%20Johnson/2007 11 30 - NASA Johnson - What Not to Wear_JRbYCVia7WM - transcript (automated).pdf","Transcript Link")</f>
        <v>Transcript Link</v>
      </c>
    </row>
    <row r="3666" ht="240" spans="1:13">
      <c r="A3666" s="1" t="s">
        <v>16100</v>
      </c>
      <c r="B3666" s="1" t="s">
        <v>13</v>
      </c>
      <c r="C3666" s="4" t="s">
        <v>16101</v>
      </c>
      <c r="D3666" s="1" t="s">
        <v>16102</v>
      </c>
      <c r="E3666" s="1" t="s">
        <v>16103</v>
      </c>
      <c r="F3666" s="4" t="s">
        <v>17</v>
      </c>
      <c r="G3666" s="1" t="s">
        <v>18</v>
      </c>
      <c r="H3666" s="1" t="s">
        <v>19</v>
      </c>
      <c r="I3666" s="1" t="s">
        <v>20</v>
      </c>
      <c r="J3666" s="1" t="s">
        <v>16104</v>
      </c>
      <c r="K3666" s="1" t="s">
        <v>22</v>
      </c>
      <c r="L3666" s="1" t="str">
        <f>HYPERLINK("https://files.afu.se/Downloads/Transcripts/0%20-%20Government/USA%20-%20NASA%20Johnson/2007 10 26 - NASA Johnson - STS-120 Discovery Backflip__6KArYnSz4o - transcript (automated).pdf","Transcript Link")</f>
        <v>Transcript Link</v>
      </c>
      <c r="M3666" s="2" t="str">
        <f>HYPERLINK("https://files.afu.se/Downloads/Transcripts/0%20-%20Government/USA%20-%20NASA%20Johnson/2007 10 26 - NASA Johnson - STS-120 Discovery Backflip__6KArYnSz4o - transcript (automated).pdf","Transcript Link")</f>
        <v>Transcript Link</v>
      </c>
    </row>
    <row r="3667" ht="180" spans="1:13">
      <c r="A3667" s="1" t="s">
        <v>16105</v>
      </c>
      <c r="B3667" s="1" t="s">
        <v>13</v>
      </c>
      <c r="C3667" s="4" t="s">
        <v>16106</v>
      </c>
      <c r="D3667" s="1" t="s">
        <v>16107</v>
      </c>
      <c r="E3667" s="1" t="s">
        <v>16108</v>
      </c>
      <c r="F3667" s="4" t="s">
        <v>17</v>
      </c>
      <c r="G3667" s="1" t="s">
        <v>18</v>
      </c>
      <c r="H3667" s="1" t="s">
        <v>19</v>
      </c>
      <c r="I3667" s="1" t="s">
        <v>20</v>
      </c>
      <c r="J3667" s="1" t="s">
        <v>16109</v>
      </c>
      <c r="K3667" s="1" t="s">
        <v>22</v>
      </c>
      <c r="L3667" s="1" t="str">
        <f>HYPERLINK("https://files.afu.se/Downloads/Transcripts/0%20-%20Government/USA%20-%20NASA%20Johnson/2007 10 25 - NASA Johnson - Eye Above the Sky  So Cal's Ferocious Fires Seen from Space_fcPRGB_dXdw - transcript (automated).pdf","Transcript Link")</f>
        <v>Transcript Link</v>
      </c>
      <c r="M3667" s="2" t="str">
        <f>HYPERLINK("https://files.afu.se/Downloads/Transcripts/0%20-%20Government/USA%20-%20NASA%20Johnson/2007 10 25 - NASA Johnson - Eye Above the Sky  So Cal's Ferocious Fires Seen from Space_fcPRGB_dXdw - transcript (automated).pdf","Transcript Link")</f>
        <v>Transcript Link</v>
      </c>
    </row>
    <row r="3668" ht="270" spans="1:13">
      <c r="A3668" s="1" t="s">
        <v>16105</v>
      </c>
      <c r="B3668" s="1" t="s">
        <v>13</v>
      </c>
      <c r="C3668" s="4" t="s">
        <v>16110</v>
      </c>
      <c r="D3668" s="1" t="s">
        <v>16111</v>
      </c>
      <c r="E3668" s="1" t="s">
        <v>16112</v>
      </c>
      <c r="F3668" s="4" t="s">
        <v>17</v>
      </c>
      <c r="G3668" s="1" t="s">
        <v>18</v>
      </c>
      <c r="H3668" s="1" t="s">
        <v>19</v>
      </c>
      <c r="I3668" s="1" t="s">
        <v>20</v>
      </c>
      <c r="J3668" s="1" t="s">
        <v>16113</v>
      </c>
      <c r="K3668" s="1" t="s">
        <v>22</v>
      </c>
      <c r="L3668" s="1" t="str">
        <f>HYPERLINK("https://files.afu.se/Downloads/Transcripts/0%20-%20Government/USA%20-%20NASA%20Johnson/2007 10 25 - NASA Johnson - What's Up  STS-120 Mission Overview (animation)_DMEMJPwLNbQ - transcript (automated).pdf","Transcript Link")</f>
        <v>Transcript Link</v>
      </c>
      <c r="M3668" s="2" t="str">
        <f>HYPERLINK("https://files.afu.se/Downloads/Transcripts/0%20-%20Government/USA%20-%20NASA%20Johnson/2007 10 25 - NASA Johnson - What's Up  STS-120 Mission Overview (animation)_DMEMJPwLNbQ - transcript (automated).pdf","Transcript Link")</f>
        <v>Transcript Link</v>
      </c>
    </row>
    <row r="3669" ht="180" spans="1:13">
      <c r="A3669" s="1" t="s">
        <v>16114</v>
      </c>
      <c r="B3669" s="1" t="s">
        <v>13</v>
      </c>
      <c r="C3669" s="4" t="s">
        <v>16115</v>
      </c>
      <c r="D3669" s="1" t="s">
        <v>16116</v>
      </c>
      <c r="E3669" s="1" t="s">
        <v>16117</v>
      </c>
      <c r="F3669" s="4" t="s">
        <v>17</v>
      </c>
      <c r="G3669" s="1" t="s">
        <v>18</v>
      </c>
      <c r="H3669" s="1" t="s">
        <v>19</v>
      </c>
      <c r="I3669" s="1" t="s">
        <v>20</v>
      </c>
      <c r="J3669" s="1" t="s">
        <v>16118</v>
      </c>
      <c r="K3669" s="1" t="s">
        <v>22</v>
      </c>
      <c r="L3669" s="1" t="str">
        <f>HYPERLINK("https://files.afu.se/Downloads/Transcripts/0%20-%20Government/USA%20-%20NASA%20Johnson/2007 10 24 - NASA Johnson - Discovery Goes up With Harmony_Mp-awukkc7I - transcript (automated).pdf","Transcript Link")</f>
        <v>Transcript Link</v>
      </c>
      <c r="M3669" s="2" t="str">
        <f>HYPERLINK("https://files.afu.se/Downloads/Transcripts/0%20-%20Government/USA%20-%20NASA%20Johnson/2007 10 24 - NASA Johnson - Discovery Goes up With Harmony_Mp-awukkc7I - transcript (automated).pdf","Transcript Link")</f>
        <v>Transcript Link</v>
      </c>
    </row>
    <row r="3670" ht="360" spans="1:13">
      <c r="A3670" s="1" t="s">
        <v>16119</v>
      </c>
      <c r="B3670" s="1" t="s">
        <v>13</v>
      </c>
      <c r="C3670" s="4" t="s">
        <v>16120</v>
      </c>
      <c r="D3670" s="1" t="s">
        <v>16121</v>
      </c>
      <c r="E3670" s="1" t="s">
        <v>16122</v>
      </c>
      <c r="F3670" s="4" t="s">
        <v>17</v>
      </c>
      <c r="G3670" s="1" t="s">
        <v>18</v>
      </c>
      <c r="H3670" s="1" t="s">
        <v>19</v>
      </c>
      <c r="I3670" s="1" t="s">
        <v>20</v>
      </c>
      <c r="J3670" s="1" t="s">
        <v>16123</v>
      </c>
      <c r="K3670" s="1" t="s">
        <v>22</v>
      </c>
      <c r="L3670" s="1" t="str">
        <f>HYPERLINK("https://files.afu.se/Downloads/Transcripts/0%20-%20Government/USA%20-%20NASA%20Johnson/2007 08 21 - NASA Johnson - Shuttle Endeavour Scores Sweet Touchdown!_brTk1_NCHKs - transcript (automated).pdf","Transcript Link")</f>
        <v>Transcript Link</v>
      </c>
      <c r="M3670" s="2" t="str">
        <f>HYPERLINK("https://files.afu.se/Downloads/Transcripts/0%20-%20Government/USA%20-%20NASA%20Johnson/2007 08 21 - NASA Johnson - Shuttle Endeavour Scores Sweet Touchdown!_brTk1_NCHKs - transcript (automated).pdf","Transcript Link")</f>
        <v>Transcript Link</v>
      </c>
    </row>
    <row r="3671" ht="180" spans="1:13">
      <c r="A3671" s="1" t="s">
        <v>16124</v>
      </c>
      <c r="B3671" s="1" t="s">
        <v>13</v>
      </c>
      <c r="C3671" s="4" t="s">
        <v>16125</v>
      </c>
      <c r="D3671" s="1" t="s">
        <v>16126</v>
      </c>
      <c r="E3671" s="1" t="s">
        <v>16127</v>
      </c>
      <c r="F3671" s="4" t="s">
        <v>17</v>
      </c>
      <c r="G3671" s="1" t="s">
        <v>18</v>
      </c>
      <c r="H3671" s="1" t="s">
        <v>19</v>
      </c>
      <c r="I3671" s="1" t="s">
        <v>20</v>
      </c>
      <c r="J3671" s="1" t="s">
        <v>16128</v>
      </c>
      <c r="K3671" s="1" t="s">
        <v>22</v>
      </c>
      <c r="L3671" s="1" t="str">
        <f>HYPERLINK("https://files.afu.se/Downloads/Transcripts/0%20-%20Government/USA%20-%20NASA%20Johnson/2007 08 18 - NASA Johnson - 'Holy Smokes' Hurricane Dean from Space_FxFOm8BC4GE - transcript (automated).pdf","Transcript Link")</f>
        <v>Transcript Link</v>
      </c>
      <c r="M3671" s="2" t="str">
        <f>HYPERLINK("https://files.afu.se/Downloads/Transcripts/0%20-%20Government/USA%20-%20NASA%20Johnson/2007 08 18 - NASA Johnson - 'Holy Smokes' Hurricane Dean from Space_FxFOm8BC4GE - transcript (automated).pdf","Transcript Link")</f>
        <v>Transcript Link</v>
      </c>
    </row>
    <row r="3672" ht="285" spans="1:13">
      <c r="A3672" s="1" t="s">
        <v>16129</v>
      </c>
      <c r="B3672" s="1" t="s">
        <v>13</v>
      </c>
      <c r="C3672" s="4" t="s">
        <v>16130</v>
      </c>
      <c r="D3672" s="1" t="s">
        <v>16131</v>
      </c>
      <c r="E3672" s="1" t="s">
        <v>16132</v>
      </c>
      <c r="F3672" s="4" t="s">
        <v>17</v>
      </c>
      <c r="G3672" s="1" t="s">
        <v>18</v>
      </c>
      <c r="H3672" s="1" t="s">
        <v>19</v>
      </c>
      <c r="I3672" s="1" t="s">
        <v>20</v>
      </c>
      <c r="J3672" s="1" t="s">
        <v>16133</v>
      </c>
      <c r="K3672" s="1" t="s">
        <v>22</v>
      </c>
      <c r="L3672" s="1" t="str">
        <f>HYPERLINK("https://files.afu.se/Downloads/Transcripts/0%20-%20Government/USA%20-%20NASA%20Johnson/2007 08 17 - NASA Johnson - Black Horse and the Cherry Tree_eAjk7XaaUvM - transcript (automated).pdf","Transcript Link")</f>
        <v>Transcript Link</v>
      </c>
      <c r="M3672" s="2" t="str">
        <f>HYPERLINK("https://files.afu.se/Downloads/Transcripts/0%20-%20Government/USA%20-%20NASA%20Johnson/2007 08 17 - NASA Johnson - Black Horse and the Cherry Tree_eAjk7XaaUvM - transcript (automated).pdf","Transcript Link")</f>
        <v>Transcript Link</v>
      </c>
    </row>
    <row r="3673" ht="285" spans="1:13">
      <c r="A3673" s="1" t="s">
        <v>16129</v>
      </c>
      <c r="B3673" s="1" t="s">
        <v>13</v>
      </c>
      <c r="C3673" s="4" t="s">
        <v>16134</v>
      </c>
      <c r="D3673" s="1" t="s">
        <v>16135</v>
      </c>
      <c r="E3673" s="1" t="s">
        <v>16136</v>
      </c>
      <c r="F3673" s="4" t="s">
        <v>17</v>
      </c>
      <c r="G3673" s="1" t="s">
        <v>18</v>
      </c>
      <c r="H3673" s="1" t="s">
        <v>19</v>
      </c>
      <c r="I3673" s="1" t="s">
        <v>20</v>
      </c>
      <c r="J3673" s="1" t="s">
        <v>16137</v>
      </c>
      <c r="K3673" s="1" t="s">
        <v>22</v>
      </c>
      <c r="L3673" s="1" t="str">
        <f>HYPERLINK("https://files.afu.se/Downloads/Transcripts/0%20-%20Government/USA%20-%20NASA%20Johnson/2007 08 17 - NASA Johnson - Times Like These_Fnb5VX3qyaA - transcript (automated).pdf","Transcript Link")</f>
        <v>Transcript Link</v>
      </c>
      <c r="M3673" s="2" t="str">
        <f>HYPERLINK("https://files.afu.se/Downloads/Transcripts/0%20-%20Government/USA%20-%20NASA%20Johnson/2007 08 17 - NASA Johnson - Times Like These_Fnb5VX3qyaA - transcript (automated).pdf","Transcript Link")</f>
        <v>Transcript Link</v>
      </c>
    </row>
    <row r="3674" ht="180" spans="1:13">
      <c r="A3674" s="1" t="s">
        <v>16138</v>
      </c>
      <c r="B3674" s="1" t="s">
        <v>13</v>
      </c>
      <c r="C3674" s="4" t="s">
        <v>16139</v>
      </c>
      <c r="D3674" s="1" t="s">
        <v>16140</v>
      </c>
      <c r="E3674" s="1" t="s">
        <v>16141</v>
      </c>
      <c r="F3674" s="4" t="s">
        <v>17</v>
      </c>
      <c r="G3674" s="1" t="s">
        <v>18</v>
      </c>
      <c r="H3674" s="1" t="s">
        <v>19</v>
      </c>
      <c r="I3674" s="1" t="s">
        <v>20</v>
      </c>
      <c r="J3674" s="1" t="s">
        <v>16142</v>
      </c>
      <c r="K3674" s="1" t="s">
        <v>22</v>
      </c>
      <c r="L3674" s="1" t="str">
        <f>HYPERLINK("https://files.afu.se/Downloads/Transcripts/0%20-%20Government/USA%20-%20NASA%20Johnson/2007 08 16 - NASA Johnson - Class in Session  Barbara Morgan Talks 2 Students (part II)_uJ503EdUWtk - transcript (automated).pdf","Transcript Link")</f>
        <v>Transcript Link</v>
      </c>
      <c r="M3674" s="2" t="str">
        <f>HYPERLINK("https://files.afu.se/Downloads/Transcripts/0%20-%20Government/USA%20-%20NASA%20Johnson/2007 08 16 - NASA Johnson - Class in Session  Barbara Morgan Talks 2 Students (part II)_uJ503EdUWtk - transcript (automated).pdf","Transcript Link")</f>
        <v>Transcript Link</v>
      </c>
    </row>
    <row r="3675" ht="180" spans="1:13">
      <c r="A3675" s="1" t="s">
        <v>16138</v>
      </c>
      <c r="B3675" s="1" t="s">
        <v>13</v>
      </c>
      <c r="C3675" s="4" t="s">
        <v>16143</v>
      </c>
      <c r="D3675" s="1" t="s">
        <v>16144</v>
      </c>
      <c r="E3675" s="1" t="s">
        <v>16145</v>
      </c>
      <c r="F3675" s="4" t="s">
        <v>17</v>
      </c>
      <c r="G3675" s="1" t="s">
        <v>18</v>
      </c>
      <c r="H3675" s="1" t="s">
        <v>19</v>
      </c>
      <c r="I3675" s="1" t="s">
        <v>20</v>
      </c>
      <c r="J3675" s="1" t="s">
        <v>16146</v>
      </c>
      <c r="K3675" s="1" t="s">
        <v>22</v>
      </c>
      <c r="L3675" s="1" t="str">
        <f>HYPERLINK("https://files.afu.se/Downloads/Transcripts/0%20-%20Government/USA%20-%20NASA%20Johnson/2007 08 16 - NASA Johnson - Spacewalker's Glove Demo_eC-HLrlcimA - transcript (automated).pdf","Transcript Link")</f>
        <v>Transcript Link</v>
      </c>
      <c r="M3675" s="2" t="str">
        <f>HYPERLINK("https://files.afu.se/Downloads/Transcripts/0%20-%20Government/USA%20-%20NASA%20Johnson/2007 08 16 - NASA Johnson - Spacewalker's Glove Demo_eC-HLrlcimA - transcript (automated).pdf","Transcript Link")</f>
        <v>Transcript Link</v>
      </c>
    </row>
    <row r="3676" ht="180" spans="1:13">
      <c r="A3676" s="1" t="s">
        <v>16138</v>
      </c>
      <c r="B3676" s="1" t="s">
        <v>13</v>
      </c>
      <c r="C3676" s="4" t="s">
        <v>16147</v>
      </c>
      <c r="D3676" s="1" t="s">
        <v>16148</v>
      </c>
      <c r="E3676" s="1" t="s">
        <v>16141</v>
      </c>
      <c r="F3676" s="4" t="s">
        <v>17</v>
      </c>
      <c r="G3676" s="1" t="s">
        <v>18</v>
      </c>
      <c r="H3676" s="1" t="s">
        <v>19</v>
      </c>
      <c r="I3676" s="1" t="s">
        <v>20</v>
      </c>
      <c r="J3676" s="1" t="s">
        <v>16149</v>
      </c>
      <c r="K3676" s="1" t="s">
        <v>22</v>
      </c>
      <c r="L3676" s="1" t="str">
        <f>HYPERLINK("https://files.afu.se/Downloads/Transcripts/0%20-%20Government/USA%20-%20NASA%20Johnson/2007 08 16 - NASA Johnson - Class in Session  Barbara Morgan Talks 2 Students (part I)_n-U-j-YqFyY - transcript (automated).pdf","Transcript Link")</f>
        <v>Transcript Link</v>
      </c>
      <c r="M3676" s="2" t="str">
        <f>HYPERLINK("https://files.afu.se/Downloads/Transcripts/0%20-%20Government/USA%20-%20NASA%20Johnson/2007 08 16 - NASA Johnson - Class in Session  Barbara Morgan Talks 2 Students (part I)_n-U-j-YqFyY - transcript (automated).pdf","Transcript Link")</f>
        <v>Transcript Link</v>
      </c>
    </row>
    <row r="3677" ht="285" spans="1:13">
      <c r="A3677" s="1" t="s">
        <v>16150</v>
      </c>
      <c r="B3677" s="1" t="s">
        <v>13</v>
      </c>
      <c r="C3677" s="4" t="s">
        <v>16151</v>
      </c>
      <c r="D3677" s="1" t="s">
        <v>16152</v>
      </c>
      <c r="E3677" s="1" t="s">
        <v>16153</v>
      </c>
      <c r="F3677" s="4" t="s">
        <v>17</v>
      </c>
      <c r="G3677" s="1" t="s">
        <v>18</v>
      </c>
      <c r="H3677" s="1" t="s">
        <v>19</v>
      </c>
      <c r="I3677" s="1" t="s">
        <v>20</v>
      </c>
      <c r="J3677" s="1" t="s">
        <v>16154</v>
      </c>
      <c r="K3677" s="1" t="s">
        <v>22</v>
      </c>
      <c r="L3677" s="1" t="str">
        <f>HYPERLINK("https://files.afu.se/Downloads/Transcripts/0%20-%20Government/USA%20-%20NASA%20Johnson/2007 08 15 - NASA Johnson - Good Morning World_xb2amlfDZ0o - transcript (automated).pdf","Transcript Link")</f>
        <v>Transcript Link</v>
      </c>
      <c r="M3677" s="2" t="str">
        <f>HYPERLINK("https://files.afu.se/Downloads/Transcripts/0%20-%20Government/USA%20-%20NASA%20Johnson/2007 08 15 - NASA Johnson - Good Morning World_xb2amlfDZ0o - transcript (automated).pdf","Transcript Link")</f>
        <v>Transcript Link</v>
      </c>
    </row>
    <row r="3678" ht="285" spans="1:13">
      <c r="A3678" s="1" t="s">
        <v>16155</v>
      </c>
      <c r="B3678" s="1" t="s">
        <v>13</v>
      </c>
      <c r="C3678" s="4" t="s">
        <v>16156</v>
      </c>
      <c r="D3678" s="1" t="s">
        <v>16157</v>
      </c>
      <c r="E3678" s="1" t="s">
        <v>16158</v>
      </c>
      <c r="F3678" s="4" t="s">
        <v>17</v>
      </c>
      <c r="G3678" s="1" t="s">
        <v>18</v>
      </c>
      <c r="H3678" s="1" t="s">
        <v>19</v>
      </c>
      <c r="I3678" s="1" t="s">
        <v>20</v>
      </c>
      <c r="J3678" s="1" t="s">
        <v>16159</v>
      </c>
      <c r="K3678" s="1" t="s">
        <v>22</v>
      </c>
      <c r="L3678" s="1" t="str">
        <f>HYPERLINK("https://files.afu.se/Downloads/Transcripts/0%20-%20Government/USA%20-%20NASA%20Johnson/2007 08 14 - NASA Johnson - Happy Birthday in space!_UBCBn_Aympw - transcript (automated).pdf","Transcript Link")</f>
        <v>Transcript Link</v>
      </c>
      <c r="M3678" s="2" t="str">
        <f>HYPERLINK("https://files.afu.se/Downloads/Transcripts/0%20-%20Government/USA%20-%20NASA%20Johnson/2007 08 14 - NASA Johnson - Happy Birthday in space!_UBCBn_Aympw - transcript (automated).pdf","Transcript Link")</f>
        <v>Transcript Link</v>
      </c>
    </row>
    <row r="3679" ht="240" spans="1:13">
      <c r="A3679" s="1" t="s">
        <v>16160</v>
      </c>
      <c r="B3679" s="1" t="s">
        <v>13</v>
      </c>
      <c r="C3679" s="4" t="s">
        <v>16161</v>
      </c>
      <c r="D3679" s="1" t="s">
        <v>16162</v>
      </c>
      <c r="E3679" s="1" t="s">
        <v>16163</v>
      </c>
      <c r="F3679" s="4" t="s">
        <v>17</v>
      </c>
      <c r="G3679" s="1" t="s">
        <v>18</v>
      </c>
      <c r="H3679" s="1" t="s">
        <v>19</v>
      </c>
      <c r="I3679" s="1" t="s">
        <v>20</v>
      </c>
      <c r="J3679" s="1" t="s">
        <v>16164</v>
      </c>
      <c r="K3679" s="1" t="s">
        <v>22</v>
      </c>
      <c r="L3679" s="1" t="str">
        <f>HYPERLINK("https://files.afu.se/Downloads/Transcripts/0%20-%20Government/USA%20-%20NASA%20Johnson/2007 08 13 - NASA Johnson - Up!_kDPvBJtTOHQ - transcript (automated).pdf","Transcript Link")</f>
        <v>Transcript Link</v>
      </c>
      <c r="M3679" s="2" t="str">
        <f>HYPERLINK("https://files.afu.se/Downloads/Transcripts/0%20-%20Government/USA%20-%20NASA%20Johnson/2007 08 13 - NASA Johnson - Up!_kDPvBJtTOHQ - transcript (automated).pdf","Transcript Link")</f>
        <v>Transcript Link</v>
      </c>
    </row>
    <row r="3680" ht="240" spans="1:13">
      <c r="A3680" s="1" t="s">
        <v>16160</v>
      </c>
      <c r="B3680" s="1" t="s">
        <v>13</v>
      </c>
      <c r="C3680" s="4" t="s">
        <v>16165</v>
      </c>
      <c r="D3680" s="1" t="s">
        <v>16166</v>
      </c>
      <c r="E3680" s="1" t="s">
        <v>16167</v>
      </c>
      <c r="F3680" s="4" t="s">
        <v>17</v>
      </c>
      <c r="G3680" s="1" t="s">
        <v>18</v>
      </c>
      <c r="H3680" s="1" t="s">
        <v>19</v>
      </c>
      <c r="I3680" s="1" t="s">
        <v>20</v>
      </c>
      <c r="J3680" s="1" t="s">
        <v>16168</v>
      </c>
      <c r="K3680" s="1" t="s">
        <v>22</v>
      </c>
      <c r="L3680" s="1" t="str">
        <f>HYPERLINK("https://files.afu.se/Downloads/Transcripts/0%20-%20Government/USA%20-%20NASA%20Johnson/2007 08 13 - NASA Johnson - Outta Space_KTKiEODtYxg - transcript (automated).pdf","Transcript Link")</f>
        <v>Transcript Link</v>
      </c>
      <c r="M3680" s="2" t="str">
        <f>HYPERLINK("https://files.afu.se/Downloads/Transcripts/0%20-%20Government/USA%20-%20NASA%20Johnson/2007 08 13 - NASA Johnson - Outta Space_KTKiEODtYxg - transcript (automated).pdf","Transcript Link")</f>
        <v>Transcript Link</v>
      </c>
    </row>
    <row r="3681" ht="180" spans="1:13">
      <c r="A3681" s="1" t="s">
        <v>16169</v>
      </c>
      <c r="B3681" s="1" t="s">
        <v>13</v>
      </c>
      <c r="C3681" s="4" t="s">
        <v>16170</v>
      </c>
      <c r="D3681" s="1" t="s">
        <v>16171</v>
      </c>
      <c r="E3681" s="1" t="s">
        <v>16172</v>
      </c>
      <c r="F3681" s="4" t="s">
        <v>17</v>
      </c>
      <c r="G3681" s="1" t="s">
        <v>18</v>
      </c>
      <c r="H3681" s="1" t="s">
        <v>19</v>
      </c>
      <c r="I3681" s="1" t="s">
        <v>20</v>
      </c>
      <c r="J3681" s="1" t="s">
        <v>16173</v>
      </c>
      <c r="K3681" s="1" t="s">
        <v>22</v>
      </c>
      <c r="L3681" s="1" t="str">
        <f>HYPERLINK("https://files.afu.se/Downloads/Transcripts/0%20-%20Government/USA%20-%20NASA%20Johnson/2007 08 11 - NASA Johnson - STS-118  Space Mission Through a Child's Eyes (part IV)_a_oCCnlV9p4 - transcript (automated).pdf","Transcript Link")</f>
        <v>Transcript Link</v>
      </c>
      <c r="M3681" s="2" t="str">
        <f>HYPERLINK("https://files.afu.se/Downloads/Transcripts/0%20-%20Government/USA%20-%20NASA%20Johnson/2007 08 11 - NASA Johnson - STS-118  Space Mission Through a Child's Eyes (part IV)_a_oCCnlV9p4 - transcript (automated).pdf","Transcript Link")</f>
        <v>Transcript Link</v>
      </c>
    </row>
    <row r="3682" ht="255" spans="1:13">
      <c r="A3682" s="1" t="s">
        <v>16169</v>
      </c>
      <c r="B3682" s="1" t="s">
        <v>13</v>
      </c>
      <c r="C3682" s="4" t="s">
        <v>16174</v>
      </c>
      <c r="D3682" s="1" t="s">
        <v>16175</v>
      </c>
      <c r="E3682" s="1" t="s">
        <v>16176</v>
      </c>
      <c r="F3682" s="4" t="s">
        <v>17</v>
      </c>
      <c r="G3682" s="1" t="s">
        <v>18</v>
      </c>
      <c r="H3682" s="1" t="s">
        <v>19</v>
      </c>
      <c r="I3682" s="1" t="s">
        <v>20</v>
      </c>
      <c r="J3682" s="1" t="s">
        <v>16177</v>
      </c>
      <c r="K3682" s="1" t="s">
        <v>22</v>
      </c>
      <c r="L3682" s="1" t="str">
        <f>HYPERLINK("https://files.afu.se/Downloads/Transcripts/0%20-%20Government/USA%20-%20NASA%20Johnson/2007 08 11 - NASA Johnson - Gravity_zategEDSi_E - transcript (automated).pdf","Transcript Link")</f>
        <v>Transcript Link</v>
      </c>
      <c r="M3682" s="2" t="str">
        <f>HYPERLINK("https://files.afu.se/Downloads/Transcripts/0%20-%20Government/USA%20-%20NASA%20Johnson/2007 08 11 - NASA Johnson - Gravity_zategEDSi_E - transcript (automated).pdf","Transcript Link")</f>
        <v>Transcript Link</v>
      </c>
    </row>
    <row r="3683" ht="240" spans="1:13">
      <c r="A3683" s="1" t="s">
        <v>16169</v>
      </c>
      <c r="B3683" s="1" t="s">
        <v>13</v>
      </c>
      <c r="C3683" s="4" t="s">
        <v>16178</v>
      </c>
      <c r="D3683" s="1" t="s">
        <v>16179</v>
      </c>
      <c r="E3683" s="1" t="s">
        <v>16180</v>
      </c>
      <c r="F3683" s="4" t="s">
        <v>17</v>
      </c>
      <c r="G3683" s="1" t="s">
        <v>18</v>
      </c>
      <c r="H3683" s="1" t="s">
        <v>19</v>
      </c>
      <c r="I3683" s="1" t="s">
        <v>20</v>
      </c>
      <c r="J3683" s="1" t="s">
        <v>16181</v>
      </c>
      <c r="K3683" s="1" t="s">
        <v>22</v>
      </c>
      <c r="L3683" s="1" t="str">
        <f>HYPERLINK("https://files.afu.se/Downloads/Transcripts/0%20-%20Government/USA%20-%20NASA%20Johnson/2007 08 11 - NASA Johnson - Mr. Blue Sky_rb5Uhh5t2ok - transcript (automated).pdf","Transcript Link")</f>
        <v>Transcript Link</v>
      </c>
      <c r="M3683" s="2" t="str">
        <f>HYPERLINK("https://files.afu.se/Downloads/Transcripts/0%20-%20Government/USA%20-%20NASA%20Johnson/2007 08 11 - NASA Johnson - Mr. Blue Sky_rb5Uhh5t2ok - transcript (automated).pdf","Transcript Link")</f>
        <v>Transcript Link</v>
      </c>
    </row>
    <row r="3684" ht="180" spans="1:13">
      <c r="A3684" s="1" t="s">
        <v>16182</v>
      </c>
      <c r="B3684" s="1" t="s">
        <v>13</v>
      </c>
      <c r="C3684" s="4" t="s">
        <v>16183</v>
      </c>
      <c r="D3684" s="1" t="s">
        <v>16184</v>
      </c>
      <c r="E3684" s="1" t="s">
        <v>16185</v>
      </c>
      <c r="F3684" s="4" t="s">
        <v>17</v>
      </c>
      <c r="G3684" s="1" t="s">
        <v>18</v>
      </c>
      <c r="H3684" s="1" t="s">
        <v>19</v>
      </c>
      <c r="I3684" s="1" t="s">
        <v>20</v>
      </c>
      <c r="J3684" s="1" t="s">
        <v>16186</v>
      </c>
      <c r="K3684" s="1" t="s">
        <v>22</v>
      </c>
      <c r="L3684" s="1" t="str">
        <f>HYPERLINK("https://files.afu.se/Downloads/Transcripts/0%20-%20Government/USA%20-%20NASA%20Johnson/2007 08 10 - NASA Johnson - A Video Message From Space_YA5-vTyWSws - transcript (automated).pdf","Transcript Link")</f>
        <v>Transcript Link</v>
      </c>
      <c r="M3684" s="2" t="str">
        <f>HYPERLINK("https://files.afu.se/Downloads/Transcripts/0%20-%20Government/USA%20-%20NASA%20Johnson/2007 08 10 - NASA Johnson - A Video Message From Space_YA5-vTyWSws - transcript (automated).pdf","Transcript Link")</f>
        <v>Transcript Link</v>
      </c>
    </row>
    <row r="3685" ht="180" spans="1:13">
      <c r="A3685" s="1" t="s">
        <v>16182</v>
      </c>
      <c r="B3685" s="1" t="s">
        <v>13</v>
      </c>
      <c r="C3685" s="4" t="s">
        <v>16187</v>
      </c>
      <c r="D3685" s="1" t="s">
        <v>16188</v>
      </c>
      <c r="E3685" s="1" t="s">
        <v>16189</v>
      </c>
      <c r="F3685" s="4" t="s">
        <v>17</v>
      </c>
      <c r="G3685" s="1" t="s">
        <v>18</v>
      </c>
      <c r="H3685" s="1" t="s">
        <v>19</v>
      </c>
      <c r="I3685" s="1" t="s">
        <v>20</v>
      </c>
      <c r="J3685" s="1" t="s">
        <v>16190</v>
      </c>
      <c r="K3685" s="1" t="s">
        <v>22</v>
      </c>
      <c r="L3685" s="1" t="str">
        <f>HYPERLINK("https://files.afu.se/Downloads/Transcripts/0%20-%20Government/USA%20-%20NASA%20Johnson/2007 08 10 - NASA Johnson - STS-118  Space Mission Through a Child's Eyes (part III)_PjfDnm3TAFc - transcript (automated).pdf","Transcript Link")</f>
        <v>Transcript Link</v>
      </c>
      <c r="M3685" s="2" t="str">
        <f>HYPERLINK("https://files.afu.se/Downloads/Transcripts/0%20-%20Government/USA%20-%20NASA%20Johnson/2007 08 10 - NASA Johnson - STS-118  Space Mission Through a Child's Eyes (part III)_PjfDnm3TAFc - transcript (automated).pdf","Transcript Link")</f>
        <v>Transcript Link</v>
      </c>
    </row>
    <row r="3686" ht="255" spans="1:13">
      <c r="A3686" s="1" t="s">
        <v>16191</v>
      </c>
      <c r="B3686" s="1" t="s">
        <v>13</v>
      </c>
      <c r="C3686" s="4" t="s">
        <v>16192</v>
      </c>
      <c r="D3686" s="1" t="s">
        <v>16193</v>
      </c>
      <c r="E3686" s="1" t="s">
        <v>16194</v>
      </c>
      <c r="F3686" s="4" t="s">
        <v>17</v>
      </c>
      <c r="G3686" s="1" t="s">
        <v>18</v>
      </c>
      <c r="H3686" s="1" t="s">
        <v>19</v>
      </c>
      <c r="I3686" s="1" t="s">
        <v>20</v>
      </c>
      <c r="J3686" s="1" t="s">
        <v>16195</v>
      </c>
      <c r="K3686" s="1" t="s">
        <v>22</v>
      </c>
      <c r="L3686" s="1" t="str">
        <f>HYPERLINK("https://files.afu.se/Downloads/Transcripts/0%20-%20Government/USA%20-%20NASA%20Johnson/2007 08 09 - NASA Johnson - Where My Heart Will Take Me_V2dbdtfe_qA - transcript (automated).pdf","Transcript Link")</f>
        <v>Transcript Link</v>
      </c>
      <c r="M3686" s="2" t="str">
        <f>HYPERLINK("https://files.afu.se/Downloads/Transcripts/0%20-%20Government/USA%20-%20NASA%20Johnson/2007 08 09 - NASA Johnson - Where My Heart Will Take Me_V2dbdtfe_qA - transcript (automated).pdf","Transcript Link")</f>
        <v>Transcript Link</v>
      </c>
    </row>
    <row r="3687" ht="180" spans="1:13">
      <c r="A3687" s="1" t="s">
        <v>16191</v>
      </c>
      <c r="B3687" s="1" t="s">
        <v>13</v>
      </c>
      <c r="C3687" s="4" t="s">
        <v>16196</v>
      </c>
      <c r="D3687" s="1" t="s">
        <v>16197</v>
      </c>
      <c r="E3687" s="1" t="s">
        <v>16198</v>
      </c>
      <c r="F3687" s="4" t="s">
        <v>17</v>
      </c>
      <c r="G3687" s="1" t="s">
        <v>18</v>
      </c>
      <c r="H3687" s="1" t="s">
        <v>19</v>
      </c>
      <c r="I3687" s="1" t="s">
        <v>20</v>
      </c>
      <c r="J3687" s="1" t="s">
        <v>16199</v>
      </c>
      <c r="K3687" s="1" t="s">
        <v>22</v>
      </c>
      <c r="L3687" s="1" t="str">
        <f>HYPERLINK("https://files.afu.se/Downloads/Transcripts/0%20-%20Government/USA%20-%20NASA%20Johnson/2007 08 09 - NASA Johnson - STS-118  Space Mission Through a Child's Eyes (part II)_eakhdNgdorw - transcript (automated).pdf","Transcript Link")</f>
        <v>Transcript Link</v>
      </c>
      <c r="M3687" s="2" t="str">
        <f>HYPERLINK("https://files.afu.se/Downloads/Transcripts/0%20-%20Government/USA%20-%20NASA%20Johnson/2007 08 09 - NASA Johnson - STS-118  Space Mission Through a Child's Eyes (part II)_eakhdNgdorw - transcript (automated).pdf","Transcript Link")</f>
        <v>Transcript Link</v>
      </c>
    </row>
    <row r="3688" ht="180" spans="1:13">
      <c r="A3688" s="1" t="s">
        <v>16200</v>
      </c>
      <c r="B3688" s="1" t="s">
        <v>13</v>
      </c>
      <c r="C3688" s="4" t="s">
        <v>16201</v>
      </c>
      <c r="D3688" s="1" t="s">
        <v>16202</v>
      </c>
      <c r="E3688" s="1" t="s">
        <v>16203</v>
      </c>
      <c r="F3688" s="4" t="s">
        <v>17</v>
      </c>
      <c r="G3688" s="1" t="s">
        <v>18</v>
      </c>
      <c r="H3688" s="1" t="s">
        <v>19</v>
      </c>
      <c r="I3688" s="1" t="s">
        <v>20</v>
      </c>
      <c r="J3688" s="1" t="s">
        <v>16204</v>
      </c>
      <c r="K3688" s="1" t="s">
        <v>22</v>
      </c>
      <c r="L3688" s="1" t="str">
        <f>HYPERLINK("https://files.afu.se/Downloads/Transcripts/0%20-%20Government/USA%20-%20NASA%20Johnson/2007 08 08 - NASA Johnson - Shuttle Liftoff  Endeavour Forever_RNV_3SWwy_4 - transcript (automated).pdf","Transcript Link")</f>
        <v>Transcript Link</v>
      </c>
      <c r="M3688" s="2" t="str">
        <f>HYPERLINK("https://files.afu.se/Downloads/Transcripts/0%20-%20Government/USA%20-%20NASA%20Johnson/2007 08 08 - NASA Johnson - Shuttle Liftoff  Endeavour Forever_RNV_3SWwy_4 - transcript (automated).pdf","Transcript Link")</f>
        <v>Transcript Link</v>
      </c>
    </row>
    <row r="3689" ht="180" spans="1:13">
      <c r="A3689" s="1" t="s">
        <v>16200</v>
      </c>
      <c r="B3689" s="1" t="s">
        <v>13</v>
      </c>
      <c r="C3689" s="4" t="s">
        <v>16205</v>
      </c>
      <c r="D3689" s="1" t="s">
        <v>16206</v>
      </c>
      <c r="E3689" s="1" t="s">
        <v>16189</v>
      </c>
      <c r="F3689" s="4" t="s">
        <v>17</v>
      </c>
      <c r="G3689" s="1" t="s">
        <v>18</v>
      </c>
      <c r="H3689" s="1" t="s">
        <v>19</v>
      </c>
      <c r="I3689" s="1" t="s">
        <v>20</v>
      </c>
      <c r="J3689" s="1" t="s">
        <v>16207</v>
      </c>
      <c r="K3689" s="1" t="s">
        <v>22</v>
      </c>
      <c r="L3689" s="1" t="str">
        <f>HYPERLINK("https://files.afu.se/Downloads/Transcripts/0%20-%20Government/USA%20-%20NASA%20Johnson/2007 08 08 - NASA Johnson - STS-118  Space Mission Through a Child's Eyes (Part I)_JCKBBQE-94M - transcript (automated).pdf","Transcript Link")</f>
        <v>Transcript Link</v>
      </c>
      <c r="M3689" s="2" t="str">
        <f>HYPERLINK("https://files.afu.se/Downloads/Transcripts/0%20-%20Government/USA%20-%20NASA%20Johnson/2007 08 08 - NASA Johnson - STS-118  Space Mission Through a Child's Eyes (Part I)_JCKBBQE-94M - transcript (automated).pdf","Transcript Link")</f>
        <v>Transcript Link</v>
      </c>
    </row>
    <row r="3690" ht="210" spans="1:13">
      <c r="A3690" s="1" t="s">
        <v>16208</v>
      </c>
      <c r="B3690" s="1" t="s">
        <v>13</v>
      </c>
      <c r="C3690" s="4" t="s">
        <v>16209</v>
      </c>
      <c r="D3690" s="1" t="s">
        <v>16210</v>
      </c>
      <c r="E3690" s="1" t="s">
        <v>16211</v>
      </c>
      <c r="F3690" s="4" t="s">
        <v>17</v>
      </c>
      <c r="G3690" s="1" t="s">
        <v>18</v>
      </c>
      <c r="H3690" s="1" t="s">
        <v>19</v>
      </c>
      <c r="I3690" s="1" t="s">
        <v>20</v>
      </c>
      <c r="J3690" s="1" t="s">
        <v>16212</v>
      </c>
      <c r="K3690" s="1" t="s">
        <v>22</v>
      </c>
      <c r="L3690" s="1" t="str">
        <f>HYPERLINK("https://files.afu.se/Downloads/Transcripts/0%20-%20Government/USA%20-%20NASA%20Johnson/2007 08 01 - NASA Johnson - Build the Station. Build the Future. (animation)_8reKmhWhyH4 - transcript (automated).pdf","Transcript Link")</f>
        <v>Transcript Link</v>
      </c>
      <c r="M3690" s="2" t="str">
        <f>HYPERLINK("https://files.afu.se/Downloads/Transcripts/0%20-%20Government/USA%20-%20NASA%20Johnson/2007 08 01 - NASA Johnson - Build the Station. Build the Future. (animation)_8reKmhWhyH4 - transcript (automated).pdf","Transcript Link")</f>
        <v>Transcript Link</v>
      </c>
    </row>
    <row r="3691" ht="180" spans="1:13">
      <c r="A3691" s="1" t="s">
        <v>16213</v>
      </c>
      <c r="B3691" s="1" t="s">
        <v>13</v>
      </c>
      <c r="C3691" s="4" t="s">
        <v>16214</v>
      </c>
      <c r="D3691" s="1" t="s">
        <v>16215</v>
      </c>
      <c r="E3691" s="1" t="s">
        <v>16216</v>
      </c>
      <c r="F3691" s="4" t="s">
        <v>17</v>
      </c>
      <c r="G3691" s="1" t="s">
        <v>18</v>
      </c>
      <c r="H3691" s="1" t="s">
        <v>19</v>
      </c>
      <c r="I3691" s="1" t="s">
        <v>20</v>
      </c>
      <c r="J3691" s="1" t="s">
        <v>16217</v>
      </c>
      <c r="K3691" s="1" t="s">
        <v>22</v>
      </c>
      <c r="L3691" s="1" t="str">
        <f>HYPERLINK("https://files.afu.se/Downloads/Transcripts/0%20-%20Government/USA%20-%20NASA%20Johnson/2007 06 20 - NASA Johnson - A Day in the Life_ookWLBoWkhI - transcript (automated).pdf","Transcript Link")</f>
        <v>Transcript Link</v>
      </c>
      <c r="M3691" s="2" t="str">
        <f>HYPERLINK("https://files.afu.se/Downloads/Transcripts/0%20-%20Government/USA%20-%20NASA%20Johnson/2007 06 20 - NASA Johnson - A Day in the Life_ookWLBoWkhI - transcript (automated).pdf","Transcript Link")</f>
        <v>Transcript Link</v>
      </c>
    </row>
    <row r="3692" ht="180" spans="1:13">
      <c r="A3692" s="1" t="s">
        <v>16218</v>
      </c>
      <c r="B3692" s="1" t="s">
        <v>13</v>
      </c>
      <c r="C3692" s="4" t="s">
        <v>16219</v>
      </c>
      <c r="D3692" s="1" t="s">
        <v>16220</v>
      </c>
      <c r="E3692" s="1" t="s">
        <v>16221</v>
      </c>
      <c r="F3692" s="4" t="s">
        <v>17</v>
      </c>
      <c r="G3692" s="1" t="s">
        <v>18</v>
      </c>
      <c r="H3692" s="1" t="s">
        <v>19</v>
      </c>
      <c r="I3692" s="1" t="s">
        <v>20</v>
      </c>
      <c r="J3692" s="1" t="s">
        <v>16222</v>
      </c>
      <c r="K3692" s="1" t="s">
        <v>22</v>
      </c>
      <c r="L3692" s="1" t="str">
        <f>HYPERLINK("https://files.afu.se/Downloads/Transcripts/0%20-%20Government/USA%20-%20NASA%20Johnson/2007 06 19 - NASA Johnson - Atlantis Coming Home (ISS fly-around animation)_xVnrO51-rjE - transcript (automated).pdf","Transcript Link")</f>
        <v>Transcript Link</v>
      </c>
      <c r="M3692" s="2" t="str">
        <f>HYPERLINK("https://files.afu.se/Downloads/Transcripts/0%20-%20Government/USA%20-%20NASA%20Johnson/2007 06 19 - NASA Johnson - Atlantis Coming Home (ISS fly-around animation)_xVnrO51-rjE - transcript (automated).pdf","Transcript Link")</f>
        <v>Transcript Link</v>
      </c>
    </row>
    <row r="3693" ht="180" spans="1:13">
      <c r="A3693" s="1" t="s">
        <v>16218</v>
      </c>
      <c r="B3693" s="1" t="s">
        <v>13</v>
      </c>
      <c r="C3693" s="4" t="s">
        <v>16223</v>
      </c>
      <c r="D3693" s="1" t="s">
        <v>16224</v>
      </c>
      <c r="E3693" s="1" t="s">
        <v>16225</v>
      </c>
      <c r="F3693" s="4" t="s">
        <v>17</v>
      </c>
      <c r="G3693" s="1" t="s">
        <v>18</v>
      </c>
      <c r="H3693" s="1" t="s">
        <v>19</v>
      </c>
      <c r="I3693" s="1" t="s">
        <v>20</v>
      </c>
      <c r="J3693" s="1" t="s">
        <v>16226</v>
      </c>
      <c r="K3693" s="1" t="s">
        <v>22</v>
      </c>
      <c r="L3693" s="1" t="str">
        <f>HYPERLINK("https://files.afu.se/Downloads/Transcripts/0%20-%20Government/USA%20-%20NASA%20Johnson/2007 06 19 - NASA Johnson - Atlantis Coming Home (ISS fly-around video)_7gkFqVxHq2o - transcript (automated).pdf","Transcript Link")</f>
        <v>Transcript Link</v>
      </c>
      <c r="M3693" s="2" t="str">
        <f>HYPERLINK("https://files.afu.se/Downloads/Transcripts/0%20-%20Government/USA%20-%20NASA%20Johnson/2007 06 19 - NASA Johnson - Atlantis Coming Home (ISS fly-around video)_7gkFqVxHq2o - transcript (automated).pdf","Transcript Link")</f>
        <v>Transcript Link</v>
      </c>
    </row>
    <row r="3694" ht="180" spans="1:13">
      <c r="A3694" s="1" t="s">
        <v>16218</v>
      </c>
      <c r="B3694" s="1" t="s">
        <v>13</v>
      </c>
      <c r="C3694" s="4" t="s">
        <v>16227</v>
      </c>
      <c r="D3694" s="1" t="s">
        <v>16228</v>
      </c>
      <c r="E3694" s="1" t="s">
        <v>16229</v>
      </c>
      <c r="F3694" s="4" t="s">
        <v>17</v>
      </c>
      <c r="G3694" s="1" t="s">
        <v>18</v>
      </c>
      <c r="H3694" s="1" t="s">
        <v>19</v>
      </c>
      <c r="I3694" s="1" t="s">
        <v>20</v>
      </c>
      <c r="J3694" s="1" t="s">
        <v>16230</v>
      </c>
      <c r="K3694" s="1" t="s">
        <v>22</v>
      </c>
      <c r="L3694" s="1" t="str">
        <f>HYPERLINK("https://files.afu.se/Downloads/Transcripts/0%20-%20Government/USA%20-%20NASA%20Johnson/2007 06 19 - NASA Johnson - Redeemer_h61xEWJ-bWo - transcript (automated).pdf","Transcript Link")</f>
        <v>Transcript Link</v>
      </c>
      <c r="M3694" s="2" t="str">
        <f>HYPERLINK("https://files.afu.se/Downloads/Transcripts/0%20-%20Government/USA%20-%20NASA%20Johnson/2007 06 19 - NASA Johnson - Redeemer_h61xEWJ-bWo - transcript (automated).pdf","Transcript Link")</f>
        <v>Transcript Link</v>
      </c>
    </row>
    <row r="3695" ht="180" spans="1:13">
      <c r="A3695" s="1" t="s">
        <v>16218</v>
      </c>
      <c r="B3695" s="1" t="s">
        <v>13</v>
      </c>
      <c r="C3695" s="4" t="s">
        <v>16231</v>
      </c>
      <c r="D3695" s="1" t="s">
        <v>16232</v>
      </c>
      <c r="E3695" s="1" t="s">
        <v>16233</v>
      </c>
      <c r="F3695" s="4" t="s">
        <v>17</v>
      </c>
      <c r="G3695" s="1" t="s">
        <v>18</v>
      </c>
      <c r="H3695" s="1" t="s">
        <v>19</v>
      </c>
      <c r="I3695" s="1" t="s">
        <v>20</v>
      </c>
      <c r="J3695" s="1" t="s">
        <v>16234</v>
      </c>
      <c r="K3695" s="1" t="s">
        <v>22</v>
      </c>
      <c r="L3695" s="1" t="str">
        <f>HYPERLINK("https://files.afu.se/Downloads/Transcripts/0%20-%20Government/USA%20-%20NASA%20Johnson/2007 06 19 - NASA Johnson - Band of Brothers_gICMr9MNa5Q - transcript (automated).pdf","Transcript Link")</f>
        <v>Transcript Link</v>
      </c>
      <c r="M3695" s="2" t="str">
        <f>HYPERLINK("https://files.afu.se/Downloads/Transcripts/0%20-%20Government/USA%20-%20NASA%20Johnson/2007 06 19 - NASA Johnson - Band of Brothers_gICMr9MNa5Q - transcript (automated).pdf","Transcript Link")</f>
        <v>Transcript Link</v>
      </c>
    </row>
    <row r="3696" ht="180" spans="1:13">
      <c r="A3696" s="1" t="s">
        <v>16235</v>
      </c>
      <c r="B3696" s="1" t="s">
        <v>13</v>
      </c>
      <c r="C3696" s="4" t="s">
        <v>16236</v>
      </c>
      <c r="D3696" s="1" t="s">
        <v>16237</v>
      </c>
      <c r="E3696" s="1" t="s">
        <v>16238</v>
      </c>
      <c r="F3696" s="4" t="s">
        <v>17</v>
      </c>
      <c r="G3696" s="1" t="s">
        <v>18</v>
      </c>
      <c r="H3696" s="1" t="s">
        <v>19</v>
      </c>
      <c r="I3696" s="1" t="s">
        <v>20</v>
      </c>
      <c r="J3696" s="1" t="s">
        <v>16239</v>
      </c>
      <c r="K3696" s="1" t="s">
        <v>22</v>
      </c>
      <c r="L3696" s="1" t="str">
        <f>HYPERLINK("https://files.afu.se/Downloads/Transcripts/0%20-%20Government/USA%20-%20NASA%20Johnson/2007 06 18 - NASA Johnson - UTEP Fight Song_7aDy8sBN3FA - transcript (automated).pdf","Transcript Link")</f>
        <v>Transcript Link</v>
      </c>
      <c r="M3696" s="2" t="str">
        <f>HYPERLINK("https://files.afu.se/Downloads/Transcripts/0%20-%20Government/USA%20-%20NASA%20Johnson/2007 06 18 - NASA Johnson - UTEP Fight Song_7aDy8sBN3FA - transcript (automated).pdf","Transcript Link")</f>
        <v>Transcript Link</v>
      </c>
    </row>
    <row r="3697" ht="210" spans="1:13">
      <c r="A3697" s="1" t="s">
        <v>16240</v>
      </c>
      <c r="B3697" s="1" t="s">
        <v>13</v>
      </c>
      <c r="C3697" s="4" t="s">
        <v>16241</v>
      </c>
      <c r="D3697" s="1" t="s">
        <v>16242</v>
      </c>
      <c r="E3697" s="1" t="s">
        <v>16243</v>
      </c>
      <c r="F3697" s="4" t="s">
        <v>17</v>
      </c>
      <c r="G3697" s="1" t="s">
        <v>18</v>
      </c>
      <c r="H3697" s="1" t="s">
        <v>19</v>
      </c>
      <c r="I3697" s="1" t="s">
        <v>20</v>
      </c>
      <c r="J3697" s="1" t="s">
        <v>16244</v>
      </c>
      <c r="K3697" s="1" t="s">
        <v>22</v>
      </c>
      <c r="L3697" s="1" t="str">
        <f>HYPERLINK("https://files.afu.se/Downloads/Transcripts/0%20-%20Government/USA%20-%20NASA%20Johnson/2007 06 15 - NASA Johnson - Tuck It In_95d7R58T9UM - transcript (automated).pdf","Transcript Link")</f>
        <v>Transcript Link</v>
      </c>
      <c r="M3697" s="2" t="str">
        <f>HYPERLINK("https://files.afu.se/Downloads/Transcripts/0%20-%20Government/USA%20-%20NASA%20Johnson/2007 06 15 - NASA Johnson - Tuck It In_95d7R58T9UM - transcript (automated).pdf","Transcript Link")</f>
        <v>Transcript Link</v>
      </c>
    </row>
    <row r="3698" ht="180" spans="1:13">
      <c r="A3698" s="1" t="s">
        <v>16245</v>
      </c>
      <c r="B3698" s="1" t="s">
        <v>13</v>
      </c>
      <c r="C3698" s="4" t="s">
        <v>16246</v>
      </c>
      <c r="D3698" s="1" t="s">
        <v>16247</v>
      </c>
      <c r="E3698" s="1" t="s">
        <v>16248</v>
      </c>
      <c r="F3698" s="4" t="s">
        <v>17</v>
      </c>
      <c r="G3698" s="1" t="s">
        <v>18</v>
      </c>
      <c r="H3698" s="1" t="s">
        <v>19</v>
      </c>
      <c r="I3698" s="1" t="s">
        <v>20</v>
      </c>
      <c r="J3698" s="1" t="s">
        <v>16249</v>
      </c>
      <c r="K3698" s="1" t="s">
        <v>22</v>
      </c>
      <c r="L3698" s="1" t="str">
        <f>HYPERLINK("https://files.afu.se/Downloads/Transcripts/0%20-%20Government/USA%20-%20NASA%20Johnson/2007 06 14 - NASA Johnson - Indescribable_R5wEtMV5sSY - transcript (automated).pdf","Transcript Link")</f>
        <v>Transcript Link</v>
      </c>
      <c r="M3698" s="2" t="str">
        <f>HYPERLINK("https://files.afu.se/Downloads/Transcripts/0%20-%20Government/USA%20-%20NASA%20Johnson/2007 06 14 - NASA Johnson - Indescribable_R5wEtMV5sSY - transcript (automated).pdf","Transcript Link")</f>
        <v>Transcript Link</v>
      </c>
    </row>
    <row r="3699" ht="180" spans="1:13">
      <c r="A3699" s="1" t="s">
        <v>16245</v>
      </c>
      <c r="B3699" s="1" t="s">
        <v>13</v>
      </c>
      <c r="C3699" s="4" t="s">
        <v>16250</v>
      </c>
      <c r="D3699" s="1" t="s">
        <v>16251</v>
      </c>
      <c r="E3699" s="1" t="s">
        <v>16252</v>
      </c>
      <c r="F3699" s="4" t="s">
        <v>17</v>
      </c>
      <c r="G3699" s="1" t="s">
        <v>18</v>
      </c>
      <c r="H3699" s="1" t="s">
        <v>19</v>
      </c>
      <c r="I3699" s="1" t="s">
        <v>20</v>
      </c>
      <c r="J3699" s="1" t="s">
        <v>16253</v>
      </c>
      <c r="K3699" s="1" t="s">
        <v>22</v>
      </c>
      <c r="L3699" s="1" t="str">
        <f>HYPERLINK("https://files.afu.se/Downloads/Transcripts/0%20-%20Government/USA%20-%20NASA%20Johnson/2007 06 14 - NASA Johnson - Spread Your Wings (video)_c9rc96feWlg - transcript (automated).pdf","Transcript Link")</f>
        <v>Transcript Link</v>
      </c>
      <c r="M3699" s="2" t="str">
        <f>HYPERLINK("https://files.afu.se/Downloads/Transcripts/0%20-%20Government/USA%20-%20NASA%20Johnson/2007 06 14 - NASA Johnson - Spread Your Wings (video)_c9rc96feWlg - transcript (automated).pdf","Transcript Link")</f>
        <v>Transcript Link</v>
      </c>
    </row>
    <row r="3700" ht="180" spans="1:13">
      <c r="A3700" s="1" t="s">
        <v>16245</v>
      </c>
      <c r="B3700" s="1" t="s">
        <v>13</v>
      </c>
      <c r="C3700" s="4" t="s">
        <v>16254</v>
      </c>
      <c r="D3700" s="1" t="s">
        <v>16255</v>
      </c>
      <c r="E3700" s="1" t="s">
        <v>16256</v>
      </c>
      <c r="F3700" s="4" t="s">
        <v>17</v>
      </c>
      <c r="G3700" s="1" t="s">
        <v>18</v>
      </c>
      <c r="H3700" s="1" t="s">
        <v>19</v>
      </c>
      <c r="I3700" s="1" t="s">
        <v>20</v>
      </c>
      <c r="J3700" s="1" t="s">
        <v>16257</v>
      </c>
      <c r="K3700" s="1" t="s">
        <v>22</v>
      </c>
      <c r="L3700" s="1" t="str">
        <f>HYPERLINK("https://files.afu.se/Downloads/Transcripts/0%20-%20Government/USA%20-%20NASA%20Johnson/2007 06 14 - NASA Johnson - Questions 67 and 68_LefzkR0CI7o - transcript (automated).pdf","Transcript Link")</f>
        <v>Transcript Link</v>
      </c>
      <c r="M3700" s="2" t="str">
        <f>HYPERLINK("https://files.afu.se/Downloads/Transcripts/0%20-%20Government/USA%20-%20NASA%20Johnson/2007 06 14 - NASA Johnson - Questions 67 and 68_LefzkR0CI7o - transcript (automated).pdf","Transcript Link")</f>
        <v>Transcript Link</v>
      </c>
    </row>
    <row r="3701" ht="195" spans="1:13">
      <c r="A3701" s="1" t="s">
        <v>16258</v>
      </c>
      <c r="B3701" s="1" t="s">
        <v>13</v>
      </c>
      <c r="C3701" s="4" t="s">
        <v>16259</v>
      </c>
      <c r="D3701" s="1" t="s">
        <v>16260</v>
      </c>
      <c r="E3701" s="1" t="s">
        <v>16261</v>
      </c>
      <c r="F3701" s="4" t="s">
        <v>17</v>
      </c>
      <c r="G3701" s="1" t="s">
        <v>18</v>
      </c>
      <c r="H3701" s="1" t="s">
        <v>19</v>
      </c>
      <c r="I3701" s="1" t="s">
        <v>20</v>
      </c>
      <c r="J3701" s="1" t="s">
        <v>16262</v>
      </c>
      <c r="K3701" s="1" t="s">
        <v>22</v>
      </c>
      <c r="L3701" s="1" t="str">
        <f>HYPERLINK("https://files.afu.se/Downloads/Transcripts/0%20-%20Government/USA%20-%20NASA%20Johnson/2007 06 13 - NASA Johnson - A Little Truss Goes A Long Way_kOyIV_YWU18 - transcript (automated).pdf","Transcript Link")</f>
        <v>Transcript Link</v>
      </c>
      <c r="M3701" s="2" t="str">
        <f>HYPERLINK("https://files.afu.se/Downloads/Transcripts/0%20-%20Government/USA%20-%20NASA%20Johnson/2007 06 13 - NASA Johnson - A Little Truss Goes A Long Way_kOyIV_YWU18 - transcript (automated).pdf","Transcript Link")</f>
        <v>Transcript Link</v>
      </c>
    </row>
    <row r="3702" ht="180" spans="1:13">
      <c r="A3702" s="1" t="s">
        <v>16258</v>
      </c>
      <c r="B3702" s="1" t="s">
        <v>13</v>
      </c>
      <c r="C3702" s="4" t="s">
        <v>16263</v>
      </c>
      <c r="D3702" s="1" t="s">
        <v>16264</v>
      </c>
      <c r="E3702" s="1" t="s">
        <v>16265</v>
      </c>
      <c r="F3702" s="4" t="s">
        <v>17</v>
      </c>
      <c r="G3702" s="1" t="s">
        <v>18</v>
      </c>
      <c r="H3702" s="1" t="s">
        <v>19</v>
      </c>
      <c r="I3702" s="1" t="s">
        <v>20</v>
      </c>
      <c r="J3702" s="1" t="s">
        <v>16266</v>
      </c>
      <c r="K3702" s="1" t="s">
        <v>22</v>
      </c>
      <c r="L3702" s="1" t="str">
        <f>HYPERLINK("https://files.afu.se/Downloads/Transcripts/0%20-%20Government/USA%20-%20NASA%20Johnson/2007 06 13 - NASA Johnson - Spread Your Wings (animation)_1Q1FXGH9wFU - transcript (automated).pdf","Transcript Link")</f>
        <v>Transcript Link</v>
      </c>
      <c r="M3702" s="2" t="str">
        <f>HYPERLINK("https://files.afu.se/Downloads/Transcripts/0%20-%20Government/USA%20-%20NASA%20Johnson/2007 06 13 - NASA Johnson - Spread Your Wings (animation)_1Q1FXGH9wFU - transcript (automated).pdf","Transcript Link")</f>
        <v>Transcript Link</v>
      </c>
    </row>
    <row r="3703" ht="180" spans="1:13">
      <c r="A3703" s="1" t="s">
        <v>16267</v>
      </c>
      <c r="B3703" s="1" t="s">
        <v>13</v>
      </c>
      <c r="C3703" s="4" t="s">
        <v>16268</v>
      </c>
      <c r="D3703" s="1" t="s">
        <v>16269</v>
      </c>
      <c r="E3703" s="1" t="s">
        <v>16270</v>
      </c>
      <c r="F3703" s="4" t="s">
        <v>17</v>
      </c>
      <c r="G3703" s="1" t="s">
        <v>18</v>
      </c>
      <c r="H3703" s="1" t="s">
        <v>19</v>
      </c>
      <c r="I3703" s="1" t="s">
        <v>20</v>
      </c>
      <c r="J3703" s="1" t="s">
        <v>16271</v>
      </c>
      <c r="K3703" s="1" t="s">
        <v>22</v>
      </c>
      <c r="L3703" s="1" t="str">
        <f>HYPERLINK("https://files.afu.se/Downloads/Transcripts/0%20-%20Government/USA%20-%20NASA%20Johnson/2007 06 12 - NASA Johnson - What a Wonderful World_Ye-4M-FrPnE - transcript (automated).pdf","Transcript Link")</f>
        <v>Transcript Link</v>
      </c>
      <c r="M3703" s="2" t="str">
        <f>HYPERLINK("https://files.afu.se/Downloads/Transcripts/0%20-%20Government/USA%20-%20NASA%20Johnson/2007 06 12 - NASA Johnson - What a Wonderful World_Ye-4M-FrPnE - transcript (automated).pdf","Transcript Link")</f>
        <v>Transcript Link</v>
      </c>
    </row>
    <row r="3704" ht="180" spans="1:13">
      <c r="A3704" s="1" t="s">
        <v>16267</v>
      </c>
      <c r="B3704" s="1" t="s">
        <v>13</v>
      </c>
      <c r="C3704" s="4" t="s">
        <v>16272</v>
      </c>
      <c r="D3704" s="1" t="s">
        <v>16273</v>
      </c>
      <c r="E3704" s="1" t="s">
        <v>16274</v>
      </c>
      <c r="F3704" s="4" t="s">
        <v>17</v>
      </c>
      <c r="G3704" s="1" t="s">
        <v>18</v>
      </c>
      <c r="H3704" s="1" t="s">
        <v>19</v>
      </c>
      <c r="I3704" s="1" t="s">
        <v>20</v>
      </c>
      <c r="J3704" s="1" t="s">
        <v>16275</v>
      </c>
      <c r="K3704" s="1" t="s">
        <v>22</v>
      </c>
      <c r="L3704" s="1" t="str">
        <f>HYPERLINK("https://files.afu.se/Downloads/Transcripts/0%20-%20Government/USA%20-%20NASA%20Johnson/2007 06 12 - NASA Johnson - It Probably Always Will_AZjMbEXdwnA - transcript (automated).pdf","Transcript Link")</f>
        <v>Transcript Link</v>
      </c>
      <c r="M3704" s="2" t="str">
        <f>HYPERLINK("https://files.afu.se/Downloads/Transcripts/0%20-%20Government/USA%20-%20NASA%20Johnson/2007 06 12 - NASA Johnson - It Probably Always Will_AZjMbEXdwnA - transcript (automated).pdf","Transcript Link")</f>
        <v>Transcript Link</v>
      </c>
    </row>
    <row r="3705" ht="180" spans="1:13">
      <c r="A3705" s="1" t="s">
        <v>16276</v>
      </c>
      <c r="B3705" s="1" t="s">
        <v>13</v>
      </c>
      <c r="C3705" s="4" t="s">
        <v>16277</v>
      </c>
      <c r="D3705" s="1" t="s">
        <v>16278</v>
      </c>
      <c r="E3705" s="1" t="s">
        <v>16279</v>
      </c>
      <c r="F3705" s="4" t="s">
        <v>17</v>
      </c>
      <c r="G3705" s="1" t="s">
        <v>18</v>
      </c>
      <c r="H3705" s="1" t="s">
        <v>19</v>
      </c>
      <c r="I3705" s="1" t="s">
        <v>20</v>
      </c>
      <c r="J3705" s="1" t="s">
        <v>16280</v>
      </c>
      <c r="K3705" s="1" t="s">
        <v>22</v>
      </c>
      <c r="L3705" s="1" t="str">
        <f>HYPERLINK("https://files.afu.se/Downloads/Transcripts/0%20-%20Government/USA%20-%20NASA%20Johnson/2007 06 11 - NASA Johnson - Riding the Sky_TYUW9maagQ0 - transcript (automated).pdf","Transcript Link")</f>
        <v>Transcript Link</v>
      </c>
      <c r="M3705" s="2" t="str">
        <f>HYPERLINK("https://files.afu.se/Downloads/Transcripts/0%20-%20Government/USA%20-%20NASA%20Johnson/2007 06 11 - NASA Johnson - Riding the Sky_TYUW9maagQ0 - transcript (automated).pdf","Transcript Link")</f>
        <v>Transcript Link</v>
      </c>
    </row>
    <row r="3706" ht="300" spans="1:13">
      <c r="A3706" s="1" t="s">
        <v>16276</v>
      </c>
      <c r="B3706" s="1" t="s">
        <v>13</v>
      </c>
      <c r="C3706" s="4" t="s">
        <v>16281</v>
      </c>
      <c r="D3706" s="1" t="s">
        <v>16282</v>
      </c>
      <c r="E3706" s="1" t="s">
        <v>16283</v>
      </c>
      <c r="F3706" s="4" t="s">
        <v>17</v>
      </c>
      <c r="G3706" s="1" t="s">
        <v>18</v>
      </c>
      <c r="H3706" s="1" t="s">
        <v>19</v>
      </c>
      <c r="I3706" s="1" t="s">
        <v>20</v>
      </c>
      <c r="J3706" s="1" t="s">
        <v>16284</v>
      </c>
      <c r="K3706" s="1" t="s">
        <v>22</v>
      </c>
      <c r="L3706" s="1" t="str">
        <f>HYPERLINK("https://files.afu.se/Downloads/Transcripts/0%20-%20Government/USA%20-%20NASA%20Johnson/2007 06 11 - NASA Johnson - Belly up to the Space Station (sped-up version)_UT3I4PGD1Mc - transcript (automated).pdf","Transcript Link")</f>
        <v>Transcript Link</v>
      </c>
      <c r="M3706" s="2" t="str">
        <f>HYPERLINK("https://files.afu.se/Downloads/Transcripts/0%20-%20Government/USA%20-%20NASA%20Johnson/2007 06 11 - NASA Johnson - Belly up to the Space Station (sped-up version)_UT3I4PGD1Mc - transcript (automated).pdf","Transcript Link")</f>
        <v>Transcript Link</v>
      </c>
    </row>
    <row r="3707" ht="180" spans="1:13">
      <c r="A3707" s="1" t="s">
        <v>16285</v>
      </c>
      <c r="B3707" s="1" t="s">
        <v>13</v>
      </c>
      <c r="C3707" s="4" t="s">
        <v>16286</v>
      </c>
      <c r="D3707" s="1" t="s">
        <v>16287</v>
      </c>
      <c r="E3707" s="1" t="s">
        <v>16288</v>
      </c>
      <c r="F3707" s="4" t="s">
        <v>17</v>
      </c>
      <c r="G3707" s="1" t="s">
        <v>18</v>
      </c>
      <c r="H3707" s="1" t="s">
        <v>19</v>
      </c>
      <c r="I3707" s="1" t="s">
        <v>20</v>
      </c>
      <c r="J3707" s="1" t="s">
        <v>16289</v>
      </c>
      <c r="K3707" s="1" t="s">
        <v>22</v>
      </c>
      <c r="L3707" s="1" t="str">
        <f>HYPERLINK("https://files.afu.se/Downloads/Transcripts/0%20-%20Government/USA%20-%20NASA%20Johnson/2007 06 10 - NASA Johnson - Big Boy Toys_DjtdOZECr1U - transcript (automated).pdf","Transcript Link")</f>
        <v>Transcript Link</v>
      </c>
      <c r="M3707" s="2" t="str">
        <f>HYPERLINK("https://files.afu.se/Downloads/Transcripts/0%20-%20Government/USA%20-%20NASA%20Johnson/2007 06 10 - NASA Johnson - Big Boy Toys_DjtdOZECr1U - transcript (automated).pdf","Transcript Link")</f>
        <v>Transcript Link</v>
      </c>
    </row>
    <row r="3708" ht="210" spans="1:13">
      <c r="A3708" s="1" t="s">
        <v>16290</v>
      </c>
      <c r="B3708" s="1" t="s">
        <v>13</v>
      </c>
      <c r="C3708" s="4" t="s">
        <v>16291</v>
      </c>
      <c r="D3708" s="1" t="s">
        <v>16292</v>
      </c>
      <c r="E3708" s="1" t="s">
        <v>16293</v>
      </c>
      <c r="F3708" s="4" t="s">
        <v>17</v>
      </c>
      <c r="G3708" s="1" t="s">
        <v>18</v>
      </c>
      <c r="H3708" s="1" t="s">
        <v>19</v>
      </c>
      <c r="I3708" s="1" t="s">
        <v>20</v>
      </c>
      <c r="J3708" s="1" t="s">
        <v>16294</v>
      </c>
      <c r="K3708" s="1" t="s">
        <v>22</v>
      </c>
      <c r="L3708" s="1" t="str">
        <f>HYPERLINK("https://files.afu.se/Downloads/Transcripts/0%20-%20Government/USA%20-%20NASA%20Johnson/2007 06 09 - NASA Johnson - Atlantis Rocks It_QPsAoCu_yyM - transcript (automated).pdf","Transcript Link")</f>
        <v>Transcript Link</v>
      </c>
      <c r="M3708" s="2" t="str">
        <f>HYPERLINK("https://files.afu.se/Downloads/Transcripts/0%20-%20Government/USA%20-%20NASA%20Johnson/2007 06 09 - NASA Johnson - Atlantis Rocks It_QPsAoCu_yyM - transcript (automated).pdf","Transcript Link")</f>
        <v>Transcript Link</v>
      </c>
    </row>
    <row r="3709" ht="240" spans="1:13">
      <c r="A3709" s="1" t="s">
        <v>16295</v>
      </c>
      <c r="B3709" s="1" t="s">
        <v>13</v>
      </c>
      <c r="C3709" s="4" t="s">
        <v>16296</v>
      </c>
      <c r="D3709" s="1" t="s">
        <v>16297</v>
      </c>
      <c r="E3709" s="1" t="s">
        <v>16298</v>
      </c>
      <c r="F3709" s="4" t="s">
        <v>17</v>
      </c>
      <c r="G3709" s="1" t="s">
        <v>18</v>
      </c>
      <c r="H3709" s="1" t="s">
        <v>19</v>
      </c>
      <c r="I3709" s="1" t="s">
        <v>20</v>
      </c>
      <c r="J3709" s="1" t="s">
        <v>16299</v>
      </c>
      <c r="K3709" s="1" t="s">
        <v>22</v>
      </c>
      <c r="L3709" s="1" t="str">
        <f>HYPERLINK("https://files.afu.se/Downloads/Transcripts/0%20-%20Government/USA%20-%20NASA%20Johnson/2007 05 25 - NASA Johnson - Just Add H2O_Qr_EZNdF_v4 - transcript (automated).pdf","Transcript Link")</f>
        <v>Transcript Link</v>
      </c>
      <c r="M3709" s="2" t="str">
        <f>HYPERLINK("https://files.afu.se/Downloads/Transcripts/0%20-%20Government/USA%20-%20NASA%20Johnson/2007 05 25 - NASA Johnson - Just Add H2O_Qr_EZNdF_v4 - transcript (automated).pdf","Transcript Link")</f>
        <v>Transcript Link</v>
      </c>
    </row>
    <row r="3710" ht="195" spans="1:13">
      <c r="A3710" s="1" t="s">
        <v>16300</v>
      </c>
      <c r="B3710" s="1" t="s">
        <v>13</v>
      </c>
      <c r="C3710" s="4" t="s">
        <v>16301</v>
      </c>
      <c r="D3710" s="1" t="s">
        <v>16302</v>
      </c>
      <c r="E3710" s="1" t="s">
        <v>16303</v>
      </c>
      <c r="F3710" s="4" t="s">
        <v>17</v>
      </c>
      <c r="G3710" s="1" t="s">
        <v>18</v>
      </c>
      <c r="H3710" s="1" t="s">
        <v>19</v>
      </c>
      <c r="I3710" s="1" t="s">
        <v>20</v>
      </c>
      <c r="J3710" s="1" t="s">
        <v>16304</v>
      </c>
      <c r="K3710" s="1" t="s">
        <v>22</v>
      </c>
      <c r="L3710" s="1" t="str">
        <f>HYPERLINK("https://files.afu.se/Downloads/Transcripts/0%20-%20Government/USA%20-%20NASA%20Johnson/2007 05 11 - NASA Johnson - From Winter to Wonderland_TNiE_MkQqS0 - transcript (automated).pdf","Transcript Link")</f>
        <v>Transcript Link</v>
      </c>
      <c r="M3710" s="2" t="str">
        <f>HYPERLINK("https://files.afu.se/Downloads/Transcripts/0%20-%20Government/USA%20-%20NASA%20Johnson/2007 05 11 - NASA Johnson - From Winter to Wonderland_TNiE_MkQqS0 - transcript (automated).pdf","Transcript Link")</f>
        <v>Transcript Link</v>
      </c>
    </row>
    <row r="3711" ht="180" spans="1:13">
      <c r="A3711" s="1" t="s">
        <v>16305</v>
      </c>
      <c r="B3711" s="1" t="s">
        <v>13</v>
      </c>
      <c r="C3711" s="4" t="s">
        <v>16306</v>
      </c>
      <c r="D3711" s="1" t="s">
        <v>16307</v>
      </c>
      <c r="E3711" s="1" t="s">
        <v>16308</v>
      </c>
      <c r="F3711" s="4" t="s">
        <v>17</v>
      </c>
      <c r="G3711" s="1" t="s">
        <v>18</v>
      </c>
      <c r="H3711" s="1" t="s">
        <v>19</v>
      </c>
      <c r="I3711" s="1" t="s">
        <v>20</v>
      </c>
      <c r="J3711" s="1" t="s">
        <v>16309</v>
      </c>
      <c r="K3711" s="1" t="s">
        <v>22</v>
      </c>
      <c r="L3711" s="1" t="str">
        <f>HYPERLINK("https://files.afu.se/Downloads/Transcripts/0%20-%20Government/USA%20-%20NASA%20Johnson/2007 05 09 - NASA Johnson - Cowboy Up_qnKEi5Lt_x8 - transcript (automated).pdf","Transcript Link")</f>
        <v>Transcript Link</v>
      </c>
      <c r="M3711" s="2" t="str">
        <f>HYPERLINK("https://files.afu.se/Downloads/Transcripts/0%20-%20Government/USA%20-%20NASA%20Johnson/2007 05 09 - NASA Johnson - Cowboy Up_qnKEi5Lt_x8 - transcript (automated).pdf","Transcript Link")</f>
        <v>Transcript Link</v>
      </c>
    </row>
    <row r="3712" ht="180" spans="1:13">
      <c r="A3712" s="1" t="s">
        <v>16310</v>
      </c>
      <c r="B3712" s="1" t="s">
        <v>13</v>
      </c>
      <c r="C3712" s="4" t="s">
        <v>16311</v>
      </c>
      <c r="D3712" s="1" t="s">
        <v>16312</v>
      </c>
      <c r="E3712" s="1" t="s">
        <v>16313</v>
      </c>
      <c r="F3712" s="4" t="s">
        <v>17</v>
      </c>
      <c r="G3712" s="1" t="s">
        <v>18</v>
      </c>
      <c r="H3712" s="1" t="s">
        <v>19</v>
      </c>
      <c r="I3712" s="1" t="s">
        <v>20</v>
      </c>
      <c r="J3712" s="1" t="s">
        <v>16314</v>
      </c>
      <c r="K3712" s="1" t="s">
        <v>22</v>
      </c>
      <c r="L3712" s="1" t="str">
        <f>HYPERLINK("https://files.afu.se/Downloads/Transcripts/0%20-%20Government/USA%20-%20NASA%20Johnson/2007 05 04 - NASA Johnson - Husker Flies to Space_s1aBChbPR30 - transcript (automated).pdf","Transcript Link")</f>
        <v>Transcript Link</v>
      </c>
      <c r="M3712" s="2" t="str">
        <f>HYPERLINK("https://files.afu.se/Downloads/Transcripts/0%20-%20Government/USA%20-%20NASA%20Johnson/2007 05 04 - NASA Johnson - Husker Flies to Space_s1aBChbPR30 - transcript (automated).pdf","Transcript Link")</f>
        <v>Transcript Link</v>
      </c>
    </row>
    <row r="3713" ht="180" spans="1:13">
      <c r="A3713" s="1" t="s">
        <v>16315</v>
      </c>
      <c r="B3713" s="1" t="s">
        <v>13</v>
      </c>
      <c r="C3713" s="4" t="s">
        <v>16316</v>
      </c>
      <c r="D3713" s="1" t="s">
        <v>16317</v>
      </c>
      <c r="E3713" s="1" t="s">
        <v>16318</v>
      </c>
      <c r="F3713" s="4" t="s">
        <v>17</v>
      </c>
      <c r="G3713" s="1" t="s">
        <v>18</v>
      </c>
      <c r="H3713" s="1" t="s">
        <v>19</v>
      </c>
      <c r="I3713" s="1" t="s">
        <v>20</v>
      </c>
      <c r="J3713" s="1" t="s">
        <v>16319</v>
      </c>
      <c r="K3713" s="1" t="s">
        <v>22</v>
      </c>
      <c r="L3713" s="1" t="str">
        <f>HYPERLINK("https://files.afu.se/Downloads/Transcripts/0%20-%20Government/USA%20-%20NASA%20Johnson/2007 05 02 - NASA Johnson - Around the World_xqh2FMaKkaY - transcript (automated).pdf","Transcript Link")</f>
        <v>Transcript Link</v>
      </c>
      <c r="M3713" s="2" t="str">
        <f>HYPERLINK("https://files.afu.se/Downloads/Transcripts/0%20-%20Government/USA%20-%20NASA%20Johnson/2007 05 02 - NASA Johnson - Around the World_xqh2FMaKkaY - transcript (automated).pdf","Transcript Link")</f>
        <v>Transcript Link</v>
      </c>
    </row>
    <row r="3714" ht="315" spans="1:13">
      <c r="A3714" s="1" t="s">
        <v>16320</v>
      </c>
      <c r="B3714" s="1" t="s">
        <v>13</v>
      </c>
      <c r="C3714" s="4" t="s">
        <v>16321</v>
      </c>
      <c r="D3714" s="1" t="s">
        <v>16322</v>
      </c>
      <c r="E3714" s="1" t="s">
        <v>16323</v>
      </c>
      <c r="F3714" s="4" t="s">
        <v>17</v>
      </c>
      <c r="G3714" s="1" t="s">
        <v>18</v>
      </c>
      <c r="H3714" s="1" t="s">
        <v>19</v>
      </c>
      <c r="I3714" s="1" t="s">
        <v>20</v>
      </c>
      <c r="J3714" s="1" t="s">
        <v>16324</v>
      </c>
      <c r="K3714" s="1" t="s">
        <v>22</v>
      </c>
      <c r="L3714" s="1" t="str">
        <f>HYPERLINK("https://files.afu.se/Downloads/Transcripts/0%20-%20Government/USA%20-%20NASA%20Johnson/2007 04 24 - NASA Johnson - I Know What You Did This Summer  2007__KdLkKNNq-k - transcript (automated).pdf","Transcript Link")</f>
        <v>Transcript Link</v>
      </c>
      <c r="M3714" s="2" t="str">
        <f>HYPERLINK("https://files.afu.se/Downloads/Transcripts/0%20-%20Government/USA%20-%20NASA%20Johnson/2007 04 24 - NASA Johnson - I Know What You Did This Summer  2007__KdLkKNNq-k - transcript (automated).pdf","Transcript Link")</f>
        <v>Transcript Link</v>
      </c>
    </row>
  </sheetData>
  <hyperlinks>
    <hyperlink ref="C2" r:id="rId1" display="https://youtu.be/WEa88ZZWAEQ"/>
    <hyperlink ref="F2" r:id="rId2" display="https://files.afu.se/Downloads/Transcripts/0%20-%20Government/USA%20-%20NASA%20Johnson/"/>
    <hyperlink ref="C3" r:id="rId3" display="https://youtu.be/kfffvezaQQI"/>
    <hyperlink ref="F3" r:id="rId2" display="https://files.afu.se/Downloads/Transcripts/0%20-%20Government/USA%20-%20NASA%20Johnson/"/>
    <hyperlink ref="C4" r:id="rId4" display="https://youtu.be/umBk3MLmABU"/>
    <hyperlink ref="F4" r:id="rId2" display="https://files.afu.se/Downloads/Transcripts/0%20-%20Government/USA%20-%20NASA%20Johnson/"/>
    <hyperlink ref="C5" r:id="rId5" display="https://youtu.be/F96y_A3DUZY"/>
    <hyperlink ref="F5" r:id="rId2" display="https://files.afu.se/Downloads/Transcripts/0%20-%20Government/USA%20-%20NASA%20Johnson/"/>
    <hyperlink ref="C6" r:id="rId6" display="https://youtu.be/lg_Fz1nPI-s"/>
    <hyperlink ref="F6" r:id="rId2" display="https://files.afu.se/Downloads/Transcripts/0%20-%20Government/USA%20-%20NASA%20Johnson/"/>
    <hyperlink ref="C7" r:id="rId7" display="https://youtu.be/VbK8GR7vWcI"/>
    <hyperlink ref="F7" r:id="rId2" display="https://files.afu.se/Downloads/Transcripts/0%20-%20Government/USA%20-%20NASA%20Johnson/"/>
    <hyperlink ref="C8" r:id="rId8" display="https://youtu.be/4UOFD7i4Gx4"/>
    <hyperlink ref="F8" r:id="rId2" display="https://files.afu.se/Downloads/Transcripts/0%20-%20Government/USA%20-%20NASA%20Johnson/"/>
    <hyperlink ref="C9" r:id="rId9" display="https://youtu.be/L1m-QF0elDs"/>
    <hyperlink ref="F9" r:id="rId2" display="https://files.afu.se/Downloads/Transcripts/0%20-%20Government/USA%20-%20NASA%20Johnson/"/>
    <hyperlink ref="C10" r:id="rId10" display="https://youtu.be/sWyxXByejys"/>
    <hyperlink ref="F10" r:id="rId2" display="https://files.afu.se/Downloads/Transcripts/0%20-%20Government/USA%20-%20NASA%20Johnson/"/>
    <hyperlink ref="C11" r:id="rId11" display="https://youtu.be/S0lE1qOoObE"/>
    <hyperlink ref="F11" r:id="rId2" display="https://files.afu.se/Downloads/Transcripts/0%20-%20Government/USA%20-%20NASA%20Johnson/"/>
    <hyperlink ref="C12" r:id="rId12" display="https://youtu.be/v7sS4vVtHpI"/>
    <hyperlink ref="F12" r:id="rId2" display="https://files.afu.se/Downloads/Transcripts/0%20-%20Government/USA%20-%20NASA%20Johnson/"/>
    <hyperlink ref="C13" r:id="rId13" display="https://youtu.be/TnkzAx-efu4"/>
    <hyperlink ref="F13" r:id="rId2" display="https://files.afu.se/Downloads/Transcripts/0%20-%20Government/USA%20-%20NASA%20Johnson/"/>
    <hyperlink ref="C14" r:id="rId14" display="https://youtu.be/h3JyyWKnHNI"/>
    <hyperlink ref="F14" r:id="rId2" display="https://files.afu.se/Downloads/Transcripts/0%20-%20Government/USA%20-%20NASA%20Johnson/"/>
    <hyperlink ref="C15" r:id="rId15" display="https://youtu.be/hoozjAACXWY"/>
    <hyperlink ref="F15" r:id="rId2" display="https://files.afu.se/Downloads/Transcripts/0%20-%20Government/USA%20-%20NASA%20Johnson/"/>
    <hyperlink ref="C16" r:id="rId16" display="https://youtu.be/f_BVxjAEVfA"/>
    <hyperlink ref="F16" r:id="rId2" display="https://files.afu.se/Downloads/Transcripts/0%20-%20Government/USA%20-%20NASA%20Johnson/"/>
    <hyperlink ref="C17" r:id="rId17" display="https://youtu.be/gp_38ckItoE"/>
    <hyperlink ref="F17" r:id="rId2" display="https://files.afu.se/Downloads/Transcripts/0%20-%20Government/USA%20-%20NASA%20Johnson/"/>
    <hyperlink ref="C18" r:id="rId18" display="https://youtu.be/LuPWd5jGsEM"/>
    <hyperlink ref="F18" r:id="rId2" display="https://files.afu.se/Downloads/Transcripts/0%20-%20Government/USA%20-%20NASA%20Johnson/"/>
    <hyperlink ref="C19" r:id="rId19" display="https://youtu.be/xuXEv4tUkXQ"/>
    <hyperlink ref="F19" r:id="rId2" display="https://files.afu.se/Downloads/Transcripts/0%20-%20Government/USA%20-%20NASA%20Johnson/"/>
    <hyperlink ref="C20" r:id="rId20" display="https://youtu.be/UOT4VwhVukA"/>
    <hyperlink ref="F20" r:id="rId2" display="https://files.afu.se/Downloads/Transcripts/0%20-%20Government/USA%20-%20NASA%20Johnson/"/>
    <hyperlink ref="C21" r:id="rId21" display="https://youtu.be/t0NmI0m5v1g"/>
    <hyperlink ref="F21" r:id="rId2" display="https://files.afu.se/Downloads/Transcripts/0%20-%20Government/USA%20-%20NASA%20Johnson/"/>
    <hyperlink ref="C22" r:id="rId22" display="https://youtu.be/gfGTS_1bLEk"/>
    <hyperlink ref="F22" r:id="rId2" display="https://files.afu.se/Downloads/Transcripts/0%20-%20Government/USA%20-%20NASA%20Johnson/"/>
    <hyperlink ref="C23" r:id="rId23" display="https://youtu.be/YSPdZX6OrL8"/>
    <hyperlink ref="F23" r:id="rId2" display="https://files.afu.se/Downloads/Transcripts/0%20-%20Government/USA%20-%20NASA%20Johnson/"/>
    <hyperlink ref="C24" r:id="rId24" display="https://youtu.be/tIP-gnyIga0"/>
    <hyperlink ref="F24" r:id="rId2" display="https://files.afu.se/Downloads/Transcripts/0%20-%20Government/USA%20-%20NASA%20Johnson/"/>
    <hyperlink ref="C25" r:id="rId25" display="https://youtu.be/HLI-TNbyyTE"/>
    <hyperlink ref="F25" r:id="rId2" display="https://files.afu.se/Downloads/Transcripts/0%20-%20Government/USA%20-%20NASA%20Johnson/"/>
    <hyperlink ref="C26" r:id="rId26" display="https://youtu.be/4HLIQWwrrzg"/>
    <hyperlink ref="F26" r:id="rId2" display="https://files.afu.se/Downloads/Transcripts/0%20-%20Government/USA%20-%20NASA%20Johnson/"/>
    <hyperlink ref="C27" r:id="rId27" display="https://youtu.be/0vUA3XCpZIE"/>
    <hyperlink ref="F27" r:id="rId2" display="https://files.afu.se/Downloads/Transcripts/0%20-%20Government/USA%20-%20NASA%20Johnson/"/>
    <hyperlink ref="C28" r:id="rId28" display="https://youtu.be/ciWAQlH2nu0"/>
    <hyperlink ref="F28" r:id="rId2" display="https://files.afu.se/Downloads/Transcripts/0%20-%20Government/USA%20-%20NASA%20Johnson/"/>
    <hyperlink ref="C29" r:id="rId29" display="https://youtu.be/7nMlsS4-Lko"/>
    <hyperlink ref="F29" r:id="rId2" display="https://files.afu.se/Downloads/Transcripts/0%20-%20Government/USA%20-%20NASA%20Johnson/"/>
    <hyperlink ref="C30" r:id="rId30" display="https://youtu.be/7wJvq_dEl4A"/>
    <hyperlink ref="F30" r:id="rId2" display="https://files.afu.se/Downloads/Transcripts/0%20-%20Government/USA%20-%20NASA%20Johnson/"/>
    <hyperlink ref="C31" r:id="rId31" display="https://youtu.be/RcbveeLCN7Q"/>
    <hyperlink ref="F31" r:id="rId2" display="https://files.afu.se/Downloads/Transcripts/0%20-%20Government/USA%20-%20NASA%20Johnson/"/>
    <hyperlink ref="C32" r:id="rId32" display="https://youtu.be/31-TonIy88A"/>
    <hyperlink ref="F32" r:id="rId2" display="https://files.afu.se/Downloads/Transcripts/0%20-%20Government/USA%20-%20NASA%20Johnson/"/>
    <hyperlink ref="C33" r:id="rId33" display="https://youtu.be/aLIt84-vVt4"/>
    <hyperlink ref="F33" r:id="rId2" display="https://files.afu.se/Downloads/Transcripts/0%20-%20Government/USA%20-%20NASA%20Johnson/"/>
    <hyperlink ref="C34" r:id="rId34" display="https://youtu.be/_qY9GpPGIbs"/>
    <hyperlink ref="F34" r:id="rId2" display="https://files.afu.se/Downloads/Transcripts/0%20-%20Government/USA%20-%20NASA%20Johnson/"/>
    <hyperlink ref="C35" r:id="rId35" display="https://youtu.be/EbZF7wk4x-Q"/>
    <hyperlink ref="F35" r:id="rId2" display="https://files.afu.se/Downloads/Transcripts/0%20-%20Government/USA%20-%20NASA%20Johnson/"/>
    <hyperlink ref="C36" r:id="rId36" display="https://youtu.be/m3x_XD6WVwk"/>
    <hyperlink ref="F36" r:id="rId2" display="https://files.afu.se/Downloads/Transcripts/0%20-%20Government/USA%20-%20NASA%20Johnson/"/>
    <hyperlink ref="C37" r:id="rId37" display="https://youtu.be/SiE0OAFtPuw"/>
    <hyperlink ref="F37" r:id="rId2" display="https://files.afu.se/Downloads/Transcripts/0%20-%20Government/USA%20-%20NASA%20Johnson/"/>
    <hyperlink ref="C38" r:id="rId38" display="https://youtu.be/QzpQJnoG0cI"/>
    <hyperlink ref="F38" r:id="rId2" display="https://files.afu.se/Downloads/Transcripts/0%20-%20Government/USA%20-%20NASA%20Johnson/"/>
    <hyperlink ref="C39" r:id="rId39" display="https://youtu.be/tf5X4Qp2kX4"/>
    <hyperlink ref="F39" r:id="rId2" display="https://files.afu.se/Downloads/Transcripts/0%20-%20Government/USA%20-%20NASA%20Johnson/"/>
    <hyperlink ref="C40" r:id="rId40" display="https://youtu.be/eURrB55Tt_c"/>
    <hyperlink ref="F40" r:id="rId2" display="https://files.afu.se/Downloads/Transcripts/0%20-%20Government/USA%20-%20NASA%20Johnson/"/>
    <hyperlink ref="C41" r:id="rId41" display="https://youtu.be/ZE2cDHAx6fk"/>
    <hyperlink ref="F41" r:id="rId2" display="https://files.afu.se/Downloads/Transcripts/0%20-%20Government/USA%20-%20NASA%20Johnson/"/>
    <hyperlink ref="C42" r:id="rId42" display="https://youtu.be/UeD7TW7vC5c"/>
    <hyperlink ref="F42" r:id="rId2" display="https://files.afu.se/Downloads/Transcripts/0%20-%20Government/USA%20-%20NASA%20Johnson/"/>
    <hyperlink ref="C43" r:id="rId43" display="https://youtu.be/-MM2AAHcMsc"/>
    <hyperlink ref="F43" r:id="rId2" display="https://files.afu.se/Downloads/Transcripts/0%20-%20Government/USA%20-%20NASA%20Johnson/"/>
    <hyperlink ref="C44" r:id="rId44" display="https://youtu.be/dCK_DXW3hgk"/>
    <hyperlink ref="F44" r:id="rId2" display="https://files.afu.se/Downloads/Transcripts/0%20-%20Government/USA%20-%20NASA%20Johnson/"/>
    <hyperlink ref="C45" r:id="rId45" display="https://youtu.be/2WsEVnBD1C0"/>
    <hyperlink ref="F45" r:id="rId2" display="https://files.afu.se/Downloads/Transcripts/0%20-%20Government/USA%20-%20NASA%20Johnson/"/>
    <hyperlink ref="C46" r:id="rId46" display="https://youtu.be/yJ6J_--hzGs"/>
    <hyperlink ref="F46" r:id="rId2" display="https://files.afu.se/Downloads/Transcripts/0%20-%20Government/USA%20-%20NASA%20Johnson/"/>
    <hyperlink ref="C47" r:id="rId47" display="https://youtu.be/tHCMuoZNT9s"/>
    <hyperlink ref="F47" r:id="rId2" display="https://files.afu.se/Downloads/Transcripts/0%20-%20Government/USA%20-%20NASA%20Johnson/"/>
    <hyperlink ref="C48" r:id="rId48" display="https://youtu.be/q_Vzkxi49Tc"/>
    <hyperlink ref="F48" r:id="rId2" display="https://files.afu.se/Downloads/Transcripts/0%20-%20Government/USA%20-%20NASA%20Johnson/"/>
    <hyperlink ref="C49" r:id="rId49" display="https://youtu.be/P1OuYsjEUlA"/>
    <hyperlink ref="F49" r:id="rId2" display="https://files.afu.se/Downloads/Transcripts/0%20-%20Government/USA%20-%20NASA%20Johnson/"/>
    <hyperlink ref="C50" r:id="rId50" display="https://youtu.be/NjwWBJsDOMs"/>
    <hyperlink ref="F50" r:id="rId2" display="https://files.afu.se/Downloads/Transcripts/0%20-%20Government/USA%20-%20NASA%20Johnson/"/>
    <hyperlink ref="C51" r:id="rId51" display="https://youtu.be/tmyDcWE4DQg"/>
    <hyperlink ref="F51" r:id="rId2" display="https://files.afu.se/Downloads/Transcripts/0%20-%20Government/USA%20-%20NASA%20Johnson/"/>
    <hyperlink ref="C52" r:id="rId52" display="https://youtu.be/ebtTgwxAnZk"/>
    <hyperlink ref="F52" r:id="rId2" display="https://files.afu.se/Downloads/Transcripts/0%20-%20Government/USA%20-%20NASA%20Johnson/"/>
    <hyperlink ref="C53" r:id="rId53" display="https://youtu.be/58LtbqqUGWc"/>
    <hyperlink ref="F53" r:id="rId2" display="https://files.afu.se/Downloads/Transcripts/0%20-%20Government/USA%20-%20NASA%20Johnson/"/>
    <hyperlink ref="C54" r:id="rId54" display="https://youtu.be/KDBHBTi4wJQ"/>
    <hyperlink ref="F54" r:id="rId2" display="https://files.afu.se/Downloads/Transcripts/0%20-%20Government/USA%20-%20NASA%20Johnson/"/>
    <hyperlink ref="C55" r:id="rId55" display="https://youtu.be/-ZsXNCNp-GE"/>
    <hyperlink ref="F55" r:id="rId2" display="https://files.afu.se/Downloads/Transcripts/0%20-%20Government/USA%20-%20NASA%20Johnson/"/>
    <hyperlink ref="C56" r:id="rId56" display="https://youtu.be/ty-ZMomNhis"/>
    <hyperlink ref="F56" r:id="rId2" display="https://files.afu.se/Downloads/Transcripts/0%20-%20Government/USA%20-%20NASA%20Johnson/"/>
    <hyperlink ref="C57" r:id="rId57" display="https://youtu.be/Kgu3KETBGHw"/>
    <hyperlink ref="F57" r:id="rId2" display="https://files.afu.se/Downloads/Transcripts/0%20-%20Government/USA%20-%20NASA%20Johnson/"/>
    <hyperlink ref="C58" r:id="rId58" display="https://youtu.be/kZ20H8sHo9w"/>
    <hyperlink ref="F58" r:id="rId2" display="https://files.afu.se/Downloads/Transcripts/0%20-%20Government/USA%20-%20NASA%20Johnson/"/>
    <hyperlink ref="C59" r:id="rId59" display="https://youtu.be/fcc7C0FPNwc"/>
    <hyperlink ref="F59" r:id="rId2" display="https://files.afu.se/Downloads/Transcripts/0%20-%20Government/USA%20-%20NASA%20Johnson/"/>
    <hyperlink ref="C60" r:id="rId60" display="https://youtu.be/HIjS3gahze4"/>
    <hyperlink ref="F60" r:id="rId2" display="https://files.afu.se/Downloads/Transcripts/0%20-%20Government/USA%20-%20NASA%20Johnson/"/>
    <hyperlink ref="C61" r:id="rId61" display="https://youtu.be/oFNlkNwM3A0"/>
    <hyperlink ref="F61" r:id="rId2" display="https://files.afu.se/Downloads/Transcripts/0%20-%20Government/USA%20-%20NASA%20Johnson/"/>
    <hyperlink ref="C62" r:id="rId62" display="https://youtu.be/plhnzQ8NAso"/>
    <hyperlink ref="F62" r:id="rId2" display="https://files.afu.se/Downloads/Transcripts/0%20-%20Government/USA%20-%20NASA%20Johnson/"/>
    <hyperlink ref="C63" r:id="rId63" display="https://youtu.be/3V4CGKLqZkQ"/>
    <hyperlink ref="F63" r:id="rId2" display="https://files.afu.se/Downloads/Transcripts/0%20-%20Government/USA%20-%20NASA%20Johnson/"/>
    <hyperlink ref="C64" r:id="rId64" display="https://youtu.be/bgFSLWU4gs0"/>
    <hyperlink ref="F64" r:id="rId2" display="https://files.afu.se/Downloads/Transcripts/0%20-%20Government/USA%20-%20NASA%20Johnson/"/>
    <hyperlink ref="C65" r:id="rId65" display="https://youtu.be/RvJnTnJxwZk"/>
    <hyperlink ref="F65" r:id="rId2" display="https://files.afu.se/Downloads/Transcripts/0%20-%20Government/USA%20-%20NASA%20Johnson/"/>
    <hyperlink ref="C66" r:id="rId66" display="https://youtu.be/e1wKVLKeel0"/>
    <hyperlink ref="F66" r:id="rId2" display="https://files.afu.se/Downloads/Transcripts/0%20-%20Government/USA%20-%20NASA%20Johnson/"/>
    <hyperlink ref="C67" r:id="rId67" display="https://youtu.be/Srbp4gAUj4Y"/>
    <hyperlink ref="F67" r:id="rId2" display="https://files.afu.se/Downloads/Transcripts/0%20-%20Government/USA%20-%20NASA%20Johnson/"/>
    <hyperlink ref="C68" r:id="rId68" display="https://youtu.be/n0r6oQtJJ4M"/>
    <hyperlink ref="F68" r:id="rId2" display="https://files.afu.se/Downloads/Transcripts/0%20-%20Government/USA%20-%20NASA%20Johnson/"/>
    <hyperlink ref="C69" r:id="rId69" display="https://youtu.be/Bv3tUfCGkBE"/>
    <hyperlink ref="F69" r:id="rId2" display="https://files.afu.se/Downloads/Transcripts/0%20-%20Government/USA%20-%20NASA%20Johnson/"/>
    <hyperlink ref="C70" r:id="rId70" display="https://youtu.be/rKtfgtYaQ3M"/>
    <hyperlink ref="F70" r:id="rId2" display="https://files.afu.se/Downloads/Transcripts/0%20-%20Government/USA%20-%20NASA%20Johnson/"/>
    <hyperlink ref="C71" r:id="rId71" display="https://youtu.be/ERa0b7nzj-M"/>
    <hyperlink ref="F71" r:id="rId2" display="https://files.afu.se/Downloads/Transcripts/0%20-%20Government/USA%20-%20NASA%20Johnson/"/>
    <hyperlink ref="C72" r:id="rId72" display="https://youtu.be/-C_0ZzHheJk"/>
    <hyperlink ref="F72" r:id="rId2" display="https://files.afu.se/Downloads/Transcripts/0%20-%20Government/USA%20-%20NASA%20Johnson/"/>
    <hyperlink ref="C73" r:id="rId73" display="https://youtu.be/a2JKH3licUo"/>
    <hyperlink ref="F73" r:id="rId2" display="https://files.afu.se/Downloads/Transcripts/0%20-%20Government/USA%20-%20NASA%20Johnson/"/>
    <hyperlink ref="C74" r:id="rId74" display="https://youtu.be/jXLZakQWa6A"/>
    <hyperlink ref="F74" r:id="rId2" display="https://files.afu.se/Downloads/Transcripts/0%20-%20Government/USA%20-%20NASA%20Johnson/"/>
    <hyperlink ref="C75" r:id="rId75" display="https://youtu.be/ziPITyCd1yA"/>
    <hyperlink ref="F75" r:id="rId2" display="https://files.afu.se/Downloads/Transcripts/0%20-%20Government/USA%20-%20NASA%20Johnson/"/>
    <hyperlink ref="C76" r:id="rId76" display="https://youtu.be/CA3papkjb6Y"/>
    <hyperlink ref="F76" r:id="rId2" display="https://files.afu.se/Downloads/Transcripts/0%20-%20Government/USA%20-%20NASA%20Johnson/"/>
    <hyperlink ref="C77" r:id="rId77" display="https://youtu.be/PhvGz9KOq8I"/>
    <hyperlink ref="F77" r:id="rId2" display="https://files.afu.se/Downloads/Transcripts/0%20-%20Government/USA%20-%20NASA%20Johnson/"/>
    <hyperlink ref="C78" r:id="rId78" display="https://youtu.be/Dnp-yqdUGNM"/>
    <hyperlink ref="F78" r:id="rId2" display="https://files.afu.se/Downloads/Transcripts/0%20-%20Government/USA%20-%20NASA%20Johnson/"/>
    <hyperlink ref="C79" r:id="rId79" display="https://youtu.be/IC9Ejde89rQ"/>
    <hyperlink ref="F79" r:id="rId2" display="https://files.afu.se/Downloads/Transcripts/0%20-%20Government/USA%20-%20NASA%20Johnson/"/>
    <hyperlink ref="C80" r:id="rId80" display="https://youtu.be/YMQUJMuh6sU"/>
    <hyperlink ref="F80" r:id="rId2" display="https://files.afu.se/Downloads/Transcripts/0%20-%20Government/USA%20-%20NASA%20Johnson/"/>
    <hyperlink ref="C81" r:id="rId81" display="https://youtu.be/iBgs_XLv1ng"/>
    <hyperlink ref="F81" r:id="rId2" display="https://files.afu.se/Downloads/Transcripts/0%20-%20Government/USA%20-%20NASA%20Johnson/"/>
    <hyperlink ref="C82" r:id="rId82" display="https://youtu.be/LqmS_mYDnpM"/>
    <hyperlink ref="F82" r:id="rId2" display="https://files.afu.se/Downloads/Transcripts/0%20-%20Government/USA%20-%20NASA%20Johnson/"/>
    <hyperlink ref="C83" r:id="rId83" display="https://youtu.be/AeHvv4kCSk8"/>
    <hyperlink ref="F83" r:id="rId2" display="https://files.afu.se/Downloads/Transcripts/0%20-%20Government/USA%20-%20NASA%20Johnson/"/>
    <hyperlink ref="C84" r:id="rId84" display="https://youtu.be/vnCkV-vZk3I"/>
    <hyperlink ref="F84" r:id="rId2" display="https://files.afu.se/Downloads/Transcripts/0%20-%20Government/USA%20-%20NASA%20Johnson/"/>
    <hyperlink ref="C85" r:id="rId85" display="https://youtu.be/I9FLyL68It0"/>
    <hyperlink ref="F85" r:id="rId2" display="https://files.afu.se/Downloads/Transcripts/0%20-%20Government/USA%20-%20NASA%20Johnson/"/>
    <hyperlink ref="C86" r:id="rId86" display="https://youtu.be/56yo70bavDE"/>
    <hyperlink ref="F86" r:id="rId2" display="https://files.afu.se/Downloads/Transcripts/0%20-%20Government/USA%20-%20NASA%20Johnson/"/>
    <hyperlink ref="C87" r:id="rId87" display="https://youtu.be/2alomhpjEew"/>
    <hyperlink ref="F87" r:id="rId2" display="https://files.afu.se/Downloads/Transcripts/0%20-%20Government/USA%20-%20NASA%20Johnson/"/>
    <hyperlink ref="C88" r:id="rId88" display="https://youtu.be/OPQOGS8XRnU"/>
    <hyperlink ref="F88" r:id="rId2" display="https://files.afu.se/Downloads/Transcripts/0%20-%20Government/USA%20-%20NASA%20Johnson/"/>
    <hyperlink ref="C89" r:id="rId89" display="https://youtu.be/X7G0BKKB12E"/>
    <hyperlink ref="F89" r:id="rId2" display="https://files.afu.se/Downloads/Transcripts/0%20-%20Government/USA%20-%20NASA%20Johnson/"/>
    <hyperlink ref="C90" r:id="rId90" display="https://youtu.be/0vU9x0QK-7s"/>
    <hyperlink ref="F90" r:id="rId2" display="https://files.afu.se/Downloads/Transcripts/0%20-%20Government/USA%20-%20NASA%20Johnson/"/>
    <hyperlink ref="C91" r:id="rId91" display="https://youtu.be/M4g8Cq01XbE"/>
    <hyperlink ref="F91" r:id="rId2" display="https://files.afu.se/Downloads/Transcripts/0%20-%20Government/USA%20-%20NASA%20Johnson/"/>
    <hyperlink ref="C92" r:id="rId92" display="https://youtu.be/Etq7LodNJnM"/>
    <hyperlink ref="F92" r:id="rId2" display="https://files.afu.se/Downloads/Transcripts/0%20-%20Government/USA%20-%20NASA%20Johnson/"/>
    <hyperlink ref="C93" r:id="rId93" display="https://youtu.be/mHzK41IHwr4"/>
    <hyperlink ref="F93" r:id="rId2" display="https://files.afu.se/Downloads/Transcripts/0%20-%20Government/USA%20-%20NASA%20Johnson/"/>
    <hyperlink ref="C94" r:id="rId94" display="https://youtu.be/qLYIAWlsG7U"/>
    <hyperlink ref="F94" r:id="rId2" display="https://files.afu.se/Downloads/Transcripts/0%20-%20Government/USA%20-%20NASA%20Johnson/"/>
    <hyperlink ref="C95" r:id="rId95" display="https://youtu.be/00jNOM1YbIg"/>
    <hyperlink ref="F95" r:id="rId2" display="https://files.afu.se/Downloads/Transcripts/0%20-%20Government/USA%20-%20NASA%20Johnson/"/>
    <hyperlink ref="C96" r:id="rId96" display="https://youtu.be/7lnGeGucACo"/>
    <hyperlink ref="F96" r:id="rId2" display="https://files.afu.se/Downloads/Transcripts/0%20-%20Government/USA%20-%20NASA%20Johnson/"/>
    <hyperlink ref="C97" r:id="rId97" display="https://youtu.be/Qk27MINlDhw"/>
    <hyperlink ref="F97" r:id="rId2" display="https://files.afu.se/Downloads/Transcripts/0%20-%20Government/USA%20-%20NASA%20Johnson/"/>
    <hyperlink ref="C98" r:id="rId98" display="https://youtu.be/y81sbuvUTaQ"/>
    <hyperlink ref="F98" r:id="rId2" display="https://files.afu.se/Downloads/Transcripts/0%20-%20Government/USA%20-%20NASA%20Johnson/"/>
    <hyperlink ref="C99" r:id="rId99" display="https://youtu.be/rae5VG_ivao"/>
    <hyperlink ref="F99" r:id="rId2" display="https://files.afu.se/Downloads/Transcripts/0%20-%20Government/USA%20-%20NASA%20Johnson/"/>
    <hyperlink ref="C100" r:id="rId100" display="https://youtu.be/nrclYTzoARA"/>
    <hyperlink ref="F100" r:id="rId2" display="https://files.afu.se/Downloads/Transcripts/0%20-%20Government/USA%20-%20NASA%20Johnson/"/>
    <hyperlink ref="C101" r:id="rId101" display="https://youtu.be/st1zPqUPbzU"/>
    <hyperlink ref="F101" r:id="rId2" display="https://files.afu.se/Downloads/Transcripts/0%20-%20Government/USA%20-%20NASA%20Johnson/"/>
    <hyperlink ref="C102" r:id="rId102" display="https://youtu.be/JBHB7Mrvuhg"/>
    <hyperlink ref="F102" r:id="rId2" display="https://files.afu.se/Downloads/Transcripts/0%20-%20Government/USA%20-%20NASA%20Johnson/"/>
    <hyperlink ref="C103" r:id="rId103" display="https://youtu.be/OTbm3nAD3eY"/>
    <hyperlink ref="F103" r:id="rId2" display="https://files.afu.se/Downloads/Transcripts/0%20-%20Government/USA%20-%20NASA%20Johnson/"/>
    <hyperlink ref="C104" r:id="rId104" display="https://youtu.be/tRtiw8Tz-Lk"/>
    <hyperlink ref="F104" r:id="rId2" display="https://files.afu.se/Downloads/Transcripts/0%20-%20Government/USA%20-%20NASA%20Johnson/"/>
    <hyperlink ref="C105" r:id="rId105" display="https://youtu.be/yQNEKTOL_oA"/>
    <hyperlink ref="F105" r:id="rId2" display="https://files.afu.se/Downloads/Transcripts/0%20-%20Government/USA%20-%20NASA%20Johnson/"/>
    <hyperlink ref="C106" r:id="rId106" display="https://youtu.be/uL36x4n5wLQ"/>
    <hyperlink ref="F106" r:id="rId2" display="https://files.afu.se/Downloads/Transcripts/0%20-%20Government/USA%20-%20NASA%20Johnson/"/>
    <hyperlink ref="C107" r:id="rId107" display="https://youtu.be/W-N4U30kSoY"/>
    <hyperlink ref="F107" r:id="rId2" display="https://files.afu.se/Downloads/Transcripts/0%20-%20Government/USA%20-%20NASA%20Johnson/"/>
    <hyperlink ref="C108" r:id="rId108" display="https://youtu.be/7vPGdmQR944"/>
    <hyperlink ref="F108" r:id="rId2" display="https://files.afu.se/Downloads/Transcripts/0%20-%20Government/USA%20-%20NASA%20Johnson/"/>
    <hyperlink ref="C109" r:id="rId109" display="https://youtu.be/Pme6SrG_-ZA"/>
    <hyperlink ref="F109" r:id="rId2" display="https://files.afu.se/Downloads/Transcripts/0%20-%20Government/USA%20-%20NASA%20Johnson/"/>
    <hyperlink ref="C110" r:id="rId110" display="https://youtu.be/o5DpMYDJ22o"/>
    <hyperlink ref="F110" r:id="rId2" display="https://files.afu.se/Downloads/Transcripts/0%20-%20Government/USA%20-%20NASA%20Johnson/"/>
    <hyperlink ref="C111" r:id="rId111" display="https://youtu.be/IomdsbwYPrI"/>
    <hyperlink ref="F111" r:id="rId2" display="https://files.afu.se/Downloads/Transcripts/0%20-%20Government/USA%20-%20NASA%20Johnson/"/>
    <hyperlink ref="C112" r:id="rId112" display="https://youtu.be/P0qzVV6r3sE"/>
    <hyperlink ref="F112" r:id="rId2" display="https://files.afu.se/Downloads/Transcripts/0%20-%20Government/USA%20-%20NASA%20Johnson/"/>
    <hyperlink ref="C113" r:id="rId113" display="https://youtu.be/yMqMREkFfXA"/>
    <hyperlink ref="F113" r:id="rId2" display="https://files.afu.se/Downloads/Transcripts/0%20-%20Government/USA%20-%20NASA%20Johnson/"/>
    <hyperlink ref="C114" r:id="rId114" display="https://youtu.be/f3QEex_8LZQ"/>
    <hyperlink ref="F114" r:id="rId2" display="https://files.afu.se/Downloads/Transcripts/0%20-%20Government/USA%20-%20NASA%20Johnson/"/>
    <hyperlink ref="C115" r:id="rId115" display="https://youtu.be/cLRaP4SVvCc"/>
    <hyperlink ref="F115" r:id="rId2" display="https://files.afu.se/Downloads/Transcripts/0%20-%20Government/USA%20-%20NASA%20Johnson/"/>
    <hyperlink ref="C116" r:id="rId116" display="https://youtu.be/HUkP9E5-5ds"/>
    <hyperlink ref="F116" r:id="rId2" display="https://files.afu.se/Downloads/Transcripts/0%20-%20Government/USA%20-%20NASA%20Johnson/"/>
    <hyperlink ref="C117" r:id="rId117" display="https://youtu.be/1TPn-lFIYE4"/>
    <hyperlink ref="F117" r:id="rId2" display="https://files.afu.se/Downloads/Transcripts/0%20-%20Government/USA%20-%20NASA%20Johnson/"/>
    <hyperlink ref="C118" r:id="rId118" display="https://youtu.be/mscfcvlkbDk"/>
    <hyperlink ref="F118" r:id="rId2" display="https://files.afu.se/Downloads/Transcripts/0%20-%20Government/USA%20-%20NASA%20Johnson/"/>
    <hyperlink ref="C119" r:id="rId119" display="https://youtu.be/G_FYCymbO4w"/>
    <hyperlink ref="F119" r:id="rId2" display="https://files.afu.se/Downloads/Transcripts/0%20-%20Government/USA%20-%20NASA%20Johnson/"/>
    <hyperlink ref="C120" r:id="rId120" display="https://youtu.be/8U2BPtYyvW8"/>
    <hyperlink ref="F120" r:id="rId2" display="https://files.afu.se/Downloads/Transcripts/0%20-%20Government/USA%20-%20NASA%20Johnson/"/>
    <hyperlink ref="C121" r:id="rId121" display="https://youtu.be/mtmsHpo-H9Q"/>
    <hyperlink ref="F121" r:id="rId2" display="https://files.afu.se/Downloads/Transcripts/0%20-%20Government/USA%20-%20NASA%20Johnson/"/>
    <hyperlink ref="C122" r:id="rId122" display="https://youtu.be/DzqFaQ8rZDE"/>
    <hyperlink ref="F122" r:id="rId2" display="https://files.afu.se/Downloads/Transcripts/0%20-%20Government/USA%20-%20NASA%20Johnson/"/>
    <hyperlink ref="C123" r:id="rId123" display="https://youtu.be/OuiMC5oTY7A"/>
    <hyperlink ref="F123" r:id="rId2" display="https://files.afu.se/Downloads/Transcripts/0%20-%20Government/USA%20-%20NASA%20Johnson/"/>
    <hyperlink ref="C124" r:id="rId124" display="https://youtu.be/Or7ZiVvj2cE"/>
    <hyperlink ref="F124" r:id="rId2" display="https://files.afu.se/Downloads/Transcripts/0%20-%20Government/USA%20-%20NASA%20Johnson/"/>
    <hyperlink ref="C125" r:id="rId125" display="https://youtu.be/_2SvDVkZDhU"/>
    <hyperlink ref="F125" r:id="rId2" display="https://files.afu.se/Downloads/Transcripts/0%20-%20Government/USA%20-%20NASA%20Johnson/"/>
    <hyperlink ref="C126" r:id="rId126" display="https://youtu.be/Ah-jnpya4-s"/>
    <hyperlink ref="F126" r:id="rId2" display="https://files.afu.se/Downloads/Transcripts/0%20-%20Government/USA%20-%20NASA%20Johnson/"/>
    <hyperlink ref="C127" r:id="rId127" display="https://youtu.be/qxRwx6klbeg"/>
    <hyperlink ref="F127" r:id="rId2" display="https://files.afu.se/Downloads/Transcripts/0%20-%20Government/USA%20-%20NASA%20Johnson/"/>
    <hyperlink ref="C128" r:id="rId128" display="https://youtu.be/t0XhcsWoAPM"/>
    <hyperlink ref="F128" r:id="rId2" display="https://files.afu.se/Downloads/Transcripts/0%20-%20Government/USA%20-%20NASA%20Johnson/"/>
    <hyperlink ref="C129" r:id="rId129" display="https://youtu.be/EZxmX_E2zs8"/>
    <hyperlink ref="F129" r:id="rId2" display="https://files.afu.se/Downloads/Transcripts/0%20-%20Government/USA%20-%20NASA%20Johnson/"/>
    <hyperlink ref="C130" r:id="rId130" display="https://youtu.be/Mn6GRKISsoE"/>
    <hyperlink ref="F130" r:id="rId2" display="https://files.afu.se/Downloads/Transcripts/0%20-%20Government/USA%20-%20NASA%20Johnson/"/>
    <hyperlink ref="C131" r:id="rId131" display="https://youtu.be/Bqjoq-Jfb2c"/>
    <hyperlink ref="F131" r:id="rId2" display="https://files.afu.se/Downloads/Transcripts/0%20-%20Government/USA%20-%20NASA%20Johnson/"/>
    <hyperlink ref="C132" r:id="rId132" display="https://youtu.be/xasnaNpgq04"/>
    <hyperlink ref="F132" r:id="rId2" display="https://files.afu.se/Downloads/Transcripts/0%20-%20Government/USA%20-%20NASA%20Johnson/"/>
    <hyperlink ref="C133" r:id="rId133" display="https://youtu.be/WDVubcoZCP4"/>
    <hyperlink ref="F133" r:id="rId2" display="https://files.afu.se/Downloads/Transcripts/0%20-%20Government/USA%20-%20NASA%20Johnson/"/>
    <hyperlink ref="C134" r:id="rId134" display="https://youtu.be/7Yaiw9ISxG0"/>
    <hyperlink ref="F134" r:id="rId2" display="https://files.afu.se/Downloads/Transcripts/0%20-%20Government/USA%20-%20NASA%20Johnson/"/>
    <hyperlink ref="C135" r:id="rId135" display="https://youtu.be/2PADmY5Gq04"/>
    <hyperlink ref="F135" r:id="rId2" display="https://files.afu.se/Downloads/Transcripts/0%20-%20Government/USA%20-%20NASA%20Johnson/"/>
    <hyperlink ref="C136" r:id="rId136" display="https://youtu.be/Z_ndJHT4qOw"/>
    <hyperlink ref="F136" r:id="rId2" display="https://files.afu.se/Downloads/Transcripts/0%20-%20Government/USA%20-%20NASA%20Johnson/"/>
    <hyperlink ref="C137" r:id="rId137" display="https://youtu.be/xQ7wCF582cg"/>
    <hyperlink ref="F137" r:id="rId2" display="https://files.afu.se/Downloads/Transcripts/0%20-%20Government/USA%20-%20NASA%20Johnson/"/>
    <hyperlink ref="C138" r:id="rId138" display="https://youtu.be/6M05OWIVg4c"/>
    <hyperlink ref="F138" r:id="rId2" display="https://files.afu.se/Downloads/Transcripts/0%20-%20Government/USA%20-%20NASA%20Johnson/"/>
    <hyperlink ref="C139" r:id="rId139" display="https://youtu.be/TImANes5Bzk"/>
    <hyperlink ref="F139" r:id="rId2" display="https://files.afu.se/Downloads/Transcripts/0%20-%20Government/USA%20-%20NASA%20Johnson/"/>
    <hyperlink ref="C140" r:id="rId140" display="https://youtu.be/S2Zt190EaNk"/>
    <hyperlink ref="F140" r:id="rId2" display="https://files.afu.se/Downloads/Transcripts/0%20-%20Government/USA%20-%20NASA%20Johnson/"/>
    <hyperlink ref="C141" r:id="rId141" display="https://youtu.be/DHP5CTsDk-s"/>
    <hyperlink ref="F141" r:id="rId2" display="https://files.afu.se/Downloads/Transcripts/0%20-%20Government/USA%20-%20NASA%20Johnson/"/>
    <hyperlink ref="C142" r:id="rId142" display="https://youtu.be/IJoSZPh6lqI"/>
    <hyperlink ref="F142" r:id="rId2" display="https://files.afu.se/Downloads/Transcripts/0%20-%20Government/USA%20-%20NASA%20Johnson/"/>
    <hyperlink ref="C143" r:id="rId143" display="https://youtu.be/4A-Q8r3o3cI"/>
    <hyperlink ref="F143" r:id="rId2" display="https://files.afu.se/Downloads/Transcripts/0%20-%20Government/USA%20-%20NASA%20Johnson/"/>
    <hyperlink ref="C144" r:id="rId144" display="https://youtu.be/12bDSD9RWgg"/>
    <hyperlink ref="F144" r:id="rId2" display="https://files.afu.se/Downloads/Transcripts/0%20-%20Government/USA%20-%20NASA%20Johnson/"/>
    <hyperlink ref="C145" r:id="rId145" display="https://youtu.be/fOOCcGQgFNs"/>
    <hyperlink ref="F145" r:id="rId2" display="https://files.afu.se/Downloads/Transcripts/0%20-%20Government/USA%20-%20NASA%20Johnson/"/>
    <hyperlink ref="C146" r:id="rId146" display="https://youtu.be/QzmshRevDAc"/>
    <hyperlink ref="F146" r:id="rId2" display="https://files.afu.se/Downloads/Transcripts/0%20-%20Government/USA%20-%20NASA%20Johnson/"/>
    <hyperlink ref="C147" r:id="rId147" display="https://youtu.be/R43t3c4YyMM"/>
    <hyperlink ref="F147" r:id="rId2" display="https://files.afu.se/Downloads/Transcripts/0%20-%20Government/USA%20-%20NASA%20Johnson/"/>
    <hyperlink ref="C148" r:id="rId148" display="https://youtu.be/FMz1xiGlKyI"/>
    <hyperlink ref="F148" r:id="rId2" display="https://files.afu.se/Downloads/Transcripts/0%20-%20Government/USA%20-%20NASA%20Johnson/"/>
    <hyperlink ref="C149" r:id="rId149" display="https://youtu.be/QHDQvkSoZrs"/>
    <hyperlink ref="F149" r:id="rId2" display="https://files.afu.se/Downloads/Transcripts/0%20-%20Government/USA%20-%20NASA%20Johnson/"/>
    <hyperlink ref="C150" r:id="rId150" display="https://youtu.be/Enfjq-fYz_4"/>
    <hyperlink ref="F150" r:id="rId2" display="https://files.afu.se/Downloads/Transcripts/0%20-%20Government/USA%20-%20NASA%20Johnson/"/>
    <hyperlink ref="C151" r:id="rId151" display="https://youtu.be/kpELc3a_ljg"/>
    <hyperlink ref="F151" r:id="rId2" display="https://files.afu.se/Downloads/Transcripts/0%20-%20Government/USA%20-%20NASA%20Johnson/"/>
    <hyperlink ref="C152" r:id="rId152" display="https://youtu.be/zj0fj7L81pQ"/>
    <hyperlink ref="F152" r:id="rId2" display="https://files.afu.se/Downloads/Transcripts/0%20-%20Government/USA%20-%20NASA%20Johnson/"/>
    <hyperlink ref="C153" r:id="rId153" display="https://youtu.be/9IiWyrPygfA"/>
    <hyperlink ref="F153" r:id="rId2" display="https://files.afu.se/Downloads/Transcripts/0%20-%20Government/USA%20-%20NASA%20Johnson/"/>
    <hyperlink ref="C154" r:id="rId154" display="https://youtu.be/AwUvh9sluOA"/>
    <hyperlink ref="F154" r:id="rId2" display="https://files.afu.se/Downloads/Transcripts/0%20-%20Government/USA%20-%20NASA%20Johnson/"/>
    <hyperlink ref="C155" r:id="rId155" display="https://youtu.be/8M4KrYptqcM"/>
    <hyperlink ref="F155" r:id="rId2" display="https://files.afu.se/Downloads/Transcripts/0%20-%20Government/USA%20-%20NASA%20Johnson/"/>
    <hyperlink ref="C156" r:id="rId156" display="https://youtu.be/V7MbVLYYKTA"/>
    <hyperlink ref="F156" r:id="rId2" display="https://files.afu.se/Downloads/Transcripts/0%20-%20Government/USA%20-%20NASA%20Johnson/"/>
    <hyperlink ref="C157" r:id="rId157" display="https://youtu.be/C2jbAjcMLxE"/>
    <hyperlink ref="F157" r:id="rId2" display="https://files.afu.se/Downloads/Transcripts/0%20-%20Government/USA%20-%20NASA%20Johnson/"/>
    <hyperlink ref="C158" r:id="rId158" display="https://youtu.be/z3DqAxELz0g"/>
    <hyperlink ref="F158" r:id="rId2" display="https://files.afu.se/Downloads/Transcripts/0%20-%20Government/USA%20-%20NASA%20Johnson/"/>
    <hyperlink ref="C159" r:id="rId159" display="https://youtu.be/6OiQGPe4Jy4"/>
    <hyperlink ref="F159" r:id="rId2" display="https://files.afu.se/Downloads/Transcripts/0%20-%20Government/USA%20-%20NASA%20Johnson/"/>
    <hyperlink ref="C160" r:id="rId160" display="https://youtu.be/CrvvmLAi31w"/>
    <hyperlink ref="F160" r:id="rId2" display="https://files.afu.se/Downloads/Transcripts/0%20-%20Government/USA%20-%20NASA%20Johnson/"/>
    <hyperlink ref="C161" r:id="rId161" display="https://youtu.be/u3IDh4LSGAM"/>
    <hyperlink ref="F161" r:id="rId2" display="https://files.afu.se/Downloads/Transcripts/0%20-%20Government/USA%20-%20NASA%20Johnson/"/>
    <hyperlink ref="C162" r:id="rId162" display="https://youtu.be/XUis8QWRexw"/>
    <hyperlink ref="F162" r:id="rId2" display="https://files.afu.se/Downloads/Transcripts/0%20-%20Government/USA%20-%20NASA%20Johnson/"/>
    <hyperlink ref="C163" r:id="rId163" display="https://youtu.be/2qY9i7P06vs"/>
    <hyperlink ref="F163" r:id="rId2" display="https://files.afu.se/Downloads/Transcripts/0%20-%20Government/USA%20-%20NASA%20Johnson/"/>
    <hyperlink ref="C164" r:id="rId164" display="https://youtu.be/6dBq_Xa7tPQ"/>
    <hyperlink ref="F164" r:id="rId2" display="https://files.afu.se/Downloads/Transcripts/0%20-%20Government/USA%20-%20NASA%20Johnson/"/>
    <hyperlink ref="C165" r:id="rId165" display="https://youtu.be/idYLk-ggv9Y"/>
    <hyperlink ref="F165" r:id="rId2" display="https://files.afu.se/Downloads/Transcripts/0%20-%20Government/USA%20-%20NASA%20Johnson/"/>
    <hyperlink ref="C166" r:id="rId166" display="https://youtu.be/eh5yIeIfauQ"/>
    <hyperlink ref="F166" r:id="rId2" display="https://files.afu.se/Downloads/Transcripts/0%20-%20Government/USA%20-%20NASA%20Johnson/"/>
    <hyperlink ref="C167" r:id="rId167" display="https://youtu.be/9Ar0y6tIx74"/>
    <hyperlink ref="F167" r:id="rId2" display="https://files.afu.se/Downloads/Transcripts/0%20-%20Government/USA%20-%20NASA%20Johnson/"/>
    <hyperlink ref="C168" r:id="rId168" display="https://youtu.be/Q0CQoqZM4cU"/>
    <hyperlink ref="F168" r:id="rId2" display="https://files.afu.se/Downloads/Transcripts/0%20-%20Government/USA%20-%20NASA%20Johnson/"/>
    <hyperlink ref="C169" r:id="rId169" display="https://youtu.be/Y9z42yYuexM"/>
    <hyperlink ref="F169" r:id="rId2" display="https://files.afu.se/Downloads/Transcripts/0%20-%20Government/USA%20-%20NASA%20Johnson/"/>
    <hyperlink ref="C170" r:id="rId170" display="https://youtu.be/WoJEWoBEfQs"/>
    <hyperlink ref="F170" r:id="rId2" display="https://files.afu.se/Downloads/Transcripts/0%20-%20Government/USA%20-%20NASA%20Johnson/"/>
    <hyperlink ref="C171" r:id="rId171" display="https://youtu.be/kwl9qAfGHwU"/>
    <hyperlink ref="F171" r:id="rId2" display="https://files.afu.se/Downloads/Transcripts/0%20-%20Government/USA%20-%20NASA%20Johnson/"/>
    <hyperlink ref="C172" r:id="rId172" display="https://youtu.be/FdpK1gdkC-U"/>
    <hyperlink ref="F172" r:id="rId2" display="https://files.afu.se/Downloads/Transcripts/0%20-%20Government/USA%20-%20NASA%20Johnson/"/>
    <hyperlink ref="C173" r:id="rId173" display="https://youtu.be/dQLFYgCEVJA"/>
    <hyperlink ref="F173" r:id="rId2" display="https://files.afu.se/Downloads/Transcripts/0%20-%20Government/USA%20-%20NASA%20Johnson/"/>
    <hyperlink ref="C174" r:id="rId174" display="https://youtu.be/svXtXWC-XIo"/>
    <hyperlink ref="F174" r:id="rId2" display="https://files.afu.se/Downloads/Transcripts/0%20-%20Government/USA%20-%20NASA%20Johnson/"/>
    <hyperlink ref="C175" r:id="rId175" display="https://youtu.be/QoXhSsFrOhM"/>
    <hyperlink ref="F175" r:id="rId2" display="https://files.afu.se/Downloads/Transcripts/0%20-%20Government/USA%20-%20NASA%20Johnson/"/>
    <hyperlink ref="C176" r:id="rId176" display="https://youtu.be/6kTRp-HFFdk"/>
    <hyperlink ref="F176" r:id="rId2" display="https://files.afu.se/Downloads/Transcripts/0%20-%20Government/USA%20-%20NASA%20Johnson/"/>
    <hyperlink ref="C177" r:id="rId177" display="https://youtu.be/R5R9XUGMnxw"/>
    <hyperlink ref="F177" r:id="rId2" display="https://files.afu.se/Downloads/Transcripts/0%20-%20Government/USA%20-%20NASA%20Johnson/"/>
    <hyperlink ref="C178" r:id="rId178" display="https://youtu.be/OCly6CbZD08"/>
    <hyperlink ref="F178" r:id="rId2" display="https://files.afu.se/Downloads/Transcripts/0%20-%20Government/USA%20-%20NASA%20Johnson/"/>
    <hyperlink ref="C179" r:id="rId179" display="https://youtu.be/tsFyTDnQKB0"/>
    <hyperlink ref="F179" r:id="rId2" display="https://files.afu.se/Downloads/Transcripts/0%20-%20Government/USA%20-%20NASA%20Johnson/"/>
    <hyperlink ref="C180" r:id="rId180" display="https://youtu.be/bT0FNOeVaxk"/>
    <hyperlink ref="F180" r:id="rId2" display="https://files.afu.se/Downloads/Transcripts/0%20-%20Government/USA%20-%20NASA%20Johnson/"/>
    <hyperlink ref="C181" r:id="rId181" display="https://youtu.be/YfejrE6-np8"/>
    <hyperlink ref="F181" r:id="rId2" display="https://files.afu.se/Downloads/Transcripts/0%20-%20Government/USA%20-%20NASA%20Johnson/"/>
    <hyperlink ref="C182" r:id="rId182" display="https://youtu.be/RWCTRPkdZEw"/>
    <hyperlink ref="F182" r:id="rId2" display="https://files.afu.se/Downloads/Transcripts/0%20-%20Government/USA%20-%20NASA%20Johnson/"/>
    <hyperlink ref="C183" r:id="rId183" display="https://youtu.be/GsFA1H1SF_U"/>
    <hyperlink ref="F183" r:id="rId2" display="https://files.afu.se/Downloads/Transcripts/0%20-%20Government/USA%20-%20NASA%20Johnson/"/>
    <hyperlink ref="C184" r:id="rId184" display="https://youtu.be/wENl1nQbAnE"/>
    <hyperlink ref="F184" r:id="rId2" display="https://files.afu.se/Downloads/Transcripts/0%20-%20Government/USA%20-%20NASA%20Johnson/"/>
    <hyperlink ref="C185" r:id="rId185" display="https://youtu.be/TV45KMXbCNw"/>
    <hyperlink ref="F185" r:id="rId2" display="https://files.afu.se/Downloads/Transcripts/0%20-%20Government/USA%20-%20NASA%20Johnson/"/>
    <hyperlink ref="C186" r:id="rId186" display="https://youtu.be/b0CFG9WGDLs"/>
    <hyperlink ref="F186" r:id="rId2" display="https://files.afu.se/Downloads/Transcripts/0%20-%20Government/USA%20-%20NASA%20Johnson/"/>
    <hyperlink ref="C187" r:id="rId187" display="https://youtu.be/kRPyou5O4IM"/>
    <hyperlink ref="F187" r:id="rId2" display="https://files.afu.se/Downloads/Transcripts/0%20-%20Government/USA%20-%20NASA%20Johnson/"/>
    <hyperlink ref="C188" r:id="rId188" display="https://youtu.be/i7eBzmux0A8"/>
    <hyperlink ref="F188" r:id="rId2" display="https://files.afu.se/Downloads/Transcripts/0%20-%20Government/USA%20-%20NASA%20Johnson/"/>
    <hyperlink ref="C189" r:id="rId189" display="https://youtu.be/t2sNjgehz2Q"/>
    <hyperlink ref="F189" r:id="rId2" display="https://files.afu.se/Downloads/Transcripts/0%20-%20Government/USA%20-%20NASA%20Johnson/"/>
    <hyperlink ref="C190" r:id="rId190" display="https://youtu.be/LnBSCWhlnnU"/>
    <hyperlink ref="F190" r:id="rId2" display="https://files.afu.se/Downloads/Transcripts/0%20-%20Government/USA%20-%20NASA%20Johnson/"/>
    <hyperlink ref="C191" r:id="rId191" display="https://youtu.be/HM9441PtuCU"/>
    <hyperlink ref="F191" r:id="rId2" display="https://files.afu.se/Downloads/Transcripts/0%20-%20Government/USA%20-%20NASA%20Johnson/"/>
    <hyperlink ref="C192" r:id="rId192" display="https://youtu.be/ydEeVG5s9oo"/>
    <hyperlink ref="F192" r:id="rId2" display="https://files.afu.se/Downloads/Transcripts/0%20-%20Government/USA%20-%20NASA%20Johnson/"/>
    <hyperlink ref="C193" r:id="rId193" display="https://youtu.be/42S-xwWmMi0"/>
    <hyperlink ref="F193" r:id="rId2" display="https://files.afu.se/Downloads/Transcripts/0%20-%20Government/USA%20-%20NASA%20Johnson/"/>
    <hyperlink ref="C194" r:id="rId194" display="https://youtu.be/6hJuGIrncbo"/>
    <hyperlink ref="F194" r:id="rId2" display="https://files.afu.se/Downloads/Transcripts/0%20-%20Government/USA%20-%20NASA%20Johnson/"/>
    <hyperlink ref="C195" r:id="rId195" display="https://youtu.be/g2HdS3y1eQg"/>
    <hyperlink ref="F195" r:id="rId2" display="https://files.afu.se/Downloads/Transcripts/0%20-%20Government/USA%20-%20NASA%20Johnson/"/>
    <hyperlink ref="C196" r:id="rId196" display="https://youtu.be/wIHZ_Vc75Hw"/>
    <hyperlink ref="F196" r:id="rId2" display="https://files.afu.se/Downloads/Transcripts/0%20-%20Government/USA%20-%20NASA%20Johnson/"/>
    <hyperlink ref="C197" r:id="rId197" display="https://youtu.be/9K66Nb8Jw9Q"/>
    <hyperlink ref="F197" r:id="rId2" display="https://files.afu.se/Downloads/Transcripts/0%20-%20Government/USA%20-%20NASA%20Johnson/"/>
    <hyperlink ref="C198" r:id="rId198" display="https://youtu.be/fo7DWYb0WkM"/>
    <hyperlink ref="F198" r:id="rId2" display="https://files.afu.se/Downloads/Transcripts/0%20-%20Government/USA%20-%20NASA%20Johnson/"/>
    <hyperlink ref="C199" r:id="rId199" display="https://youtu.be/aKtJBGgcPzY"/>
    <hyperlink ref="F199" r:id="rId2" display="https://files.afu.se/Downloads/Transcripts/0%20-%20Government/USA%20-%20NASA%20Johnson/"/>
    <hyperlink ref="C200" r:id="rId200" display="https://youtu.be/CTQHomj68lg"/>
    <hyperlink ref="F200" r:id="rId2" display="https://files.afu.se/Downloads/Transcripts/0%20-%20Government/USA%20-%20NASA%20Johnson/"/>
    <hyperlink ref="C201" r:id="rId201" display="https://youtu.be/4N3XUaXVpT8"/>
    <hyperlink ref="F201" r:id="rId2" display="https://files.afu.se/Downloads/Transcripts/0%20-%20Government/USA%20-%20NASA%20Johnson/"/>
    <hyperlink ref="C202" r:id="rId202" display="https://youtu.be/luV3ktEoi7c"/>
    <hyperlink ref="F202" r:id="rId2" display="https://files.afu.se/Downloads/Transcripts/0%20-%20Government/USA%20-%20NASA%20Johnson/"/>
    <hyperlink ref="C203" r:id="rId203" display="https://youtu.be/xN_XQ9lCZzg"/>
    <hyperlink ref="F203" r:id="rId2" display="https://files.afu.se/Downloads/Transcripts/0%20-%20Government/USA%20-%20NASA%20Johnson/"/>
    <hyperlink ref="C204" r:id="rId204" display="https://youtu.be/6J2tTm2pi2Y"/>
    <hyperlink ref="F204" r:id="rId2" display="https://files.afu.se/Downloads/Transcripts/0%20-%20Government/USA%20-%20NASA%20Johnson/"/>
    <hyperlink ref="C205" r:id="rId205" display="https://youtu.be/I4EoDfYbAkc"/>
    <hyperlink ref="F205" r:id="rId2" display="https://files.afu.se/Downloads/Transcripts/0%20-%20Government/USA%20-%20NASA%20Johnson/"/>
    <hyperlink ref="C206" r:id="rId206" display="https://youtu.be/LvPqAxt_0gU"/>
    <hyperlink ref="F206" r:id="rId2" display="https://files.afu.se/Downloads/Transcripts/0%20-%20Government/USA%20-%20NASA%20Johnson/"/>
    <hyperlink ref="C207" r:id="rId207" display="https://youtu.be/4tcENPqcnF4"/>
    <hyperlink ref="F207" r:id="rId2" display="https://files.afu.se/Downloads/Transcripts/0%20-%20Government/USA%20-%20NASA%20Johnson/"/>
    <hyperlink ref="C208" r:id="rId208" display="https://youtu.be/URigIZUVIpo"/>
    <hyperlink ref="F208" r:id="rId2" display="https://files.afu.se/Downloads/Transcripts/0%20-%20Government/USA%20-%20NASA%20Johnson/"/>
    <hyperlink ref="C209" r:id="rId209" display="https://youtu.be/JdnD0vOCYEM"/>
    <hyperlink ref="F209" r:id="rId2" display="https://files.afu.se/Downloads/Transcripts/0%20-%20Government/USA%20-%20NASA%20Johnson/"/>
    <hyperlink ref="C210" r:id="rId210" display="https://youtu.be/_SNCetZitZE"/>
    <hyperlink ref="F210" r:id="rId2" display="https://files.afu.se/Downloads/Transcripts/0%20-%20Government/USA%20-%20NASA%20Johnson/"/>
    <hyperlink ref="C211" r:id="rId211" display="https://youtu.be/u1I4twX4ao4"/>
    <hyperlink ref="F211" r:id="rId2" display="https://files.afu.se/Downloads/Transcripts/0%20-%20Government/USA%20-%20NASA%20Johnson/"/>
    <hyperlink ref="C212" r:id="rId212" display="https://youtu.be/6m5G6YlTiHE"/>
    <hyperlink ref="F212" r:id="rId2" display="https://files.afu.se/Downloads/Transcripts/0%20-%20Government/USA%20-%20NASA%20Johnson/"/>
    <hyperlink ref="C213" r:id="rId213" display="https://youtu.be/-QgOp1wV2w8"/>
    <hyperlink ref="F213" r:id="rId2" display="https://files.afu.se/Downloads/Transcripts/0%20-%20Government/USA%20-%20NASA%20Johnson/"/>
    <hyperlink ref="C214" r:id="rId214" display="https://youtu.be/-A66yWWGkQk"/>
    <hyperlink ref="F214" r:id="rId2" display="https://files.afu.se/Downloads/Transcripts/0%20-%20Government/USA%20-%20NASA%20Johnson/"/>
    <hyperlink ref="C215" r:id="rId215" display="https://youtu.be/vsAAOuF2670"/>
    <hyperlink ref="F215" r:id="rId2" display="https://files.afu.se/Downloads/Transcripts/0%20-%20Government/USA%20-%20NASA%20Johnson/"/>
    <hyperlink ref="C216" r:id="rId216" display="https://youtu.be/YC6R9rY7WpI"/>
    <hyperlink ref="F216" r:id="rId2" display="https://files.afu.se/Downloads/Transcripts/0%20-%20Government/USA%20-%20NASA%20Johnson/"/>
    <hyperlink ref="C217" r:id="rId217" display="https://youtu.be/VbmYaxQ-NMw"/>
    <hyperlink ref="F217" r:id="rId2" display="https://files.afu.se/Downloads/Transcripts/0%20-%20Government/USA%20-%20NASA%20Johnson/"/>
    <hyperlink ref="C218" r:id="rId218" display="https://youtu.be/uM6fb8yE7LE"/>
    <hyperlink ref="F218" r:id="rId2" display="https://files.afu.se/Downloads/Transcripts/0%20-%20Government/USA%20-%20NASA%20Johnson/"/>
    <hyperlink ref="C219" r:id="rId219" display="https://youtu.be/ZC4hpgNoumQ"/>
    <hyperlink ref="F219" r:id="rId2" display="https://files.afu.se/Downloads/Transcripts/0%20-%20Government/USA%20-%20NASA%20Johnson/"/>
    <hyperlink ref="C220" r:id="rId220" display="https://youtu.be/aQTdIrbbrHQ"/>
    <hyperlink ref="F220" r:id="rId2" display="https://files.afu.se/Downloads/Transcripts/0%20-%20Government/USA%20-%20NASA%20Johnson/"/>
    <hyperlink ref="C221" r:id="rId221" display="https://youtu.be/gRLH-XWfq1o"/>
    <hyperlink ref="F221" r:id="rId2" display="https://files.afu.se/Downloads/Transcripts/0%20-%20Government/USA%20-%20NASA%20Johnson/"/>
    <hyperlink ref="C222" r:id="rId222" display="https://youtu.be/hY-Dn4y0ewo"/>
    <hyperlink ref="F222" r:id="rId2" display="https://files.afu.se/Downloads/Transcripts/0%20-%20Government/USA%20-%20NASA%20Johnson/"/>
    <hyperlink ref="C223" r:id="rId223" display="https://youtu.be/jk0FnkllsU8"/>
    <hyperlink ref="F223" r:id="rId2" display="https://files.afu.se/Downloads/Transcripts/0%20-%20Government/USA%20-%20NASA%20Johnson/"/>
    <hyperlink ref="C224" r:id="rId224" display="https://youtu.be/jGfGLvwiWmU"/>
    <hyperlink ref="F224" r:id="rId2" display="https://files.afu.se/Downloads/Transcripts/0%20-%20Government/USA%20-%20NASA%20Johnson/"/>
    <hyperlink ref="C225" r:id="rId225" display="https://youtu.be/QObPAufIJwQ"/>
    <hyperlink ref="F225" r:id="rId2" display="https://files.afu.se/Downloads/Transcripts/0%20-%20Government/USA%20-%20NASA%20Johnson/"/>
    <hyperlink ref="C226" r:id="rId226" display="https://youtu.be/4q8yN1bSsr8"/>
    <hyperlink ref="F226" r:id="rId2" display="https://files.afu.se/Downloads/Transcripts/0%20-%20Government/USA%20-%20NASA%20Johnson/"/>
    <hyperlink ref="C227" r:id="rId227" display="https://youtu.be/ChtE0EW6MlY"/>
    <hyperlink ref="F227" r:id="rId2" display="https://files.afu.se/Downloads/Transcripts/0%20-%20Government/USA%20-%20NASA%20Johnson/"/>
    <hyperlink ref="C228" r:id="rId228" display="https://youtu.be/a4YPLFJCh1U"/>
    <hyperlink ref="F228" r:id="rId2" display="https://files.afu.se/Downloads/Transcripts/0%20-%20Government/USA%20-%20NASA%20Johnson/"/>
    <hyperlink ref="C229" r:id="rId229" display="https://youtu.be/WKLkbtal_kw"/>
    <hyperlink ref="F229" r:id="rId2" display="https://files.afu.se/Downloads/Transcripts/0%20-%20Government/USA%20-%20NASA%20Johnson/"/>
    <hyperlink ref="C230" r:id="rId230" display="https://youtu.be/wRP0D3zV0MQ"/>
    <hyperlink ref="F230" r:id="rId2" display="https://files.afu.se/Downloads/Transcripts/0%20-%20Government/USA%20-%20NASA%20Johnson/"/>
    <hyperlink ref="C231" r:id="rId231" display="https://youtu.be/dmPebTPP1X8"/>
    <hyperlink ref="F231" r:id="rId2" display="https://files.afu.se/Downloads/Transcripts/0%20-%20Government/USA%20-%20NASA%20Johnson/"/>
    <hyperlink ref="C232" r:id="rId232" display="https://youtu.be/25DlQOwWhk0"/>
    <hyperlink ref="F232" r:id="rId2" display="https://files.afu.se/Downloads/Transcripts/0%20-%20Government/USA%20-%20NASA%20Johnson/"/>
    <hyperlink ref="C233" r:id="rId233" display="https://youtu.be/bc3_IC_5P_I"/>
    <hyperlink ref="F233" r:id="rId2" display="https://files.afu.se/Downloads/Transcripts/0%20-%20Government/USA%20-%20NASA%20Johnson/"/>
    <hyperlink ref="C234" r:id="rId234" display="https://youtu.be/pKAlwrvC44w"/>
    <hyperlink ref="F234" r:id="rId2" display="https://files.afu.se/Downloads/Transcripts/0%20-%20Government/USA%20-%20NASA%20Johnson/"/>
    <hyperlink ref="C235" r:id="rId235" display="https://youtu.be/GSzG_zbrOMk"/>
    <hyperlink ref="F235" r:id="rId2" display="https://files.afu.se/Downloads/Transcripts/0%20-%20Government/USA%20-%20NASA%20Johnson/"/>
    <hyperlink ref="C236" r:id="rId236" display="https://youtu.be/sIz3rMMAmAM"/>
    <hyperlink ref="F236" r:id="rId2" display="https://files.afu.se/Downloads/Transcripts/0%20-%20Government/USA%20-%20NASA%20Johnson/"/>
    <hyperlink ref="C237" r:id="rId237" display="https://youtu.be/dbq-PoXc6vA"/>
    <hyperlink ref="F237" r:id="rId2" display="https://files.afu.se/Downloads/Transcripts/0%20-%20Government/USA%20-%20NASA%20Johnson/"/>
    <hyperlink ref="C238" r:id="rId238" display="https://youtu.be/NqeC0AnU-Ng"/>
    <hyperlink ref="F238" r:id="rId2" display="https://files.afu.se/Downloads/Transcripts/0%20-%20Government/USA%20-%20NASA%20Johnson/"/>
    <hyperlink ref="C239" r:id="rId239" display="https://youtu.be/7pqZWhpvfGI"/>
    <hyperlink ref="F239" r:id="rId2" display="https://files.afu.se/Downloads/Transcripts/0%20-%20Government/USA%20-%20NASA%20Johnson/"/>
    <hyperlink ref="C240" r:id="rId240" display="https://youtu.be/vNGyfB8ex60"/>
    <hyperlink ref="F240" r:id="rId2" display="https://files.afu.se/Downloads/Transcripts/0%20-%20Government/USA%20-%20NASA%20Johnson/"/>
    <hyperlink ref="C241" r:id="rId241" display="https://youtu.be/yeWVZWgU4bQ"/>
    <hyperlink ref="F241" r:id="rId2" display="https://files.afu.se/Downloads/Transcripts/0%20-%20Government/USA%20-%20NASA%20Johnson/"/>
    <hyperlink ref="C242" r:id="rId242" display="https://youtu.be/SK8Pb5EjsrA"/>
    <hyperlink ref="F242" r:id="rId2" display="https://files.afu.se/Downloads/Transcripts/0%20-%20Government/USA%20-%20NASA%20Johnson/"/>
    <hyperlink ref="C243" r:id="rId243" display="https://youtu.be/5o-h9gx8U3Y"/>
    <hyperlink ref="F243" r:id="rId2" display="https://files.afu.se/Downloads/Transcripts/0%20-%20Government/USA%20-%20NASA%20Johnson/"/>
    <hyperlink ref="C244" r:id="rId244" display="https://youtu.be/JRk4LGSekXA"/>
    <hyperlink ref="F244" r:id="rId2" display="https://files.afu.se/Downloads/Transcripts/0%20-%20Government/USA%20-%20NASA%20Johnson/"/>
    <hyperlink ref="C245" r:id="rId245" display="https://youtu.be/Ds1cUlPEfv8"/>
    <hyperlink ref="F245" r:id="rId2" display="https://files.afu.se/Downloads/Transcripts/0%20-%20Government/USA%20-%20NASA%20Johnson/"/>
    <hyperlink ref="C246" r:id="rId246" display="https://youtu.be/EMUyaIH7HaI"/>
    <hyperlink ref="F246" r:id="rId2" display="https://files.afu.se/Downloads/Transcripts/0%20-%20Government/USA%20-%20NASA%20Johnson/"/>
    <hyperlink ref="C247" r:id="rId247" display="https://youtu.be/4ERV9n_VnW8"/>
    <hyperlink ref="F247" r:id="rId2" display="https://files.afu.se/Downloads/Transcripts/0%20-%20Government/USA%20-%20NASA%20Johnson/"/>
    <hyperlink ref="C248" r:id="rId248" display="https://youtu.be/eJG6bdGlDK4"/>
    <hyperlink ref="F248" r:id="rId2" display="https://files.afu.se/Downloads/Transcripts/0%20-%20Government/USA%20-%20NASA%20Johnson/"/>
    <hyperlink ref="C249" r:id="rId249" display="https://youtu.be/kSzO79H9i8s"/>
    <hyperlink ref="F249" r:id="rId2" display="https://files.afu.se/Downloads/Transcripts/0%20-%20Government/USA%20-%20NASA%20Johnson/"/>
    <hyperlink ref="C250" r:id="rId250" display="https://youtu.be/3uUJlNshAvk"/>
    <hyperlink ref="F250" r:id="rId2" display="https://files.afu.se/Downloads/Transcripts/0%20-%20Government/USA%20-%20NASA%20Johnson/"/>
    <hyperlink ref="C251" r:id="rId251" display="https://youtu.be/ElxVZL526o8"/>
    <hyperlink ref="F251" r:id="rId2" display="https://files.afu.se/Downloads/Transcripts/0%20-%20Government/USA%20-%20NASA%20Johnson/"/>
    <hyperlink ref="C252" r:id="rId252" display="https://youtu.be/2E3ufO03FWw"/>
    <hyperlink ref="F252" r:id="rId2" display="https://files.afu.se/Downloads/Transcripts/0%20-%20Government/USA%20-%20NASA%20Johnson/"/>
    <hyperlink ref="C253" r:id="rId253" display="https://youtu.be/IF9tB0m6qF4"/>
    <hyperlink ref="F253" r:id="rId2" display="https://files.afu.se/Downloads/Transcripts/0%20-%20Government/USA%20-%20NASA%20Johnson/"/>
    <hyperlink ref="C254" r:id="rId254" display="https://youtu.be/lbdsp3U3sAI"/>
    <hyperlink ref="F254" r:id="rId2" display="https://files.afu.se/Downloads/Transcripts/0%20-%20Government/USA%20-%20NASA%20Johnson/"/>
    <hyperlink ref="C255" r:id="rId255" display="https://youtu.be/3ElOSYwXmxg"/>
    <hyperlink ref="F255" r:id="rId2" display="https://files.afu.se/Downloads/Transcripts/0%20-%20Government/USA%20-%20NASA%20Johnson/"/>
    <hyperlink ref="C256" r:id="rId256" display="https://youtu.be/-luKN6mad5w"/>
    <hyperlink ref="F256" r:id="rId2" display="https://files.afu.se/Downloads/Transcripts/0%20-%20Government/USA%20-%20NASA%20Johnson/"/>
    <hyperlink ref="C257" r:id="rId257" display="https://youtu.be/9ER4vvRv1UM"/>
    <hyperlink ref="F257" r:id="rId2" display="https://files.afu.se/Downloads/Transcripts/0%20-%20Government/USA%20-%20NASA%20Johnson/"/>
    <hyperlink ref="C258" r:id="rId258" display="https://youtu.be/Y4XlPUvYC1s"/>
    <hyperlink ref="F258" r:id="rId2" display="https://files.afu.se/Downloads/Transcripts/0%20-%20Government/USA%20-%20NASA%20Johnson/"/>
    <hyperlink ref="C259" r:id="rId259" display="https://youtu.be/L08sOD0hYTk"/>
    <hyperlink ref="F259" r:id="rId2" display="https://files.afu.se/Downloads/Transcripts/0%20-%20Government/USA%20-%20NASA%20Johnson/"/>
    <hyperlink ref="C260" r:id="rId260" display="https://youtu.be/eAByh5rcH2k"/>
    <hyperlink ref="F260" r:id="rId2" display="https://files.afu.se/Downloads/Transcripts/0%20-%20Government/USA%20-%20NASA%20Johnson/"/>
    <hyperlink ref="C261" r:id="rId261" display="https://youtu.be/nn2b7re9XLA"/>
    <hyperlink ref="F261" r:id="rId2" display="https://files.afu.se/Downloads/Transcripts/0%20-%20Government/USA%20-%20NASA%20Johnson/"/>
    <hyperlink ref="C262" r:id="rId262" display="https://youtu.be/BT2F8cWP6q8"/>
    <hyperlink ref="F262" r:id="rId2" display="https://files.afu.se/Downloads/Transcripts/0%20-%20Government/USA%20-%20NASA%20Johnson/"/>
    <hyperlink ref="C263" r:id="rId263" display="https://youtu.be/HJcu-46ufmc"/>
    <hyperlink ref="F263" r:id="rId2" display="https://files.afu.se/Downloads/Transcripts/0%20-%20Government/USA%20-%20NASA%20Johnson/"/>
    <hyperlink ref="C264" r:id="rId264" display="https://youtu.be/XKmtwwu7X6M"/>
    <hyperlink ref="F264" r:id="rId2" display="https://files.afu.se/Downloads/Transcripts/0%20-%20Government/USA%20-%20NASA%20Johnson/"/>
    <hyperlink ref="C265" r:id="rId265" display="https://youtu.be/0I75L_O_iu4"/>
    <hyperlink ref="F265" r:id="rId2" display="https://files.afu.se/Downloads/Transcripts/0%20-%20Government/USA%20-%20NASA%20Johnson/"/>
    <hyperlink ref="C266" r:id="rId266" display="https://youtu.be/DwJ-4zpJWHs"/>
    <hyperlink ref="F266" r:id="rId2" display="https://files.afu.se/Downloads/Transcripts/0%20-%20Government/USA%20-%20NASA%20Johnson/"/>
    <hyperlink ref="C267" r:id="rId267" display="https://youtu.be/BXVK57CV4c4"/>
    <hyperlink ref="F267" r:id="rId2" display="https://files.afu.se/Downloads/Transcripts/0%20-%20Government/USA%20-%20NASA%20Johnson/"/>
    <hyperlink ref="C268" r:id="rId268" display="https://youtu.be/NSWU82UHaWE"/>
    <hyperlink ref="F268" r:id="rId2" display="https://files.afu.se/Downloads/Transcripts/0%20-%20Government/USA%20-%20NASA%20Johnson/"/>
    <hyperlink ref="C269" r:id="rId269" display="https://youtu.be/zqCE8WvxWYk"/>
    <hyperlink ref="F269" r:id="rId2" display="https://files.afu.se/Downloads/Transcripts/0%20-%20Government/USA%20-%20NASA%20Johnson/"/>
    <hyperlink ref="C270" r:id="rId270" display="https://youtu.be/EVkl4qmzewY"/>
    <hyperlink ref="F270" r:id="rId2" display="https://files.afu.se/Downloads/Transcripts/0%20-%20Government/USA%20-%20NASA%20Johnson/"/>
    <hyperlink ref="C271" r:id="rId271" display="https://youtu.be/_6Jm2JUD5hM"/>
    <hyperlink ref="F271" r:id="rId2" display="https://files.afu.se/Downloads/Transcripts/0%20-%20Government/USA%20-%20NASA%20Johnson/"/>
    <hyperlink ref="C272" r:id="rId272" display="https://youtu.be/OCaviw4a5pk"/>
    <hyperlink ref="F272" r:id="rId2" display="https://files.afu.se/Downloads/Transcripts/0%20-%20Government/USA%20-%20NASA%20Johnson/"/>
    <hyperlink ref="C273" r:id="rId273" display="https://youtu.be/sJwtuycs3Mg"/>
    <hyperlink ref="F273" r:id="rId2" display="https://files.afu.se/Downloads/Transcripts/0%20-%20Government/USA%20-%20NASA%20Johnson/"/>
    <hyperlink ref="C274" r:id="rId274" display="https://youtu.be/TGkkY-Gr-Nc"/>
    <hyperlink ref="F274" r:id="rId2" display="https://files.afu.se/Downloads/Transcripts/0%20-%20Government/USA%20-%20NASA%20Johnson/"/>
    <hyperlink ref="C275" r:id="rId275" display="https://youtu.be/rFwqXnCDPJU"/>
    <hyperlink ref="F275" r:id="rId2" display="https://files.afu.se/Downloads/Transcripts/0%20-%20Government/USA%20-%20NASA%20Johnson/"/>
    <hyperlink ref="C276" r:id="rId276" display="https://youtu.be/xFK7gkj6yN8"/>
    <hyperlink ref="F276" r:id="rId2" display="https://files.afu.se/Downloads/Transcripts/0%20-%20Government/USA%20-%20NASA%20Johnson/"/>
    <hyperlink ref="C277" r:id="rId277" display="https://youtu.be/KSv_Y8uGwFQ"/>
    <hyperlink ref="F277" r:id="rId2" display="https://files.afu.se/Downloads/Transcripts/0%20-%20Government/USA%20-%20NASA%20Johnson/"/>
    <hyperlink ref="C278" r:id="rId278" display="https://youtu.be/dYINlVcCV8w"/>
    <hyperlink ref="F278" r:id="rId2" display="https://files.afu.se/Downloads/Transcripts/0%20-%20Government/USA%20-%20NASA%20Johnson/"/>
    <hyperlink ref="C279" r:id="rId279" display="https://youtu.be/QDALsVmNqJg"/>
    <hyperlink ref="F279" r:id="rId2" display="https://files.afu.se/Downloads/Transcripts/0%20-%20Government/USA%20-%20NASA%20Johnson/"/>
    <hyperlink ref="C280" r:id="rId280" display="https://youtu.be/Hzhxyt87yBk"/>
    <hyperlink ref="F280" r:id="rId2" display="https://files.afu.se/Downloads/Transcripts/0%20-%20Government/USA%20-%20NASA%20Johnson/"/>
    <hyperlink ref="C281" r:id="rId281" display="https://youtu.be/WJUdH3uWkFI"/>
    <hyperlink ref="F281" r:id="rId2" display="https://files.afu.se/Downloads/Transcripts/0%20-%20Government/USA%20-%20NASA%20Johnson/"/>
    <hyperlink ref="C282" r:id="rId282" display="https://youtu.be/-zhili_b_Bw"/>
    <hyperlink ref="F282" r:id="rId2" display="https://files.afu.se/Downloads/Transcripts/0%20-%20Government/USA%20-%20NASA%20Johnson/"/>
    <hyperlink ref="C283" r:id="rId283" display="https://youtu.be/NBdKcIbHBj0"/>
    <hyperlink ref="F283" r:id="rId2" display="https://files.afu.se/Downloads/Transcripts/0%20-%20Government/USA%20-%20NASA%20Johnson/"/>
    <hyperlink ref="C284" r:id="rId284" display="https://youtu.be/sH0hz7Z0JPc"/>
    <hyperlink ref="F284" r:id="rId2" display="https://files.afu.se/Downloads/Transcripts/0%20-%20Government/USA%20-%20NASA%20Johnson/"/>
    <hyperlink ref="C285" r:id="rId285" display="https://youtu.be/sXFtMoJDM18"/>
    <hyperlink ref="F285" r:id="rId2" display="https://files.afu.se/Downloads/Transcripts/0%20-%20Government/USA%20-%20NASA%20Johnson/"/>
    <hyperlink ref="C286" r:id="rId286" display="https://youtu.be/jEyiHgRPEJc"/>
    <hyperlink ref="F286" r:id="rId2" display="https://files.afu.se/Downloads/Transcripts/0%20-%20Government/USA%20-%20NASA%20Johnson/"/>
    <hyperlink ref="C287" r:id="rId287" display="https://youtu.be/bPOfgiArkbI"/>
    <hyperlink ref="F287" r:id="rId2" display="https://files.afu.se/Downloads/Transcripts/0%20-%20Government/USA%20-%20NASA%20Johnson/"/>
    <hyperlink ref="C288" r:id="rId288" display="https://youtu.be/HXs-OtvIyxw"/>
    <hyperlink ref="F288" r:id="rId2" display="https://files.afu.se/Downloads/Transcripts/0%20-%20Government/USA%20-%20NASA%20Johnson/"/>
    <hyperlink ref="C289" r:id="rId289" display="https://youtu.be/ZSa5C8gX_IY"/>
    <hyperlink ref="F289" r:id="rId2" display="https://files.afu.se/Downloads/Transcripts/0%20-%20Government/USA%20-%20NASA%20Johnson/"/>
    <hyperlink ref="C290" r:id="rId290" display="https://youtu.be/bBKe3cuw-b8"/>
    <hyperlink ref="F290" r:id="rId2" display="https://files.afu.se/Downloads/Transcripts/0%20-%20Government/USA%20-%20NASA%20Johnson/"/>
    <hyperlink ref="C291" r:id="rId291" display="https://youtu.be/pBa4mjXUW_o"/>
    <hyperlink ref="F291" r:id="rId2" display="https://files.afu.se/Downloads/Transcripts/0%20-%20Government/USA%20-%20NASA%20Johnson/"/>
    <hyperlink ref="C292" r:id="rId292" display="https://youtu.be/ngfUbxrRnuU"/>
    <hyperlink ref="F292" r:id="rId2" display="https://files.afu.se/Downloads/Transcripts/0%20-%20Government/USA%20-%20NASA%20Johnson/"/>
    <hyperlink ref="C293" r:id="rId293" display="https://youtu.be/o8utu2W8v_0"/>
    <hyperlink ref="F293" r:id="rId2" display="https://files.afu.se/Downloads/Transcripts/0%20-%20Government/USA%20-%20NASA%20Johnson/"/>
    <hyperlink ref="C294" r:id="rId294" display="https://youtu.be/_BQOPYNvr98"/>
    <hyperlink ref="F294" r:id="rId2" display="https://files.afu.se/Downloads/Transcripts/0%20-%20Government/USA%20-%20NASA%20Johnson/"/>
    <hyperlink ref="C295" r:id="rId295" display="https://youtu.be/91HFRawNWpA"/>
    <hyperlink ref="F295" r:id="rId2" display="https://files.afu.se/Downloads/Transcripts/0%20-%20Government/USA%20-%20NASA%20Johnson/"/>
    <hyperlink ref="C296" r:id="rId296" display="https://youtu.be/zRUieQ6sSfo"/>
    <hyperlink ref="F296" r:id="rId2" display="https://files.afu.se/Downloads/Transcripts/0%20-%20Government/USA%20-%20NASA%20Johnson/"/>
    <hyperlink ref="C297" r:id="rId297" display="https://youtu.be/vPkamuLqwM8"/>
    <hyperlink ref="F297" r:id="rId2" display="https://files.afu.se/Downloads/Transcripts/0%20-%20Government/USA%20-%20NASA%20Johnson/"/>
    <hyperlink ref="C298" r:id="rId298" display="https://youtu.be/u8L66TSXSxY"/>
    <hyperlink ref="F298" r:id="rId2" display="https://files.afu.se/Downloads/Transcripts/0%20-%20Government/USA%20-%20NASA%20Johnson/"/>
    <hyperlink ref="C299" r:id="rId299" display="https://youtu.be/gEfqbmexgq0"/>
    <hyperlink ref="F299" r:id="rId2" display="https://files.afu.se/Downloads/Transcripts/0%20-%20Government/USA%20-%20NASA%20Johnson/"/>
    <hyperlink ref="C300" r:id="rId300" display="https://youtu.be/w5jOK3ealFE"/>
    <hyperlink ref="F300" r:id="rId2" display="https://files.afu.se/Downloads/Transcripts/0%20-%20Government/USA%20-%20NASA%20Johnson/"/>
    <hyperlink ref="C301" r:id="rId301" display="https://youtu.be/XFivJfn2Ys4"/>
    <hyperlink ref="F301" r:id="rId2" display="https://files.afu.se/Downloads/Transcripts/0%20-%20Government/USA%20-%20NASA%20Johnson/"/>
    <hyperlink ref="C302" r:id="rId302" display="https://youtu.be/KnZRf5B29Bk"/>
    <hyperlink ref="F302" r:id="rId2" display="https://files.afu.se/Downloads/Transcripts/0%20-%20Government/USA%20-%20NASA%20Johnson/"/>
    <hyperlink ref="C303" r:id="rId303" display="https://youtu.be/AUwg13FvkX8"/>
    <hyperlink ref="F303" r:id="rId2" display="https://files.afu.se/Downloads/Transcripts/0%20-%20Government/USA%20-%20NASA%20Johnson/"/>
    <hyperlink ref="C304" r:id="rId304" display="https://youtu.be/3VoeRAR0YgE"/>
    <hyperlink ref="F304" r:id="rId2" display="https://files.afu.se/Downloads/Transcripts/0%20-%20Government/USA%20-%20NASA%20Johnson/"/>
    <hyperlink ref="C305" r:id="rId305" display="https://youtu.be/NFnvR4TYg70"/>
    <hyperlink ref="F305" r:id="rId2" display="https://files.afu.se/Downloads/Transcripts/0%20-%20Government/USA%20-%20NASA%20Johnson/"/>
    <hyperlink ref="C306" r:id="rId306" display="https://youtu.be/j4Z1TcQjA0Q"/>
    <hyperlink ref="F306" r:id="rId2" display="https://files.afu.se/Downloads/Transcripts/0%20-%20Government/USA%20-%20NASA%20Johnson/"/>
    <hyperlink ref="C307" r:id="rId307" display="https://youtu.be/-7aIqgQ_an0"/>
    <hyperlink ref="F307" r:id="rId2" display="https://files.afu.se/Downloads/Transcripts/0%20-%20Government/USA%20-%20NASA%20Johnson/"/>
    <hyperlink ref="C308" r:id="rId308" display="https://youtu.be/I7a7mOWBV0w"/>
    <hyperlink ref="F308" r:id="rId2" display="https://files.afu.se/Downloads/Transcripts/0%20-%20Government/USA%20-%20NASA%20Johnson/"/>
    <hyperlink ref="C309" r:id="rId309" display="https://youtu.be/WDC_DNTXlN8"/>
    <hyperlink ref="F309" r:id="rId2" display="https://files.afu.se/Downloads/Transcripts/0%20-%20Government/USA%20-%20NASA%20Johnson/"/>
    <hyperlink ref="C310" r:id="rId310" display="https://youtu.be/cPmx1TtYF64"/>
    <hyperlink ref="F310" r:id="rId2" display="https://files.afu.se/Downloads/Transcripts/0%20-%20Government/USA%20-%20NASA%20Johnson/"/>
    <hyperlink ref="C311" r:id="rId311" display="https://youtu.be/SDhlPEMkiOo"/>
    <hyperlink ref="F311" r:id="rId2" display="https://files.afu.se/Downloads/Transcripts/0%20-%20Government/USA%20-%20NASA%20Johnson/"/>
    <hyperlink ref="C312" r:id="rId312" display="https://youtu.be/FyiMhGvQD5c"/>
    <hyperlink ref="F312" r:id="rId2" display="https://files.afu.se/Downloads/Transcripts/0%20-%20Government/USA%20-%20NASA%20Johnson/"/>
    <hyperlink ref="C313" r:id="rId313" display="https://youtu.be/d56BA5yLXJo"/>
    <hyperlink ref="F313" r:id="rId2" display="https://files.afu.se/Downloads/Transcripts/0%20-%20Government/USA%20-%20NASA%20Johnson/"/>
    <hyperlink ref="C314" r:id="rId314" display="https://youtu.be/XRwMDlvE6h8"/>
    <hyperlink ref="F314" r:id="rId2" display="https://files.afu.se/Downloads/Transcripts/0%20-%20Government/USA%20-%20NASA%20Johnson/"/>
    <hyperlink ref="C315" r:id="rId315" display="https://youtu.be/agwlu0wR1_w"/>
    <hyperlink ref="F315" r:id="rId2" display="https://files.afu.se/Downloads/Transcripts/0%20-%20Government/USA%20-%20NASA%20Johnson/"/>
    <hyperlink ref="C316" r:id="rId316" display="https://youtu.be/DuRtGUBewK4"/>
    <hyperlink ref="F316" r:id="rId2" display="https://files.afu.se/Downloads/Transcripts/0%20-%20Government/USA%20-%20NASA%20Johnson/"/>
    <hyperlink ref="C317" r:id="rId317" display="https://youtu.be/yc2MsGbgTuw"/>
    <hyperlink ref="F317" r:id="rId2" display="https://files.afu.se/Downloads/Transcripts/0%20-%20Government/USA%20-%20NASA%20Johnson/"/>
    <hyperlink ref="C318" r:id="rId318" display="https://youtu.be/h2BdBDYqXJE"/>
    <hyperlink ref="F318" r:id="rId2" display="https://files.afu.se/Downloads/Transcripts/0%20-%20Government/USA%20-%20NASA%20Johnson/"/>
    <hyperlink ref="C319" r:id="rId319" display="https://youtu.be/1clACXLdDhs"/>
    <hyperlink ref="F319" r:id="rId2" display="https://files.afu.se/Downloads/Transcripts/0%20-%20Government/USA%20-%20NASA%20Johnson/"/>
    <hyperlink ref="C320" r:id="rId320" display="https://youtu.be/XWOyh_U5qRQ"/>
    <hyperlink ref="F320" r:id="rId2" display="https://files.afu.se/Downloads/Transcripts/0%20-%20Government/USA%20-%20NASA%20Johnson/"/>
    <hyperlink ref="C321" r:id="rId321" display="https://youtu.be/Qn3SbSn2J9U"/>
    <hyperlink ref="F321" r:id="rId2" display="https://files.afu.se/Downloads/Transcripts/0%20-%20Government/USA%20-%20NASA%20Johnson/"/>
    <hyperlink ref="C322" r:id="rId322" display="https://youtu.be/NQ5ThYhnMz8"/>
    <hyperlink ref="F322" r:id="rId2" display="https://files.afu.se/Downloads/Transcripts/0%20-%20Government/USA%20-%20NASA%20Johnson/"/>
    <hyperlink ref="C323" r:id="rId323" display="https://youtu.be/zdAHCtHmYTY"/>
    <hyperlink ref="F323" r:id="rId2" display="https://files.afu.se/Downloads/Transcripts/0%20-%20Government/USA%20-%20NASA%20Johnson/"/>
    <hyperlink ref="C324" r:id="rId324" display="https://youtu.be/Bcxqr4X7a-A"/>
    <hyperlink ref="F324" r:id="rId2" display="https://files.afu.se/Downloads/Transcripts/0%20-%20Government/USA%20-%20NASA%20Johnson/"/>
    <hyperlink ref="C325" r:id="rId325" display="https://youtu.be/ckk5PZ1ZSck"/>
    <hyperlink ref="F325" r:id="rId2" display="https://files.afu.se/Downloads/Transcripts/0%20-%20Government/USA%20-%20NASA%20Johnson/"/>
    <hyperlink ref="C326" r:id="rId326" display="https://youtu.be/iaeNBjIoPa8"/>
    <hyperlink ref="F326" r:id="rId2" display="https://files.afu.se/Downloads/Transcripts/0%20-%20Government/USA%20-%20NASA%20Johnson/"/>
    <hyperlink ref="C327" r:id="rId327" display="https://youtu.be/DoTs3-bQRo0"/>
    <hyperlink ref="F327" r:id="rId2" display="https://files.afu.se/Downloads/Transcripts/0%20-%20Government/USA%20-%20NASA%20Johnson/"/>
    <hyperlink ref="C328" r:id="rId328" display="https://youtu.be/LLziUxoVA54"/>
    <hyperlink ref="F328" r:id="rId2" display="https://files.afu.se/Downloads/Transcripts/0%20-%20Government/USA%20-%20NASA%20Johnson/"/>
    <hyperlink ref="C329" r:id="rId329" display="https://youtu.be/2Dzx6b6vSK4"/>
    <hyperlink ref="F329" r:id="rId2" display="https://files.afu.se/Downloads/Transcripts/0%20-%20Government/USA%20-%20NASA%20Johnson/"/>
    <hyperlink ref="C330" r:id="rId330" display="https://youtu.be/kw64FUpCNCA"/>
    <hyperlink ref="F330" r:id="rId2" display="https://files.afu.se/Downloads/Transcripts/0%20-%20Government/USA%20-%20NASA%20Johnson/"/>
    <hyperlink ref="C331" r:id="rId331" display="https://youtu.be/5hNSgkEqx9U"/>
    <hyperlink ref="F331" r:id="rId2" display="https://files.afu.se/Downloads/Transcripts/0%20-%20Government/USA%20-%20NASA%20Johnson/"/>
    <hyperlink ref="C332" r:id="rId332" display="https://youtu.be/kTROaE33Kn4"/>
    <hyperlink ref="F332" r:id="rId2" display="https://files.afu.se/Downloads/Transcripts/0%20-%20Government/USA%20-%20NASA%20Johnson/"/>
    <hyperlink ref="C333" r:id="rId333" display="https://youtu.be/D9FLgwnNWEY"/>
    <hyperlink ref="F333" r:id="rId2" display="https://files.afu.se/Downloads/Transcripts/0%20-%20Government/USA%20-%20NASA%20Johnson/"/>
    <hyperlink ref="C334" r:id="rId334" display="https://youtu.be/aoSr6y4gBdw"/>
    <hyperlink ref="F334" r:id="rId2" display="https://files.afu.se/Downloads/Transcripts/0%20-%20Government/USA%20-%20NASA%20Johnson/"/>
    <hyperlink ref="C335" r:id="rId335" display="https://youtu.be/ANjyApJx8X0"/>
    <hyperlink ref="F335" r:id="rId2" display="https://files.afu.se/Downloads/Transcripts/0%20-%20Government/USA%20-%20NASA%20Johnson/"/>
    <hyperlink ref="C336" r:id="rId336" display="https://youtu.be/zLGKYQ7FvUs"/>
    <hyperlink ref="F336" r:id="rId2" display="https://files.afu.se/Downloads/Transcripts/0%20-%20Government/USA%20-%20NASA%20Johnson/"/>
    <hyperlink ref="C337" r:id="rId337" display="https://youtu.be/o_jel2vWNAw"/>
    <hyperlink ref="F337" r:id="rId2" display="https://files.afu.se/Downloads/Transcripts/0%20-%20Government/USA%20-%20NASA%20Johnson/"/>
    <hyperlink ref="C338" r:id="rId338" display="https://youtu.be/JwgcByUyEyI"/>
    <hyperlink ref="F338" r:id="rId2" display="https://files.afu.se/Downloads/Transcripts/0%20-%20Government/USA%20-%20NASA%20Johnson/"/>
    <hyperlink ref="C339" r:id="rId339" display="https://youtu.be/uS9wZzJKauw"/>
    <hyperlink ref="F339" r:id="rId2" display="https://files.afu.se/Downloads/Transcripts/0%20-%20Government/USA%20-%20NASA%20Johnson/"/>
    <hyperlink ref="C340" r:id="rId340" display="https://youtu.be/GiYD00U1qp0"/>
    <hyperlink ref="F340" r:id="rId2" display="https://files.afu.se/Downloads/Transcripts/0%20-%20Government/USA%20-%20NASA%20Johnson/"/>
    <hyperlink ref="C341" r:id="rId341" display="https://youtu.be/EyM2t_MKbMI"/>
    <hyperlink ref="F341" r:id="rId2" display="https://files.afu.se/Downloads/Transcripts/0%20-%20Government/USA%20-%20NASA%20Johnson/"/>
    <hyperlink ref="C342" r:id="rId342" display="https://youtu.be/OiGlZu4uScE"/>
    <hyperlink ref="F342" r:id="rId2" display="https://files.afu.se/Downloads/Transcripts/0%20-%20Government/USA%20-%20NASA%20Johnson/"/>
    <hyperlink ref="C343" r:id="rId343" display="https://youtu.be/Vs-q_u4qjJs"/>
    <hyperlink ref="F343" r:id="rId2" display="https://files.afu.se/Downloads/Transcripts/0%20-%20Government/USA%20-%20NASA%20Johnson/"/>
    <hyperlink ref="C344" r:id="rId344" display="https://youtu.be/9RMqi-163hE"/>
    <hyperlink ref="F344" r:id="rId2" display="https://files.afu.se/Downloads/Transcripts/0%20-%20Government/USA%20-%20NASA%20Johnson/"/>
    <hyperlink ref="C345" r:id="rId345" display="https://youtu.be/-3xd5WjUtgc"/>
    <hyperlink ref="F345" r:id="rId2" display="https://files.afu.se/Downloads/Transcripts/0%20-%20Government/USA%20-%20NASA%20Johnson/"/>
    <hyperlink ref="C346" r:id="rId346" display="https://youtu.be/CAy22HV1D0M"/>
    <hyperlink ref="F346" r:id="rId2" display="https://files.afu.se/Downloads/Transcripts/0%20-%20Government/USA%20-%20NASA%20Johnson/"/>
    <hyperlink ref="C347" r:id="rId347" display="https://youtu.be/0eYWLIc2Vjk"/>
    <hyperlink ref="F347" r:id="rId2" display="https://files.afu.se/Downloads/Transcripts/0%20-%20Government/USA%20-%20NASA%20Johnson/"/>
    <hyperlink ref="C348" r:id="rId348" display="https://youtu.be/OIRX9sjTcgk"/>
    <hyperlink ref="F348" r:id="rId2" display="https://files.afu.se/Downloads/Transcripts/0%20-%20Government/USA%20-%20NASA%20Johnson/"/>
    <hyperlink ref="C349" r:id="rId349" display="https://youtu.be/oewIeat50EM"/>
    <hyperlink ref="F349" r:id="rId2" display="https://files.afu.se/Downloads/Transcripts/0%20-%20Government/USA%20-%20NASA%20Johnson/"/>
    <hyperlink ref="C350" r:id="rId350" display="https://youtu.be/tIVtG4jsqEM"/>
    <hyperlink ref="F350" r:id="rId2" display="https://files.afu.se/Downloads/Transcripts/0%20-%20Government/USA%20-%20NASA%20Johnson/"/>
    <hyperlink ref="C351" r:id="rId351" display="https://youtu.be/on4uJ8C9ydg"/>
    <hyperlink ref="F351" r:id="rId2" display="https://files.afu.se/Downloads/Transcripts/0%20-%20Government/USA%20-%20NASA%20Johnson/"/>
    <hyperlink ref="C352" r:id="rId352" display="https://youtu.be/wL-11DBVB4g"/>
    <hyperlink ref="F352" r:id="rId2" display="https://files.afu.se/Downloads/Transcripts/0%20-%20Government/USA%20-%20NASA%20Johnson/"/>
    <hyperlink ref="C353" r:id="rId353" display="https://youtu.be/gu4o5KgnAQM"/>
    <hyperlink ref="F353" r:id="rId2" display="https://files.afu.se/Downloads/Transcripts/0%20-%20Government/USA%20-%20NASA%20Johnson/"/>
    <hyperlink ref="C354" r:id="rId354" display="https://youtu.be/y475KP7RUro"/>
    <hyperlink ref="F354" r:id="rId2" display="https://files.afu.se/Downloads/Transcripts/0%20-%20Government/USA%20-%20NASA%20Johnson/"/>
    <hyperlink ref="C355" r:id="rId355" display="https://youtu.be/Ku9av0g7v9U"/>
    <hyperlink ref="F355" r:id="rId2" display="https://files.afu.se/Downloads/Transcripts/0%20-%20Government/USA%20-%20NASA%20Johnson/"/>
    <hyperlink ref="C356" r:id="rId356" display="https://youtu.be/i0OEF2cRa3E"/>
    <hyperlink ref="F356" r:id="rId2" display="https://files.afu.se/Downloads/Transcripts/0%20-%20Government/USA%20-%20NASA%20Johnson/"/>
    <hyperlink ref="C357" r:id="rId357" display="https://youtu.be/52x2GMguPao"/>
    <hyperlink ref="F357" r:id="rId2" display="https://files.afu.se/Downloads/Transcripts/0%20-%20Government/USA%20-%20NASA%20Johnson/"/>
    <hyperlink ref="C358" r:id="rId358" display="https://youtu.be/y_sAQdGprJM"/>
    <hyperlink ref="F358" r:id="rId2" display="https://files.afu.se/Downloads/Transcripts/0%20-%20Government/USA%20-%20NASA%20Johnson/"/>
    <hyperlink ref="C359" r:id="rId359" display="https://youtu.be/iCyjTPLWbiU"/>
    <hyperlink ref="F359" r:id="rId2" display="https://files.afu.se/Downloads/Transcripts/0%20-%20Government/USA%20-%20NASA%20Johnson/"/>
    <hyperlink ref="C360" r:id="rId360" display="https://youtu.be/jUvMkgRX9rg"/>
    <hyperlink ref="F360" r:id="rId2" display="https://files.afu.se/Downloads/Transcripts/0%20-%20Government/USA%20-%20NASA%20Johnson/"/>
    <hyperlink ref="C361" r:id="rId361" display="https://youtu.be/oOxKJKyTJdU"/>
    <hyperlink ref="F361" r:id="rId2" display="https://files.afu.se/Downloads/Transcripts/0%20-%20Government/USA%20-%20NASA%20Johnson/"/>
    <hyperlink ref="C362" r:id="rId362" display="https://youtu.be/A6fCa4ReHX4"/>
    <hyperlink ref="F362" r:id="rId2" display="https://files.afu.se/Downloads/Transcripts/0%20-%20Government/USA%20-%20NASA%20Johnson/"/>
    <hyperlink ref="C363" r:id="rId363" display="https://youtu.be/chjWbQXAQPk"/>
    <hyperlink ref="F363" r:id="rId2" display="https://files.afu.se/Downloads/Transcripts/0%20-%20Government/USA%20-%20NASA%20Johnson/"/>
    <hyperlink ref="C364" r:id="rId364" display="https://youtu.be/lQlYG8hOgAs"/>
    <hyperlink ref="F364" r:id="rId2" display="https://files.afu.se/Downloads/Transcripts/0%20-%20Government/USA%20-%20NASA%20Johnson/"/>
    <hyperlink ref="C365" r:id="rId365" display="https://youtu.be/O36rX_J9MHQ"/>
    <hyperlink ref="F365" r:id="rId2" display="https://files.afu.se/Downloads/Transcripts/0%20-%20Government/USA%20-%20NASA%20Johnson/"/>
    <hyperlink ref="C366" r:id="rId366" display="https://youtu.be/J5TFAuQI7U0"/>
    <hyperlink ref="F366" r:id="rId2" display="https://files.afu.se/Downloads/Transcripts/0%20-%20Government/USA%20-%20NASA%20Johnson/"/>
    <hyperlink ref="C367" r:id="rId367" display="https://youtu.be/YUxU_F4xwFs"/>
    <hyperlink ref="F367" r:id="rId2" display="https://files.afu.se/Downloads/Transcripts/0%20-%20Government/USA%20-%20NASA%20Johnson/"/>
    <hyperlink ref="C368" r:id="rId368" display="https://youtu.be/Xj9KASvck0E"/>
    <hyperlink ref="F368" r:id="rId2" display="https://files.afu.se/Downloads/Transcripts/0%20-%20Government/USA%20-%20NASA%20Johnson/"/>
    <hyperlink ref="C369" r:id="rId369" display="https://youtu.be/6qCSSTYblHQ"/>
    <hyperlink ref="F369" r:id="rId2" display="https://files.afu.se/Downloads/Transcripts/0%20-%20Government/USA%20-%20NASA%20Johnson/"/>
    <hyperlink ref="C370" r:id="rId370" display="https://youtu.be/0Sf3Z60QPGk"/>
    <hyperlink ref="F370" r:id="rId2" display="https://files.afu.se/Downloads/Transcripts/0%20-%20Government/USA%20-%20NASA%20Johnson/"/>
    <hyperlink ref="C371" r:id="rId371" display="https://youtu.be/FSjM-XzSazU"/>
    <hyperlink ref="F371" r:id="rId2" display="https://files.afu.se/Downloads/Transcripts/0%20-%20Government/USA%20-%20NASA%20Johnson/"/>
    <hyperlink ref="C372" r:id="rId372" display="https://youtu.be/LWhAkLPlSnU"/>
    <hyperlink ref="F372" r:id="rId2" display="https://files.afu.se/Downloads/Transcripts/0%20-%20Government/USA%20-%20NASA%20Johnson/"/>
    <hyperlink ref="C373" r:id="rId373" display="https://youtu.be/qWCPGFe6DDk"/>
    <hyperlink ref="F373" r:id="rId2" display="https://files.afu.se/Downloads/Transcripts/0%20-%20Government/USA%20-%20NASA%20Johnson/"/>
    <hyperlink ref="C374" r:id="rId374" display="https://youtu.be/L-TpUyfxHiY"/>
    <hyperlink ref="F374" r:id="rId2" display="https://files.afu.se/Downloads/Transcripts/0%20-%20Government/USA%20-%20NASA%20Johnson/"/>
    <hyperlink ref="C375" r:id="rId375" display="https://youtu.be/a0S4Th3FrhI"/>
    <hyperlink ref="F375" r:id="rId2" display="https://files.afu.se/Downloads/Transcripts/0%20-%20Government/USA%20-%20NASA%20Johnson/"/>
    <hyperlink ref="C376" r:id="rId376" display="https://youtu.be/m5tbJ7GvaVQ"/>
    <hyperlink ref="F376" r:id="rId2" display="https://files.afu.se/Downloads/Transcripts/0%20-%20Government/USA%20-%20NASA%20Johnson/"/>
    <hyperlink ref="C377" r:id="rId377" display="https://youtu.be/6DR2_VnyinM"/>
    <hyperlink ref="F377" r:id="rId2" display="https://files.afu.se/Downloads/Transcripts/0%20-%20Government/USA%20-%20NASA%20Johnson/"/>
    <hyperlink ref="C378" r:id="rId378" display="https://youtu.be/TlGBVqbZbBY"/>
    <hyperlink ref="F378" r:id="rId2" display="https://files.afu.se/Downloads/Transcripts/0%20-%20Government/USA%20-%20NASA%20Johnson/"/>
    <hyperlink ref="C379" r:id="rId379" display="https://youtu.be/I9f39S9wgB0"/>
    <hyperlink ref="F379" r:id="rId2" display="https://files.afu.se/Downloads/Transcripts/0%20-%20Government/USA%20-%20NASA%20Johnson/"/>
    <hyperlink ref="C380" r:id="rId380" display="https://youtu.be/bYJMJGaf2f8"/>
    <hyperlink ref="F380" r:id="rId2" display="https://files.afu.se/Downloads/Transcripts/0%20-%20Government/USA%20-%20NASA%20Johnson/"/>
    <hyperlink ref="C381" r:id="rId381" display="https://youtu.be/vhwbxAmOZzg"/>
    <hyperlink ref="F381" r:id="rId2" display="https://files.afu.se/Downloads/Transcripts/0%20-%20Government/USA%20-%20NASA%20Johnson/"/>
    <hyperlink ref="C382" r:id="rId382" display="https://youtu.be/BdpTS6l_AAs"/>
    <hyperlink ref="F382" r:id="rId2" display="https://files.afu.se/Downloads/Transcripts/0%20-%20Government/USA%20-%20NASA%20Johnson/"/>
    <hyperlink ref="C383" r:id="rId383" display="https://youtu.be/E5sEcxiRPEQ"/>
    <hyperlink ref="F383" r:id="rId2" display="https://files.afu.se/Downloads/Transcripts/0%20-%20Government/USA%20-%20NASA%20Johnson/"/>
    <hyperlink ref="C384" r:id="rId384" display="https://youtu.be/o-iHIGLsDY4"/>
    <hyperlink ref="F384" r:id="rId2" display="https://files.afu.se/Downloads/Transcripts/0%20-%20Government/USA%20-%20NASA%20Johnson/"/>
    <hyperlink ref="C385" r:id="rId385" display="https://youtu.be/OR8rzsZCrNg"/>
    <hyperlink ref="F385" r:id="rId2" display="https://files.afu.se/Downloads/Transcripts/0%20-%20Government/USA%20-%20NASA%20Johnson/"/>
    <hyperlink ref="C386" r:id="rId386" display="https://youtu.be/_a23CmZgIp8"/>
    <hyperlink ref="F386" r:id="rId2" display="https://files.afu.se/Downloads/Transcripts/0%20-%20Government/USA%20-%20NASA%20Johnson/"/>
    <hyperlink ref="C387" r:id="rId387" display="https://youtu.be/TebdIPAZ2WM"/>
    <hyperlink ref="F387" r:id="rId2" display="https://files.afu.se/Downloads/Transcripts/0%20-%20Government/USA%20-%20NASA%20Johnson/"/>
    <hyperlink ref="C388" r:id="rId388" display="https://youtu.be/NTEImgloGZg"/>
    <hyperlink ref="F388" r:id="rId2" display="https://files.afu.se/Downloads/Transcripts/0%20-%20Government/USA%20-%20NASA%20Johnson/"/>
    <hyperlink ref="C389" r:id="rId389" display="https://youtu.be/mYEHGISJRYE"/>
    <hyperlink ref="F389" r:id="rId2" display="https://files.afu.se/Downloads/Transcripts/0%20-%20Government/USA%20-%20NASA%20Johnson/"/>
    <hyperlink ref="C390" r:id="rId390" display="https://youtu.be/GKprm3whh6U"/>
    <hyperlink ref="F390" r:id="rId2" display="https://files.afu.se/Downloads/Transcripts/0%20-%20Government/USA%20-%20NASA%20Johnson/"/>
    <hyperlink ref="C391" r:id="rId391" display="https://youtu.be/jdfC5S7P4OY"/>
    <hyperlink ref="F391" r:id="rId2" display="https://files.afu.se/Downloads/Transcripts/0%20-%20Government/USA%20-%20NASA%20Johnson/"/>
    <hyperlink ref="C392" r:id="rId392" display="https://youtu.be/QKXC6BuxbqA"/>
    <hyperlink ref="F392" r:id="rId2" display="https://files.afu.se/Downloads/Transcripts/0%20-%20Government/USA%20-%20NASA%20Johnson/"/>
    <hyperlink ref="C393" r:id="rId393" display="https://youtu.be/M6Olv_6d6UI"/>
    <hyperlink ref="F393" r:id="rId2" display="https://files.afu.se/Downloads/Transcripts/0%20-%20Government/USA%20-%20NASA%20Johnson/"/>
    <hyperlink ref="C394" r:id="rId394" display="https://youtu.be/B_g7kkta0L4"/>
    <hyperlink ref="F394" r:id="rId2" display="https://files.afu.se/Downloads/Transcripts/0%20-%20Government/USA%20-%20NASA%20Johnson/"/>
    <hyperlink ref="C395" r:id="rId395" display="https://youtu.be/O62LPeJwhRg"/>
    <hyperlink ref="F395" r:id="rId2" display="https://files.afu.se/Downloads/Transcripts/0%20-%20Government/USA%20-%20NASA%20Johnson/"/>
    <hyperlink ref="C396" r:id="rId396" display="https://youtu.be/isH8Sk_lNr4"/>
    <hyperlink ref="F396" r:id="rId2" display="https://files.afu.se/Downloads/Transcripts/0%20-%20Government/USA%20-%20NASA%20Johnson/"/>
    <hyperlink ref="C397" r:id="rId397" display="https://youtu.be/54zBlM0pwKo"/>
    <hyperlink ref="F397" r:id="rId2" display="https://files.afu.se/Downloads/Transcripts/0%20-%20Government/USA%20-%20NASA%20Johnson/"/>
    <hyperlink ref="C398" r:id="rId398" display="https://youtu.be/MU9vyZ6j-Us"/>
    <hyperlink ref="F398" r:id="rId2" display="https://files.afu.se/Downloads/Transcripts/0%20-%20Government/USA%20-%20NASA%20Johnson/"/>
    <hyperlink ref="C399" r:id="rId399" display="https://youtu.be/lo30ykoaogI"/>
    <hyperlink ref="F399" r:id="rId2" display="https://files.afu.se/Downloads/Transcripts/0%20-%20Government/USA%20-%20NASA%20Johnson/"/>
    <hyperlink ref="C400" r:id="rId400" display="https://youtu.be/AoAsHqAQNOQ"/>
    <hyperlink ref="F400" r:id="rId2" display="https://files.afu.se/Downloads/Transcripts/0%20-%20Government/USA%20-%20NASA%20Johnson/"/>
    <hyperlink ref="C401" r:id="rId401" display="https://youtu.be/8c0EW105TRw"/>
    <hyperlink ref="F401" r:id="rId2" display="https://files.afu.se/Downloads/Transcripts/0%20-%20Government/USA%20-%20NASA%20Johnson/"/>
    <hyperlink ref="C402" r:id="rId402" display="https://youtu.be/Z28gK3zy6dg"/>
    <hyperlink ref="F402" r:id="rId2" display="https://files.afu.se/Downloads/Transcripts/0%20-%20Government/USA%20-%20NASA%20Johnson/"/>
    <hyperlink ref="C403" r:id="rId403" display="https://youtu.be/Xoz9we1KtMQ"/>
    <hyperlink ref="F403" r:id="rId2" display="https://files.afu.se/Downloads/Transcripts/0%20-%20Government/USA%20-%20NASA%20Johnson/"/>
    <hyperlink ref="C404" r:id="rId404" display="https://youtu.be/pQg2_5248bU"/>
    <hyperlink ref="F404" r:id="rId2" display="https://files.afu.se/Downloads/Transcripts/0%20-%20Government/USA%20-%20NASA%20Johnson/"/>
    <hyperlink ref="C405" r:id="rId405" display="https://youtu.be/o4csKVXsPn4"/>
    <hyperlink ref="F405" r:id="rId2" display="https://files.afu.se/Downloads/Transcripts/0%20-%20Government/USA%20-%20NASA%20Johnson/"/>
    <hyperlink ref="C406" r:id="rId406" display="https://youtu.be/bEl8xWsDcqM"/>
    <hyperlink ref="F406" r:id="rId2" display="https://files.afu.se/Downloads/Transcripts/0%20-%20Government/USA%20-%20NASA%20Johnson/"/>
    <hyperlink ref="C407" r:id="rId407" display="https://youtu.be/L2WQR8zMWdI"/>
    <hyperlink ref="F407" r:id="rId2" display="https://files.afu.se/Downloads/Transcripts/0%20-%20Government/USA%20-%20NASA%20Johnson/"/>
    <hyperlink ref="C408" r:id="rId408" display="https://youtu.be/4mNM492UlR8"/>
    <hyperlink ref="F408" r:id="rId2" display="https://files.afu.se/Downloads/Transcripts/0%20-%20Government/USA%20-%20NASA%20Johnson/"/>
    <hyperlink ref="C409" r:id="rId409" display="https://youtu.be/3rn3-Mw9_TI"/>
    <hyperlink ref="F409" r:id="rId2" display="https://files.afu.se/Downloads/Transcripts/0%20-%20Government/USA%20-%20NASA%20Johnson/"/>
    <hyperlink ref="C410" r:id="rId410" display="https://youtu.be/FI9w95ezn4k"/>
    <hyperlink ref="F410" r:id="rId2" display="https://files.afu.se/Downloads/Transcripts/0%20-%20Government/USA%20-%20NASA%20Johnson/"/>
    <hyperlink ref="C411" r:id="rId411" display="https://youtu.be/Z-hJM3tFP30"/>
    <hyperlink ref="F411" r:id="rId2" display="https://files.afu.se/Downloads/Transcripts/0%20-%20Government/USA%20-%20NASA%20Johnson/"/>
    <hyperlink ref="C412" r:id="rId412" display="https://youtu.be/cE4XMWkPwjw"/>
    <hyperlink ref="F412" r:id="rId2" display="https://files.afu.se/Downloads/Transcripts/0%20-%20Government/USA%20-%20NASA%20Johnson/"/>
    <hyperlink ref="C413" r:id="rId413" display="https://youtu.be/eO7BfiPvN38"/>
    <hyperlink ref="F413" r:id="rId2" display="https://files.afu.se/Downloads/Transcripts/0%20-%20Government/USA%20-%20NASA%20Johnson/"/>
    <hyperlink ref="C414" r:id="rId414" display="https://youtu.be/J_LNuLnjjpo"/>
    <hyperlink ref="F414" r:id="rId2" display="https://files.afu.se/Downloads/Transcripts/0%20-%20Government/USA%20-%20NASA%20Johnson/"/>
    <hyperlink ref="C415" r:id="rId415" display="https://youtu.be/eJOIFi_icTI"/>
    <hyperlink ref="F415" r:id="rId2" display="https://files.afu.se/Downloads/Transcripts/0%20-%20Government/USA%20-%20NASA%20Johnson/"/>
    <hyperlink ref="C416" r:id="rId416" display="https://youtu.be/6OJCv8A7F7o"/>
    <hyperlink ref="F416" r:id="rId2" display="https://files.afu.se/Downloads/Transcripts/0%20-%20Government/USA%20-%20NASA%20Johnson/"/>
    <hyperlink ref="C417" r:id="rId417" display="https://youtu.be/Us0rYH_i_LQ"/>
    <hyperlink ref="F417" r:id="rId2" display="https://files.afu.se/Downloads/Transcripts/0%20-%20Government/USA%20-%20NASA%20Johnson/"/>
    <hyperlink ref="C418" r:id="rId418" display="https://youtu.be/WAnlxR50Uu4"/>
    <hyperlink ref="F418" r:id="rId2" display="https://files.afu.se/Downloads/Transcripts/0%20-%20Government/USA%20-%20NASA%20Johnson/"/>
    <hyperlink ref="C419" r:id="rId419" display="https://youtu.be/mGwANxGbM64"/>
    <hyperlink ref="F419" r:id="rId2" display="https://files.afu.se/Downloads/Transcripts/0%20-%20Government/USA%20-%20NASA%20Johnson/"/>
    <hyperlink ref="C420" r:id="rId420" display="https://youtu.be/w8za0FFO8O0"/>
    <hyperlink ref="F420" r:id="rId2" display="https://files.afu.se/Downloads/Transcripts/0%20-%20Government/USA%20-%20NASA%20Johnson/"/>
    <hyperlink ref="C421" r:id="rId421" display="https://youtu.be/bln6Q08PC_Q"/>
    <hyperlink ref="F421" r:id="rId2" display="https://files.afu.se/Downloads/Transcripts/0%20-%20Government/USA%20-%20NASA%20Johnson/"/>
    <hyperlink ref="C422" r:id="rId422" display="https://youtu.be/O-JSEVMEYGE"/>
    <hyperlink ref="F422" r:id="rId2" display="https://files.afu.se/Downloads/Transcripts/0%20-%20Government/USA%20-%20NASA%20Johnson/"/>
    <hyperlink ref="C423" r:id="rId423" display="https://youtu.be/EI1_rLqL3sM"/>
    <hyperlink ref="F423" r:id="rId2" display="https://files.afu.se/Downloads/Transcripts/0%20-%20Government/USA%20-%20NASA%20Johnson/"/>
    <hyperlink ref="C424" r:id="rId424" display="https://youtu.be/8CI9GcMUWog"/>
    <hyperlink ref="F424" r:id="rId2" display="https://files.afu.se/Downloads/Transcripts/0%20-%20Government/USA%20-%20NASA%20Johnson/"/>
    <hyperlink ref="C425" r:id="rId425" display="https://youtu.be/zJytmFaypIk"/>
    <hyperlink ref="F425" r:id="rId2" display="https://files.afu.se/Downloads/Transcripts/0%20-%20Government/USA%20-%20NASA%20Johnson/"/>
    <hyperlink ref="C426" r:id="rId426" display="https://youtu.be/5L6eqgnmlPo"/>
    <hyperlink ref="F426" r:id="rId2" display="https://files.afu.se/Downloads/Transcripts/0%20-%20Government/USA%20-%20NASA%20Johnson/"/>
    <hyperlink ref="C427" r:id="rId427" display="https://youtu.be/xGYdsx5x49g"/>
    <hyperlink ref="F427" r:id="rId2" display="https://files.afu.se/Downloads/Transcripts/0%20-%20Government/USA%20-%20NASA%20Johnson/"/>
    <hyperlink ref="C428" r:id="rId428" display="https://youtu.be/EVft-Lu5fV0"/>
    <hyperlink ref="F428" r:id="rId2" display="https://files.afu.se/Downloads/Transcripts/0%20-%20Government/USA%20-%20NASA%20Johnson/"/>
    <hyperlink ref="C429" r:id="rId429" display="https://youtu.be/_Ecc-wKfPc0"/>
    <hyperlink ref="F429" r:id="rId2" display="https://files.afu.se/Downloads/Transcripts/0%20-%20Government/USA%20-%20NASA%20Johnson/"/>
    <hyperlink ref="C430" r:id="rId430" display="https://youtu.be/sR92iRovqTw"/>
    <hyperlink ref="F430" r:id="rId2" display="https://files.afu.se/Downloads/Transcripts/0%20-%20Government/USA%20-%20NASA%20Johnson/"/>
    <hyperlink ref="C431" r:id="rId431" display="https://youtu.be/VdTXCOkC8xQ"/>
    <hyperlink ref="F431" r:id="rId2" display="https://files.afu.se/Downloads/Transcripts/0%20-%20Government/USA%20-%20NASA%20Johnson/"/>
    <hyperlink ref="C432" r:id="rId432" display="https://youtu.be/t8rI5i2HA48"/>
    <hyperlink ref="F432" r:id="rId2" display="https://files.afu.se/Downloads/Transcripts/0%20-%20Government/USA%20-%20NASA%20Johnson/"/>
    <hyperlink ref="C433" r:id="rId433" display="https://youtu.be/1lUhFvL49fo"/>
    <hyperlink ref="F433" r:id="rId2" display="https://files.afu.se/Downloads/Transcripts/0%20-%20Government/USA%20-%20NASA%20Johnson/"/>
    <hyperlink ref="C434" r:id="rId434" display="https://youtu.be/OmIdSFMKZmA"/>
    <hyperlink ref="F434" r:id="rId2" display="https://files.afu.se/Downloads/Transcripts/0%20-%20Government/USA%20-%20NASA%20Johnson/"/>
    <hyperlink ref="C435" r:id="rId435" display="https://youtu.be/-rvXYvFBUWk"/>
    <hyperlink ref="F435" r:id="rId2" display="https://files.afu.se/Downloads/Transcripts/0%20-%20Government/USA%20-%20NASA%20Johnson/"/>
    <hyperlink ref="C436" r:id="rId436" display="https://youtu.be/bEzE14HKr5o"/>
    <hyperlink ref="F436" r:id="rId2" display="https://files.afu.se/Downloads/Transcripts/0%20-%20Government/USA%20-%20NASA%20Johnson/"/>
    <hyperlink ref="C437" r:id="rId437" display="https://youtu.be/TR7-YG3B1UE"/>
    <hyperlink ref="F437" r:id="rId2" display="https://files.afu.se/Downloads/Transcripts/0%20-%20Government/USA%20-%20NASA%20Johnson/"/>
    <hyperlink ref="C438" r:id="rId438" display="https://youtu.be/_G0JYeBEuIw"/>
    <hyperlink ref="F438" r:id="rId2" display="https://files.afu.se/Downloads/Transcripts/0%20-%20Government/USA%20-%20NASA%20Johnson/"/>
    <hyperlink ref="C439" r:id="rId439" display="https://youtu.be/Ohc6WoPROxc"/>
    <hyperlink ref="F439" r:id="rId2" display="https://files.afu.se/Downloads/Transcripts/0%20-%20Government/USA%20-%20NASA%20Johnson/"/>
    <hyperlink ref="C440" r:id="rId440" display="https://youtu.be/F1P8dDYEvwA"/>
    <hyperlink ref="F440" r:id="rId2" display="https://files.afu.se/Downloads/Transcripts/0%20-%20Government/USA%20-%20NASA%20Johnson/"/>
    <hyperlink ref="C441" r:id="rId441" display="https://youtu.be/8rv2Fv6iyc0"/>
    <hyperlink ref="F441" r:id="rId2" display="https://files.afu.se/Downloads/Transcripts/0%20-%20Government/USA%20-%20NASA%20Johnson/"/>
    <hyperlink ref="C442" r:id="rId442" display="https://youtu.be/o1QW8zm3bJY"/>
    <hyperlink ref="F442" r:id="rId2" display="https://files.afu.se/Downloads/Transcripts/0%20-%20Government/USA%20-%20NASA%20Johnson/"/>
    <hyperlink ref="C443" r:id="rId443" display="https://youtu.be/eiJAZSc-IQM"/>
    <hyperlink ref="F443" r:id="rId2" display="https://files.afu.se/Downloads/Transcripts/0%20-%20Government/USA%20-%20NASA%20Johnson/"/>
    <hyperlink ref="C444" r:id="rId444" display="https://youtu.be/sLJU_3UtkaQ"/>
    <hyperlink ref="F444" r:id="rId2" display="https://files.afu.se/Downloads/Transcripts/0%20-%20Government/USA%20-%20NASA%20Johnson/"/>
    <hyperlink ref="C445" r:id="rId445" display="https://youtu.be/K13uQoV3sb0"/>
    <hyperlink ref="F445" r:id="rId2" display="https://files.afu.se/Downloads/Transcripts/0%20-%20Government/USA%20-%20NASA%20Johnson/"/>
    <hyperlink ref="C446" r:id="rId446" display="https://youtu.be/s654YJ7PZg8"/>
    <hyperlink ref="F446" r:id="rId2" display="https://files.afu.se/Downloads/Transcripts/0%20-%20Government/USA%20-%20NASA%20Johnson/"/>
    <hyperlink ref="C447" r:id="rId447" display="https://youtu.be/280cKaJx30g"/>
    <hyperlink ref="F447" r:id="rId2" display="https://files.afu.se/Downloads/Transcripts/0%20-%20Government/USA%20-%20NASA%20Johnson/"/>
    <hyperlink ref="C448" r:id="rId448" display="https://youtu.be/C0tr0FmOYW4"/>
    <hyperlink ref="F448" r:id="rId2" display="https://files.afu.se/Downloads/Transcripts/0%20-%20Government/USA%20-%20NASA%20Johnson/"/>
    <hyperlink ref="C449" r:id="rId449" display="https://youtu.be/eP1_T8vKgwE"/>
    <hyperlink ref="F449" r:id="rId2" display="https://files.afu.se/Downloads/Transcripts/0%20-%20Government/USA%20-%20NASA%20Johnson/"/>
    <hyperlink ref="C450" r:id="rId450" display="https://youtu.be/-V2WZ5tApoc"/>
    <hyperlink ref="F450" r:id="rId2" display="https://files.afu.se/Downloads/Transcripts/0%20-%20Government/USA%20-%20NASA%20Johnson/"/>
    <hyperlink ref="C451" r:id="rId451" display="https://youtu.be/6cCxaYVyuv4"/>
    <hyperlink ref="F451" r:id="rId2" display="https://files.afu.se/Downloads/Transcripts/0%20-%20Government/USA%20-%20NASA%20Johnson/"/>
    <hyperlink ref="C452" r:id="rId452" display="https://youtu.be/Nmil9vid4NY"/>
    <hyperlink ref="F452" r:id="rId2" display="https://files.afu.se/Downloads/Transcripts/0%20-%20Government/USA%20-%20NASA%20Johnson/"/>
    <hyperlink ref="C453" r:id="rId453" display="https://youtu.be/_LPDZ6gDzRw"/>
    <hyperlink ref="F453" r:id="rId2" display="https://files.afu.se/Downloads/Transcripts/0%20-%20Government/USA%20-%20NASA%20Johnson/"/>
    <hyperlink ref="C454" r:id="rId454" display="https://youtu.be/8obopaD8bXA"/>
    <hyperlink ref="F454" r:id="rId2" display="https://files.afu.se/Downloads/Transcripts/0%20-%20Government/USA%20-%20NASA%20Johnson/"/>
    <hyperlink ref="C455" r:id="rId455" display="https://youtu.be/HDV1IZ-RPyU"/>
    <hyperlink ref="F455" r:id="rId2" display="https://files.afu.se/Downloads/Transcripts/0%20-%20Government/USA%20-%20NASA%20Johnson/"/>
    <hyperlink ref="C456" r:id="rId456" display="https://youtu.be/XEhgp2EhPao"/>
    <hyperlink ref="F456" r:id="rId2" display="https://files.afu.se/Downloads/Transcripts/0%20-%20Government/USA%20-%20NASA%20Johnson/"/>
    <hyperlink ref="C457" r:id="rId457" display="https://youtu.be/DXs5NmRyFrU"/>
    <hyperlink ref="F457" r:id="rId2" display="https://files.afu.se/Downloads/Transcripts/0%20-%20Government/USA%20-%20NASA%20Johnson/"/>
    <hyperlink ref="C458" r:id="rId458" display="https://youtu.be/W85SJE3krPE"/>
    <hyperlink ref="F458" r:id="rId2" display="https://files.afu.se/Downloads/Transcripts/0%20-%20Government/USA%20-%20NASA%20Johnson/"/>
    <hyperlink ref="C459" r:id="rId459" display="https://youtu.be/qDltkPn7J2s"/>
    <hyperlink ref="F459" r:id="rId2" display="https://files.afu.se/Downloads/Transcripts/0%20-%20Government/USA%20-%20NASA%20Johnson/"/>
    <hyperlink ref="C460" r:id="rId460" display="https://youtu.be/h1Y3CeNA_AU"/>
    <hyperlink ref="F460" r:id="rId2" display="https://files.afu.se/Downloads/Transcripts/0%20-%20Government/USA%20-%20NASA%20Johnson/"/>
    <hyperlink ref="C461" r:id="rId461" display="https://youtu.be/zHUo5-6LKyg"/>
    <hyperlink ref="F461" r:id="rId2" display="https://files.afu.se/Downloads/Transcripts/0%20-%20Government/USA%20-%20NASA%20Johnson/"/>
    <hyperlink ref="C462" r:id="rId462" display="https://youtu.be/JD_B1QK-Jok"/>
    <hyperlink ref="F462" r:id="rId2" display="https://files.afu.se/Downloads/Transcripts/0%20-%20Government/USA%20-%20NASA%20Johnson/"/>
    <hyperlink ref="C463" r:id="rId463" display="https://youtu.be/qXqlgub8neE"/>
    <hyperlink ref="F463" r:id="rId2" display="https://files.afu.se/Downloads/Transcripts/0%20-%20Government/USA%20-%20NASA%20Johnson/"/>
    <hyperlink ref="C464" r:id="rId464" display="https://youtu.be/0mVyxtFIvj4"/>
    <hyperlink ref="F464" r:id="rId2" display="https://files.afu.se/Downloads/Transcripts/0%20-%20Government/USA%20-%20NASA%20Johnson/"/>
    <hyperlink ref="C465" r:id="rId465" display="https://youtu.be/Rww7zst5XhA"/>
    <hyperlink ref="F465" r:id="rId2" display="https://files.afu.se/Downloads/Transcripts/0%20-%20Government/USA%20-%20NASA%20Johnson/"/>
    <hyperlink ref="C466" r:id="rId466" display="https://youtu.be/m-KAT78zU3s"/>
    <hyperlink ref="F466" r:id="rId2" display="https://files.afu.se/Downloads/Transcripts/0%20-%20Government/USA%20-%20NASA%20Johnson/"/>
    <hyperlink ref="C467" r:id="rId467" display="https://youtu.be/FEjjEgjacIY"/>
    <hyperlink ref="F467" r:id="rId2" display="https://files.afu.se/Downloads/Transcripts/0%20-%20Government/USA%20-%20NASA%20Johnson/"/>
    <hyperlink ref="C468" r:id="rId468" display="https://youtu.be/H_qPWZbxFl8"/>
    <hyperlink ref="F468" r:id="rId2" display="https://files.afu.se/Downloads/Transcripts/0%20-%20Government/USA%20-%20NASA%20Johnson/"/>
    <hyperlink ref="C469" r:id="rId469" display="https://youtu.be/y2nr6X1QN0g"/>
    <hyperlink ref="F469" r:id="rId2" display="https://files.afu.se/Downloads/Transcripts/0%20-%20Government/USA%20-%20NASA%20Johnson/"/>
    <hyperlink ref="C470" r:id="rId470" display="https://youtu.be/ZqK2zG8EWnY"/>
    <hyperlink ref="F470" r:id="rId2" display="https://files.afu.se/Downloads/Transcripts/0%20-%20Government/USA%20-%20NASA%20Johnson/"/>
    <hyperlink ref="C471" r:id="rId471" display="https://youtu.be/HvSz7DeeqSo"/>
    <hyperlink ref="F471" r:id="rId2" display="https://files.afu.se/Downloads/Transcripts/0%20-%20Government/USA%20-%20NASA%20Johnson/"/>
    <hyperlink ref="C472" r:id="rId472" display="https://youtu.be/G4rrizQLmoo"/>
    <hyperlink ref="F472" r:id="rId2" display="https://files.afu.se/Downloads/Transcripts/0%20-%20Government/USA%20-%20NASA%20Johnson/"/>
    <hyperlink ref="C473" r:id="rId473" display="https://youtu.be/fczAR0Hp7pw"/>
    <hyperlink ref="F473" r:id="rId2" display="https://files.afu.se/Downloads/Transcripts/0%20-%20Government/USA%20-%20NASA%20Johnson/"/>
    <hyperlink ref="C474" r:id="rId474" display="https://youtu.be/fw-jFxHn5WA"/>
    <hyperlink ref="F474" r:id="rId2" display="https://files.afu.se/Downloads/Transcripts/0%20-%20Government/USA%20-%20NASA%20Johnson/"/>
    <hyperlink ref="C475" r:id="rId475" display="https://youtu.be/-L6AMwZDmhs"/>
    <hyperlink ref="F475" r:id="rId2" display="https://files.afu.se/Downloads/Transcripts/0%20-%20Government/USA%20-%20NASA%20Johnson/"/>
    <hyperlink ref="C476" r:id="rId476" display="https://youtu.be/13HJ62g4tPQ"/>
    <hyperlink ref="F476" r:id="rId2" display="https://files.afu.se/Downloads/Transcripts/0%20-%20Government/USA%20-%20NASA%20Johnson/"/>
    <hyperlink ref="C477" r:id="rId477" display="https://youtu.be/Ol7foiNEAXo"/>
    <hyperlink ref="F477" r:id="rId2" display="https://files.afu.se/Downloads/Transcripts/0%20-%20Government/USA%20-%20NASA%20Johnson/"/>
    <hyperlink ref="C478" r:id="rId478" display="https://youtu.be/VVSGBneN9tk"/>
    <hyperlink ref="F478" r:id="rId2" display="https://files.afu.se/Downloads/Transcripts/0%20-%20Government/USA%20-%20NASA%20Johnson/"/>
    <hyperlink ref="C479" r:id="rId479" display="https://youtu.be/mLQn0hI7CC0"/>
    <hyperlink ref="F479" r:id="rId2" display="https://files.afu.se/Downloads/Transcripts/0%20-%20Government/USA%20-%20NASA%20Johnson/"/>
    <hyperlink ref="C480" r:id="rId480" display="https://youtu.be/ov_O0wyMFVA"/>
    <hyperlink ref="F480" r:id="rId2" display="https://files.afu.se/Downloads/Transcripts/0%20-%20Government/USA%20-%20NASA%20Johnson/"/>
    <hyperlink ref="C481" r:id="rId481" display="https://youtu.be/t5ps88groLs"/>
    <hyperlink ref="F481" r:id="rId2" display="https://files.afu.se/Downloads/Transcripts/0%20-%20Government/USA%20-%20NASA%20Johnson/"/>
    <hyperlink ref="C482" r:id="rId482" display="https://youtu.be/CJffqAQpq9g"/>
    <hyperlink ref="F482" r:id="rId2" display="https://files.afu.se/Downloads/Transcripts/0%20-%20Government/USA%20-%20NASA%20Johnson/"/>
    <hyperlink ref="C483" r:id="rId483" display="https://youtu.be/F-CzttBEb_Y"/>
    <hyperlink ref="F483" r:id="rId2" display="https://files.afu.se/Downloads/Transcripts/0%20-%20Government/USA%20-%20NASA%20Johnson/"/>
    <hyperlink ref="C484" r:id="rId484" display="https://youtu.be/_xAwDYXiVZk"/>
    <hyperlink ref="F484" r:id="rId2" display="https://files.afu.se/Downloads/Transcripts/0%20-%20Government/USA%20-%20NASA%20Johnson/"/>
    <hyperlink ref="C485" r:id="rId485" display="https://youtu.be/HVTZNb-uTf0"/>
    <hyperlink ref="F485" r:id="rId2" display="https://files.afu.se/Downloads/Transcripts/0%20-%20Government/USA%20-%20NASA%20Johnson/"/>
    <hyperlink ref="C486" r:id="rId486" display="https://youtu.be/tZupyfyfyl0"/>
    <hyperlink ref="F486" r:id="rId2" display="https://files.afu.se/Downloads/Transcripts/0%20-%20Government/USA%20-%20NASA%20Johnson/"/>
    <hyperlink ref="C487" r:id="rId487" display="https://youtu.be/SGxGiD6rI9w"/>
    <hyperlink ref="F487" r:id="rId2" display="https://files.afu.se/Downloads/Transcripts/0%20-%20Government/USA%20-%20NASA%20Johnson/"/>
    <hyperlink ref="C488" r:id="rId488" display="https://youtu.be/c27zrOh6qkY"/>
    <hyperlink ref="F488" r:id="rId2" display="https://files.afu.se/Downloads/Transcripts/0%20-%20Government/USA%20-%20NASA%20Johnson/"/>
    <hyperlink ref="C489" r:id="rId489" display="https://youtu.be/dcsiIoQody4"/>
    <hyperlink ref="F489" r:id="rId2" display="https://files.afu.se/Downloads/Transcripts/0%20-%20Government/USA%20-%20NASA%20Johnson/"/>
    <hyperlink ref="C490" r:id="rId490" display="https://youtu.be/orWZ1BXRg_Y"/>
    <hyperlink ref="F490" r:id="rId2" display="https://files.afu.se/Downloads/Transcripts/0%20-%20Government/USA%20-%20NASA%20Johnson/"/>
    <hyperlink ref="C491" r:id="rId491" display="https://youtu.be/pJXSxS8dA1s"/>
    <hyperlink ref="F491" r:id="rId2" display="https://files.afu.se/Downloads/Transcripts/0%20-%20Government/USA%20-%20NASA%20Johnson/"/>
    <hyperlink ref="C492" r:id="rId492" display="https://youtu.be/XI9bgWEwv8c"/>
    <hyperlink ref="F492" r:id="rId2" display="https://files.afu.se/Downloads/Transcripts/0%20-%20Government/USA%20-%20NASA%20Johnson/"/>
    <hyperlink ref="C493" r:id="rId493" display="https://youtu.be/H-UVSIIgxRw"/>
    <hyperlink ref="F493" r:id="rId2" display="https://files.afu.se/Downloads/Transcripts/0%20-%20Government/USA%20-%20NASA%20Johnson/"/>
    <hyperlink ref="C494" r:id="rId494" display="https://youtu.be/xv3uSmMBPPw"/>
    <hyperlink ref="F494" r:id="rId2" display="https://files.afu.se/Downloads/Transcripts/0%20-%20Government/USA%20-%20NASA%20Johnson/"/>
    <hyperlink ref="C495" r:id="rId495" display="https://youtu.be/J8xmbMZEXBk"/>
    <hyperlink ref="F495" r:id="rId2" display="https://files.afu.se/Downloads/Transcripts/0%20-%20Government/USA%20-%20NASA%20Johnson/"/>
    <hyperlink ref="C496" r:id="rId496" display="https://youtu.be/bSqrmRE5g3Y"/>
    <hyperlink ref="F496" r:id="rId2" display="https://files.afu.se/Downloads/Transcripts/0%20-%20Government/USA%20-%20NASA%20Johnson/"/>
    <hyperlink ref="C497" r:id="rId497" display="https://youtu.be/GqRITyuIojY"/>
    <hyperlink ref="F497" r:id="rId2" display="https://files.afu.se/Downloads/Transcripts/0%20-%20Government/USA%20-%20NASA%20Johnson/"/>
    <hyperlink ref="C498" r:id="rId498" display="https://youtu.be/9ylhxZc0So0"/>
    <hyperlink ref="F498" r:id="rId2" display="https://files.afu.se/Downloads/Transcripts/0%20-%20Government/USA%20-%20NASA%20Johnson/"/>
    <hyperlink ref="C499" r:id="rId499" display="https://youtu.be/6ILU7-945L8"/>
    <hyperlink ref="F499" r:id="rId2" display="https://files.afu.se/Downloads/Transcripts/0%20-%20Government/USA%20-%20NASA%20Johnson/"/>
    <hyperlink ref="C500" r:id="rId500" display="https://youtu.be/rBnjgOtiiME"/>
    <hyperlink ref="F500" r:id="rId2" display="https://files.afu.se/Downloads/Transcripts/0%20-%20Government/USA%20-%20NASA%20Johnson/"/>
    <hyperlink ref="C501" r:id="rId501" display="https://youtu.be/5CzuwztCw-E"/>
    <hyperlink ref="F501" r:id="rId2" display="https://files.afu.se/Downloads/Transcripts/0%20-%20Government/USA%20-%20NASA%20Johnson/"/>
    <hyperlink ref="C502" r:id="rId502" display="https://youtu.be/j1pNekMc3Co"/>
    <hyperlink ref="F502" r:id="rId2" display="https://files.afu.se/Downloads/Transcripts/0%20-%20Government/USA%20-%20NASA%20Johnson/"/>
    <hyperlink ref="C503" r:id="rId503" display="https://youtu.be/BwxctJQwn9I"/>
    <hyperlink ref="F503" r:id="rId2" display="https://files.afu.se/Downloads/Transcripts/0%20-%20Government/USA%20-%20NASA%20Johnson/"/>
    <hyperlink ref="C504" r:id="rId504" display="https://youtu.be/r7Dr3loRIH8"/>
    <hyperlink ref="F504" r:id="rId2" display="https://files.afu.se/Downloads/Transcripts/0%20-%20Government/USA%20-%20NASA%20Johnson/"/>
    <hyperlink ref="C505" r:id="rId505" display="https://youtu.be/KfljMbcN_AI"/>
    <hyperlink ref="F505" r:id="rId2" display="https://files.afu.se/Downloads/Transcripts/0%20-%20Government/USA%20-%20NASA%20Johnson/"/>
    <hyperlink ref="C506" r:id="rId506" display="https://youtu.be/h5T37kIEXa8"/>
    <hyperlink ref="F506" r:id="rId2" display="https://files.afu.se/Downloads/Transcripts/0%20-%20Government/USA%20-%20NASA%20Johnson/"/>
    <hyperlink ref="C507" r:id="rId507" display="https://youtu.be/sEIK49joICE"/>
    <hyperlink ref="F507" r:id="rId2" display="https://files.afu.se/Downloads/Transcripts/0%20-%20Government/USA%20-%20NASA%20Johnson/"/>
    <hyperlink ref="C508" r:id="rId508" display="https://youtu.be/cKaZdxqygRM"/>
    <hyperlink ref="F508" r:id="rId2" display="https://files.afu.se/Downloads/Transcripts/0%20-%20Government/USA%20-%20NASA%20Johnson/"/>
    <hyperlink ref="C509" r:id="rId509" display="https://youtu.be/kLY8q5Rnh0M"/>
    <hyperlink ref="F509" r:id="rId2" display="https://files.afu.se/Downloads/Transcripts/0%20-%20Government/USA%20-%20NASA%20Johnson/"/>
    <hyperlink ref="C510" r:id="rId510" display="https://youtu.be/mGd9bz52OqQ"/>
    <hyperlink ref="F510" r:id="rId2" display="https://files.afu.se/Downloads/Transcripts/0%20-%20Government/USA%20-%20NASA%20Johnson/"/>
    <hyperlink ref="C511" r:id="rId511" display="https://youtu.be/exNcWaUFIYY"/>
    <hyperlink ref="F511" r:id="rId2" display="https://files.afu.se/Downloads/Transcripts/0%20-%20Government/USA%20-%20NASA%20Johnson/"/>
    <hyperlink ref="C512" r:id="rId512" display="https://youtu.be/XqyA0trJUqI"/>
    <hyperlink ref="F512" r:id="rId2" display="https://files.afu.se/Downloads/Transcripts/0%20-%20Government/USA%20-%20NASA%20Johnson/"/>
    <hyperlink ref="C513" r:id="rId513" display="https://youtu.be/vrLivzPNNNA"/>
    <hyperlink ref="F513" r:id="rId2" display="https://files.afu.se/Downloads/Transcripts/0%20-%20Government/USA%20-%20NASA%20Johnson/"/>
    <hyperlink ref="C514" r:id="rId514" display="https://youtu.be/_Qgjalf62-Y"/>
    <hyperlink ref="F514" r:id="rId2" display="https://files.afu.se/Downloads/Transcripts/0%20-%20Government/USA%20-%20NASA%20Johnson/"/>
    <hyperlink ref="C515" r:id="rId515" display="https://youtu.be/an6hE3g2LZM"/>
    <hyperlink ref="F515" r:id="rId2" display="https://files.afu.se/Downloads/Transcripts/0%20-%20Government/USA%20-%20NASA%20Johnson/"/>
    <hyperlink ref="C516" r:id="rId516" display="https://youtu.be/pr0Mm-vbdxw"/>
    <hyperlink ref="F516" r:id="rId2" display="https://files.afu.se/Downloads/Transcripts/0%20-%20Government/USA%20-%20NASA%20Johnson/"/>
    <hyperlink ref="C517" r:id="rId517" display="https://youtu.be/5czckmjorR0"/>
    <hyperlink ref="F517" r:id="rId2" display="https://files.afu.se/Downloads/Transcripts/0%20-%20Government/USA%20-%20NASA%20Johnson/"/>
    <hyperlink ref="C518" r:id="rId518" display="https://youtu.be/b0ggTjHwZJ4"/>
    <hyperlink ref="F518" r:id="rId2" display="https://files.afu.se/Downloads/Transcripts/0%20-%20Government/USA%20-%20NASA%20Johnson/"/>
    <hyperlink ref="C519" r:id="rId519" display="https://youtu.be/Vy28SQuw0Pw"/>
    <hyperlink ref="F519" r:id="rId2" display="https://files.afu.se/Downloads/Transcripts/0%20-%20Government/USA%20-%20NASA%20Johnson/"/>
    <hyperlink ref="C520" r:id="rId520" display="https://youtu.be/1AG9f0dmg2w"/>
    <hyperlink ref="F520" r:id="rId2" display="https://files.afu.se/Downloads/Transcripts/0%20-%20Government/USA%20-%20NASA%20Johnson/"/>
    <hyperlink ref="C521" r:id="rId521" display="https://youtu.be/eP3iLOuo3Is"/>
    <hyperlink ref="F521" r:id="rId2" display="https://files.afu.se/Downloads/Transcripts/0%20-%20Government/USA%20-%20NASA%20Johnson/"/>
    <hyperlink ref="C522" r:id="rId522" display="https://youtu.be/0B9F0stb3s0"/>
    <hyperlink ref="F522" r:id="rId2" display="https://files.afu.se/Downloads/Transcripts/0%20-%20Government/USA%20-%20NASA%20Johnson/"/>
    <hyperlink ref="C523" r:id="rId523" display="https://youtu.be/cXNoVoKgtG0"/>
    <hyperlink ref="F523" r:id="rId2" display="https://files.afu.se/Downloads/Transcripts/0%20-%20Government/USA%20-%20NASA%20Johnson/"/>
    <hyperlink ref="C524" r:id="rId524" display="https://youtu.be/4LFM3VFSpsQ"/>
    <hyperlink ref="F524" r:id="rId2" display="https://files.afu.se/Downloads/Transcripts/0%20-%20Government/USA%20-%20NASA%20Johnson/"/>
    <hyperlink ref="C525" r:id="rId525" display="https://youtu.be/zvptkWTeSas"/>
    <hyperlink ref="F525" r:id="rId2" display="https://files.afu.se/Downloads/Transcripts/0%20-%20Government/USA%20-%20NASA%20Johnson/"/>
    <hyperlink ref="C526" r:id="rId526" display="https://youtu.be/TxJ69IYshJY"/>
    <hyperlink ref="F526" r:id="rId2" display="https://files.afu.se/Downloads/Transcripts/0%20-%20Government/USA%20-%20NASA%20Johnson/"/>
    <hyperlink ref="C527" r:id="rId527" display="https://youtu.be/1iMUwXP5nGA"/>
    <hyperlink ref="F527" r:id="rId2" display="https://files.afu.se/Downloads/Transcripts/0%20-%20Government/USA%20-%20NASA%20Johnson/"/>
    <hyperlink ref="C528" r:id="rId528" display="https://youtu.be/PD2d4jBSv1M"/>
    <hyperlink ref="F528" r:id="rId2" display="https://files.afu.se/Downloads/Transcripts/0%20-%20Government/USA%20-%20NASA%20Johnson/"/>
    <hyperlink ref="C529" r:id="rId529" display="https://youtu.be/FG409y1WN4M"/>
    <hyperlink ref="F529" r:id="rId2" display="https://files.afu.se/Downloads/Transcripts/0%20-%20Government/USA%20-%20NASA%20Johnson/"/>
    <hyperlink ref="C530" r:id="rId530" display="https://youtu.be/8kLw0mKU6Zk"/>
    <hyperlink ref="F530" r:id="rId2" display="https://files.afu.se/Downloads/Transcripts/0%20-%20Government/USA%20-%20NASA%20Johnson/"/>
    <hyperlink ref="C531" r:id="rId531" display="https://youtu.be/iwZ0Agu-3kE"/>
    <hyperlink ref="F531" r:id="rId2" display="https://files.afu.se/Downloads/Transcripts/0%20-%20Government/USA%20-%20NASA%20Johnson/"/>
    <hyperlink ref="C532" r:id="rId532" display="https://youtu.be/1vDvKRtZmVw"/>
    <hyperlink ref="F532" r:id="rId2" display="https://files.afu.se/Downloads/Transcripts/0%20-%20Government/USA%20-%20NASA%20Johnson/"/>
    <hyperlink ref="C533" r:id="rId533" display="https://youtu.be/a6Chhb75k_s"/>
    <hyperlink ref="F533" r:id="rId2" display="https://files.afu.se/Downloads/Transcripts/0%20-%20Government/USA%20-%20NASA%20Johnson/"/>
    <hyperlink ref="C534" r:id="rId534" display="https://youtu.be/29SIX6YFYGY"/>
    <hyperlink ref="F534" r:id="rId2" display="https://files.afu.se/Downloads/Transcripts/0%20-%20Government/USA%20-%20NASA%20Johnson/"/>
    <hyperlink ref="C535" r:id="rId535" display="https://youtu.be/1VV6CwxJYtM"/>
    <hyperlink ref="F535" r:id="rId2" display="https://files.afu.se/Downloads/Transcripts/0%20-%20Government/USA%20-%20NASA%20Johnson/"/>
    <hyperlink ref="C536" r:id="rId536" display="https://youtu.be/Tu5BgjZRYKA"/>
    <hyperlink ref="F536" r:id="rId2" display="https://files.afu.se/Downloads/Transcripts/0%20-%20Government/USA%20-%20NASA%20Johnson/"/>
    <hyperlink ref="C537" r:id="rId537" display="https://youtu.be/3BoO0obihPs"/>
    <hyperlink ref="F537" r:id="rId2" display="https://files.afu.se/Downloads/Transcripts/0%20-%20Government/USA%20-%20NASA%20Johnson/"/>
    <hyperlink ref="C538" r:id="rId538" display="https://youtu.be/MVY09DfbcyI"/>
    <hyperlink ref="F538" r:id="rId2" display="https://files.afu.se/Downloads/Transcripts/0%20-%20Government/USA%20-%20NASA%20Johnson/"/>
    <hyperlink ref="C539" r:id="rId539" display="https://youtu.be/BISAsi3uyhM"/>
    <hyperlink ref="F539" r:id="rId2" display="https://files.afu.se/Downloads/Transcripts/0%20-%20Government/USA%20-%20NASA%20Johnson/"/>
    <hyperlink ref="C540" r:id="rId540" display="https://youtu.be/45hEdNMUHpc"/>
    <hyperlink ref="F540" r:id="rId2" display="https://files.afu.se/Downloads/Transcripts/0%20-%20Government/USA%20-%20NASA%20Johnson/"/>
    <hyperlink ref="C541" r:id="rId541" display="https://youtu.be/CHzoZ98a2iY"/>
    <hyperlink ref="F541" r:id="rId2" display="https://files.afu.se/Downloads/Transcripts/0%20-%20Government/USA%20-%20NASA%20Johnson/"/>
    <hyperlink ref="C542" r:id="rId542" display="https://youtu.be/lbGpk8yG6CA"/>
    <hyperlink ref="F542" r:id="rId2" display="https://files.afu.se/Downloads/Transcripts/0%20-%20Government/USA%20-%20NASA%20Johnson/"/>
    <hyperlink ref="C543" r:id="rId543" display="https://youtu.be/vwc74Y3e774"/>
    <hyperlink ref="F543" r:id="rId2" display="https://files.afu.se/Downloads/Transcripts/0%20-%20Government/USA%20-%20NASA%20Johnson/"/>
    <hyperlink ref="C544" r:id="rId544" display="https://youtu.be/w53JFVZtwhA"/>
    <hyperlink ref="F544" r:id="rId2" display="https://files.afu.se/Downloads/Transcripts/0%20-%20Government/USA%20-%20NASA%20Johnson/"/>
    <hyperlink ref="C545" r:id="rId545" display="https://youtu.be/10Pb6xQ_IYY"/>
    <hyperlink ref="F545" r:id="rId2" display="https://files.afu.se/Downloads/Transcripts/0%20-%20Government/USA%20-%20NASA%20Johnson/"/>
    <hyperlink ref="C546" r:id="rId546" display="https://youtu.be/619bUFGsD5A"/>
    <hyperlink ref="F546" r:id="rId2" display="https://files.afu.se/Downloads/Transcripts/0%20-%20Government/USA%20-%20NASA%20Johnson/"/>
    <hyperlink ref="C547" r:id="rId547" display="https://youtu.be/6IDeu5pjWuY"/>
    <hyperlink ref="F547" r:id="rId2" display="https://files.afu.se/Downloads/Transcripts/0%20-%20Government/USA%20-%20NASA%20Johnson/"/>
    <hyperlink ref="C548" r:id="rId548" display="https://youtu.be/8tK8sAU-Cyk"/>
    <hyperlink ref="F548" r:id="rId2" display="https://files.afu.se/Downloads/Transcripts/0%20-%20Government/USA%20-%20NASA%20Johnson/"/>
    <hyperlink ref="C549" r:id="rId549" display="https://youtu.be/A87YPC3SBko"/>
    <hyperlink ref="F549" r:id="rId2" display="https://files.afu.se/Downloads/Transcripts/0%20-%20Government/USA%20-%20NASA%20Johnson/"/>
    <hyperlink ref="C550" r:id="rId550" display="https://youtu.be/Cz4ib70kpZE"/>
    <hyperlink ref="F550" r:id="rId2" display="https://files.afu.se/Downloads/Transcripts/0%20-%20Government/USA%20-%20NASA%20Johnson/"/>
    <hyperlink ref="C551" r:id="rId551" display="https://youtu.be/DpoIYI2cU7c"/>
    <hyperlink ref="F551" r:id="rId2" display="https://files.afu.se/Downloads/Transcripts/0%20-%20Government/USA%20-%20NASA%20Johnson/"/>
    <hyperlink ref="C552" r:id="rId552" display="https://youtu.be/LSgUf3SGXdg"/>
    <hyperlink ref="F552" r:id="rId2" display="https://files.afu.se/Downloads/Transcripts/0%20-%20Government/USA%20-%20NASA%20Johnson/"/>
    <hyperlink ref="C553" r:id="rId553" display="https://youtu.be/OBBBT4V0Acw"/>
    <hyperlink ref="F553" r:id="rId2" display="https://files.afu.se/Downloads/Transcripts/0%20-%20Government/USA%20-%20NASA%20Johnson/"/>
    <hyperlink ref="C554" r:id="rId554" display="https://youtu.be/VMxB55C2qeU"/>
    <hyperlink ref="F554" r:id="rId2" display="https://files.afu.se/Downloads/Transcripts/0%20-%20Government/USA%20-%20NASA%20Johnson/"/>
    <hyperlink ref="C555" r:id="rId555" display="https://youtu.be/VwrWafrxsSE"/>
    <hyperlink ref="F555" r:id="rId2" display="https://files.afu.se/Downloads/Transcripts/0%20-%20Government/USA%20-%20NASA%20Johnson/"/>
    <hyperlink ref="C556" r:id="rId556" display="https://youtu.be/iyncWZVONm0"/>
    <hyperlink ref="F556" r:id="rId2" display="https://files.afu.se/Downloads/Transcripts/0%20-%20Government/USA%20-%20NASA%20Johnson/"/>
    <hyperlink ref="C557" r:id="rId557" display="https://youtu.be/ugwNv0E3hwM"/>
    <hyperlink ref="F557" r:id="rId2" display="https://files.afu.se/Downloads/Transcripts/0%20-%20Government/USA%20-%20NASA%20Johnson/"/>
    <hyperlink ref="C558" r:id="rId558" display="https://youtu.be/w7pkPkjRi3k"/>
    <hyperlink ref="F558" r:id="rId2" display="https://files.afu.se/Downloads/Transcripts/0%20-%20Government/USA%20-%20NASA%20Johnson/"/>
    <hyperlink ref="C559" r:id="rId559" display="https://youtu.be/wuQK_2xUzsc"/>
    <hyperlink ref="F559" r:id="rId2" display="https://files.afu.se/Downloads/Transcripts/0%20-%20Government/USA%20-%20NASA%20Johnson/"/>
    <hyperlink ref="C560" r:id="rId560" display="https://youtu.be/x0dPDLtTVjY"/>
    <hyperlink ref="F560" r:id="rId2" display="https://files.afu.se/Downloads/Transcripts/0%20-%20Government/USA%20-%20NASA%20Johnson/"/>
    <hyperlink ref="C561" r:id="rId561" display="https://youtu.be/xJjEQYohgG4"/>
    <hyperlink ref="F561" r:id="rId2" display="https://files.afu.se/Downloads/Transcripts/0%20-%20Government/USA%20-%20NASA%20Johnson/"/>
    <hyperlink ref="C562" r:id="rId562" display="https://youtu.be/--Oy44w1cmY"/>
    <hyperlink ref="F562" r:id="rId2" display="https://files.afu.se/Downloads/Transcripts/0%20-%20Government/USA%20-%20NASA%20Johnson/"/>
    <hyperlink ref="C563" r:id="rId563" display="https://youtu.be/TLxoWSBpBxE"/>
    <hyperlink ref="F563" r:id="rId2" display="https://files.afu.se/Downloads/Transcripts/0%20-%20Government/USA%20-%20NASA%20Johnson/"/>
    <hyperlink ref="C564" r:id="rId564" display="https://youtu.be/RKcxNsaLxEM"/>
    <hyperlink ref="F564" r:id="rId2" display="https://files.afu.se/Downloads/Transcripts/0%20-%20Government/USA%20-%20NASA%20Johnson/"/>
    <hyperlink ref="C565" r:id="rId565" display="https://youtu.be/F9YUaAomNrI"/>
    <hyperlink ref="F565" r:id="rId2" display="https://files.afu.se/Downloads/Transcripts/0%20-%20Government/USA%20-%20NASA%20Johnson/"/>
    <hyperlink ref="C566" r:id="rId566" display="https://youtu.be/_v97DjFoq8s"/>
    <hyperlink ref="F566" r:id="rId2" display="https://files.afu.se/Downloads/Transcripts/0%20-%20Government/USA%20-%20NASA%20Johnson/"/>
    <hyperlink ref="C567" r:id="rId567" display="https://youtu.be/IgvjLRNIrhk"/>
    <hyperlink ref="F567" r:id="rId2" display="https://files.afu.se/Downloads/Transcripts/0%20-%20Government/USA%20-%20NASA%20Johnson/"/>
    <hyperlink ref="C568" r:id="rId568" display="https://youtu.be/uE4k4P1nKuk"/>
    <hyperlink ref="F568" r:id="rId2" display="https://files.afu.se/Downloads/Transcripts/0%20-%20Government/USA%20-%20NASA%20Johnson/"/>
    <hyperlink ref="C569" r:id="rId569" display="https://youtu.be/N7v4hnzA9e0"/>
    <hyperlink ref="F569" r:id="rId2" display="https://files.afu.se/Downloads/Transcripts/0%20-%20Government/USA%20-%20NASA%20Johnson/"/>
    <hyperlink ref="C570" r:id="rId570" display="https://youtu.be/ddXdeNTYq_U"/>
    <hyperlink ref="F570" r:id="rId2" display="https://files.afu.se/Downloads/Transcripts/0%20-%20Government/USA%20-%20NASA%20Johnson/"/>
    <hyperlink ref="C571" r:id="rId571" display="https://youtu.be/AzEVBAJlaKE"/>
    <hyperlink ref="F571" r:id="rId2" display="https://files.afu.se/Downloads/Transcripts/0%20-%20Government/USA%20-%20NASA%20Johnson/"/>
    <hyperlink ref="C572" r:id="rId572" display="https://youtu.be/sXudYIkkyE0"/>
    <hyperlink ref="F572" r:id="rId2" display="https://files.afu.se/Downloads/Transcripts/0%20-%20Government/USA%20-%20NASA%20Johnson/"/>
    <hyperlink ref="C573" r:id="rId573" display="https://youtu.be/NjMuWXZgtQs"/>
    <hyperlink ref="F573" r:id="rId2" display="https://files.afu.se/Downloads/Transcripts/0%20-%20Government/USA%20-%20NASA%20Johnson/"/>
    <hyperlink ref="C574" r:id="rId574" display="https://youtu.be/sdqkw2zL_0w"/>
    <hyperlink ref="F574" r:id="rId2" display="https://files.afu.se/Downloads/Transcripts/0%20-%20Government/USA%20-%20NASA%20Johnson/"/>
    <hyperlink ref="C575" r:id="rId575" display="https://youtu.be/z_3BOpVOPTY"/>
    <hyperlink ref="F575" r:id="rId2" display="https://files.afu.se/Downloads/Transcripts/0%20-%20Government/USA%20-%20NASA%20Johnson/"/>
    <hyperlink ref="C576" r:id="rId576" display="https://youtu.be/6x34twf7mOs"/>
    <hyperlink ref="F576" r:id="rId2" display="https://files.afu.se/Downloads/Transcripts/0%20-%20Government/USA%20-%20NASA%20Johnson/"/>
    <hyperlink ref="C577" r:id="rId577" display="https://youtu.be/qPiT-Q4kaBE"/>
    <hyperlink ref="F577" r:id="rId2" display="https://files.afu.se/Downloads/Transcripts/0%20-%20Government/USA%20-%20NASA%20Johnson/"/>
    <hyperlink ref="C578" r:id="rId578" display="https://youtu.be/YlEZ8Idogps"/>
    <hyperlink ref="F578" r:id="rId2" display="https://files.afu.se/Downloads/Transcripts/0%20-%20Government/USA%20-%20NASA%20Johnson/"/>
    <hyperlink ref="C579" r:id="rId579" display="https://youtu.be/uyitOTGCCYo"/>
    <hyperlink ref="F579" r:id="rId2" display="https://files.afu.se/Downloads/Transcripts/0%20-%20Government/USA%20-%20NASA%20Johnson/"/>
    <hyperlink ref="C580" r:id="rId580" display="https://youtu.be/IJ2HKIoYln0"/>
    <hyperlink ref="F580" r:id="rId2" display="https://files.afu.se/Downloads/Transcripts/0%20-%20Government/USA%20-%20NASA%20Johnson/"/>
    <hyperlink ref="C581" r:id="rId581" display="https://youtu.be/l8lGfUV3_ZQ"/>
    <hyperlink ref="F581" r:id="rId2" display="https://files.afu.se/Downloads/Transcripts/0%20-%20Government/USA%20-%20NASA%20Johnson/"/>
    <hyperlink ref="C582" r:id="rId582" display="https://youtu.be/WsTOhOYqq4w"/>
    <hyperlink ref="F582" r:id="rId2" display="https://files.afu.se/Downloads/Transcripts/0%20-%20Government/USA%20-%20NASA%20Johnson/"/>
    <hyperlink ref="C583" r:id="rId583" display="https://youtu.be/sGuTEaR4h_g"/>
    <hyperlink ref="F583" r:id="rId2" display="https://files.afu.se/Downloads/Transcripts/0%20-%20Government/USA%20-%20NASA%20Johnson/"/>
    <hyperlink ref="C584" r:id="rId584" display="https://youtu.be/ezhKIPfEZII"/>
    <hyperlink ref="F584" r:id="rId2" display="https://files.afu.se/Downloads/Transcripts/0%20-%20Government/USA%20-%20NASA%20Johnson/"/>
    <hyperlink ref="C585" r:id="rId585" display="https://youtu.be/v1Bej_a2tgM"/>
    <hyperlink ref="F585" r:id="rId2" display="https://files.afu.se/Downloads/Transcripts/0%20-%20Government/USA%20-%20NASA%20Johnson/"/>
    <hyperlink ref="C586" r:id="rId586" display="https://youtu.be/fNHRGK3pILU"/>
    <hyperlink ref="F586" r:id="rId2" display="https://files.afu.se/Downloads/Transcripts/0%20-%20Government/USA%20-%20NASA%20Johnson/"/>
    <hyperlink ref="C587" r:id="rId587" display="https://youtu.be/erGhIf55IVE"/>
    <hyperlink ref="F587" r:id="rId2" display="https://files.afu.se/Downloads/Transcripts/0%20-%20Government/USA%20-%20NASA%20Johnson/"/>
    <hyperlink ref="C588" r:id="rId588" display="https://youtu.be/AyfMCNfcWSc"/>
    <hyperlink ref="F588" r:id="rId2" display="https://files.afu.se/Downloads/Transcripts/0%20-%20Government/USA%20-%20NASA%20Johnson/"/>
    <hyperlink ref="C589" r:id="rId589" display="https://youtu.be/-DyKl307xKY"/>
    <hyperlink ref="F589" r:id="rId2" display="https://files.afu.se/Downloads/Transcripts/0%20-%20Government/USA%20-%20NASA%20Johnson/"/>
    <hyperlink ref="C590" r:id="rId590" display="https://youtu.be/Csq8aAg5Y78"/>
    <hyperlink ref="F590" r:id="rId2" display="https://files.afu.se/Downloads/Transcripts/0%20-%20Government/USA%20-%20NASA%20Johnson/"/>
    <hyperlink ref="C591" r:id="rId591" display="https://youtu.be/HxiQwo5IFTA"/>
    <hyperlink ref="F591" r:id="rId2" display="https://files.afu.se/Downloads/Transcripts/0%20-%20Government/USA%20-%20NASA%20Johnson/"/>
    <hyperlink ref="C592" r:id="rId592" display="https://youtu.be/_SYlObhyDqI"/>
    <hyperlink ref="F592" r:id="rId2" display="https://files.afu.se/Downloads/Transcripts/0%20-%20Government/USA%20-%20NASA%20Johnson/"/>
    <hyperlink ref="C593" r:id="rId593" display="https://youtu.be/r38UygZMc0o"/>
    <hyperlink ref="F593" r:id="rId2" display="https://files.afu.se/Downloads/Transcripts/0%20-%20Government/USA%20-%20NASA%20Johnson/"/>
    <hyperlink ref="C594" r:id="rId594" display="https://youtu.be/Tmn9SiZZUmA"/>
    <hyperlink ref="F594" r:id="rId2" display="https://files.afu.se/Downloads/Transcripts/0%20-%20Government/USA%20-%20NASA%20Johnson/"/>
    <hyperlink ref="C595" r:id="rId595" display="https://youtu.be/uwWLPW7ZG0Y"/>
    <hyperlink ref="F595" r:id="rId2" display="https://files.afu.se/Downloads/Transcripts/0%20-%20Government/USA%20-%20NASA%20Johnson/"/>
    <hyperlink ref="C596" r:id="rId596" display="https://youtu.be/LlFCvOzdpoI"/>
    <hyperlink ref="F596" r:id="rId2" display="https://files.afu.se/Downloads/Transcripts/0%20-%20Government/USA%20-%20NASA%20Johnson/"/>
    <hyperlink ref="C597" r:id="rId597" display="https://youtu.be/1uCs2MKyYek"/>
    <hyperlink ref="F597" r:id="rId2" display="https://files.afu.se/Downloads/Transcripts/0%20-%20Government/USA%20-%20NASA%20Johnson/"/>
    <hyperlink ref="C598" r:id="rId598" display="https://youtu.be/ofNkfSdpOzM"/>
    <hyperlink ref="F598" r:id="rId2" display="https://files.afu.se/Downloads/Transcripts/0%20-%20Government/USA%20-%20NASA%20Johnson/"/>
    <hyperlink ref="C599" r:id="rId599" display="https://youtu.be/l9G1vfIpM5Y"/>
    <hyperlink ref="F599" r:id="rId2" display="https://files.afu.se/Downloads/Transcripts/0%20-%20Government/USA%20-%20NASA%20Johnson/"/>
    <hyperlink ref="C600" r:id="rId600" display="https://youtu.be/TGQx5todiHM"/>
    <hyperlink ref="F600" r:id="rId2" display="https://files.afu.se/Downloads/Transcripts/0%20-%20Government/USA%20-%20NASA%20Johnson/"/>
    <hyperlink ref="C601" r:id="rId601" display="https://youtu.be/ymxzfJmUO0w"/>
    <hyperlink ref="F601" r:id="rId2" display="https://files.afu.se/Downloads/Transcripts/0%20-%20Government/USA%20-%20NASA%20Johnson/"/>
    <hyperlink ref="C602" r:id="rId602" display="https://youtu.be/ul3f5xP0_bI"/>
    <hyperlink ref="F602" r:id="rId2" display="https://files.afu.se/Downloads/Transcripts/0%20-%20Government/USA%20-%20NASA%20Johnson/"/>
    <hyperlink ref="C603" r:id="rId603" display="https://youtu.be/pGpWuKaZKac"/>
    <hyperlink ref="F603" r:id="rId2" display="https://files.afu.se/Downloads/Transcripts/0%20-%20Government/USA%20-%20NASA%20Johnson/"/>
    <hyperlink ref="C604" r:id="rId604" display="https://youtu.be/zqVE_3Z6IiQ"/>
    <hyperlink ref="F604" r:id="rId2" display="https://files.afu.se/Downloads/Transcripts/0%20-%20Government/USA%20-%20NASA%20Johnson/"/>
    <hyperlink ref="C605" r:id="rId605" display="https://youtu.be/NMc-5QGBPp8"/>
    <hyperlink ref="F605" r:id="rId2" display="https://files.afu.se/Downloads/Transcripts/0%20-%20Government/USA%20-%20NASA%20Johnson/"/>
    <hyperlink ref="C606" r:id="rId606" display="https://youtu.be/wL13Ti3aV_E"/>
    <hyperlink ref="F606" r:id="rId2" display="https://files.afu.se/Downloads/Transcripts/0%20-%20Government/USA%20-%20NASA%20Johnson/"/>
    <hyperlink ref="C607" r:id="rId607" display="https://youtu.be/34bFgA3H3hQ"/>
    <hyperlink ref="F607" r:id="rId2" display="https://files.afu.se/Downloads/Transcripts/0%20-%20Government/USA%20-%20NASA%20Johnson/"/>
    <hyperlink ref="C608" r:id="rId608" display="https://youtu.be/2SLlLAMIMLk"/>
    <hyperlink ref="F608" r:id="rId2" display="https://files.afu.se/Downloads/Transcripts/0%20-%20Government/USA%20-%20NASA%20Johnson/"/>
    <hyperlink ref="C609" r:id="rId609" display="https://youtu.be/X-9eIyWyGYU"/>
    <hyperlink ref="F609" r:id="rId2" display="https://files.afu.se/Downloads/Transcripts/0%20-%20Government/USA%20-%20NASA%20Johnson/"/>
    <hyperlink ref="C610" r:id="rId610" display="https://youtu.be/AGR3FiEkBwA"/>
    <hyperlink ref="F610" r:id="rId2" display="https://files.afu.se/Downloads/Transcripts/0%20-%20Government/USA%20-%20NASA%20Johnson/"/>
    <hyperlink ref="C611" r:id="rId611" display="https://youtu.be/LVqjvvLO5XY"/>
    <hyperlink ref="F611" r:id="rId2" display="https://files.afu.se/Downloads/Transcripts/0%20-%20Government/USA%20-%20NASA%20Johnson/"/>
    <hyperlink ref="C612" r:id="rId612" display="https://youtu.be/9WFP8rDXVp0"/>
    <hyperlink ref="F612" r:id="rId2" display="https://files.afu.se/Downloads/Transcripts/0%20-%20Government/USA%20-%20NASA%20Johnson/"/>
    <hyperlink ref="C613" r:id="rId613" display="https://youtu.be/ksQSSuhovh8"/>
    <hyperlink ref="F613" r:id="rId2" display="https://files.afu.se/Downloads/Transcripts/0%20-%20Government/USA%20-%20NASA%20Johnson/"/>
    <hyperlink ref="C614" r:id="rId614" display="https://youtu.be/J8dL7_obPwc"/>
    <hyperlink ref="F614" r:id="rId2" display="https://files.afu.se/Downloads/Transcripts/0%20-%20Government/USA%20-%20NASA%20Johnson/"/>
    <hyperlink ref="C615" r:id="rId615" display="https://youtu.be/Rg0wfmvtax4"/>
    <hyperlink ref="F615" r:id="rId2" display="https://files.afu.se/Downloads/Transcripts/0%20-%20Government/USA%20-%20NASA%20Johnson/"/>
    <hyperlink ref="C616" r:id="rId616" display="https://youtu.be/8xiScHgbsd8"/>
    <hyperlink ref="F616" r:id="rId2" display="https://files.afu.se/Downloads/Transcripts/0%20-%20Government/USA%20-%20NASA%20Johnson/"/>
    <hyperlink ref="C617" r:id="rId617" display="https://youtu.be/MTZKlEr8fVw"/>
    <hyperlink ref="F617" r:id="rId2" display="https://files.afu.se/Downloads/Transcripts/0%20-%20Government/USA%20-%20NASA%20Johnson/"/>
    <hyperlink ref="C618" r:id="rId618" display="https://youtu.be/lg3JIG8jk5M"/>
    <hyperlink ref="F618" r:id="rId2" display="https://files.afu.se/Downloads/Transcripts/0%20-%20Government/USA%20-%20NASA%20Johnson/"/>
    <hyperlink ref="C619" r:id="rId619" display="https://youtu.be/Do-Q3dUjLoo"/>
    <hyperlink ref="F619" r:id="rId2" display="https://files.afu.se/Downloads/Transcripts/0%20-%20Government/USA%20-%20NASA%20Johnson/"/>
    <hyperlink ref="C620" r:id="rId620" display="https://youtu.be/9TeGPKAhJNc"/>
    <hyperlink ref="F620" r:id="rId2" display="https://files.afu.se/Downloads/Transcripts/0%20-%20Government/USA%20-%20NASA%20Johnson/"/>
    <hyperlink ref="C621" r:id="rId621" display="https://youtu.be/K04oMDygu9Y"/>
    <hyperlink ref="F621" r:id="rId2" display="https://files.afu.se/Downloads/Transcripts/0%20-%20Government/USA%20-%20NASA%20Johnson/"/>
    <hyperlink ref="C622" r:id="rId622" display="https://youtu.be/aKMqYhlnnyQ"/>
    <hyperlink ref="F622" r:id="rId2" display="https://files.afu.se/Downloads/Transcripts/0%20-%20Government/USA%20-%20NASA%20Johnson/"/>
    <hyperlink ref="C623" r:id="rId623" display="https://youtu.be/Yn1h_D4NpZ4"/>
    <hyperlink ref="F623" r:id="rId2" display="https://files.afu.se/Downloads/Transcripts/0%20-%20Government/USA%20-%20NASA%20Johnson/"/>
    <hyperlink ref="C624" r:id="rId624" display="https://youtu.be/shZgzWWJkj8"/>
    <hyperlink ref="F624" r:id="rId2" display="https://files.afu.se/Downloads/Transcripts/0%20-%20Government/USA%20-%20NASA%20Johnson/"/>
    <hyperlink ref="C625" r:id="rId625" display="https://youtu.be/fG_SrFDcyXU"/>
    <hyperlink ref="F625" r:id="rId2" display="https://files.afu.se/Downloads/Transcripts/0%20-%20Government/USA%20-%20NASA%20Johnson/"/>
    <hyperlink ref="C626" r:id="rId626" display="https://youtu.be/eE79qxNhkKY"/>
    <hyperlink ref="F626" r:id="rId2" display="https://files.afu.se/Downloads/Transcripts/0%20-%20Government/USA%20-%20NASA%20Johnson/"/>
    <hyperlink ref="C627" r:id="rId627" display="https://youtu.be/kzUXMrhAY28"/>
    <hyperlink ref="F627" r:id="rId2" display="https://files.afu.se/Downloads/Transcripts/0%20-%20Government/USA%20-%20NASA%20Johnson/"/>
    <hyperlink ref="C628" r:id="rId628" display="https://youtu.be/n66Q0rlUbxs"/>
    <hyperlink ref="F628" r:id="rId2" display="https://files.afu.se/Downloads/Transcripts/0%20-%20Government/USA%20-%20NASA%20Johnson/"/>
    <hyperlink ref="C629" r:id="rId629" display="https://youtu.be/ogVe90hg2NA"/>
    <hyperlink ref="F629" r:id="rId2" display="https://files.afu.se/Downloads/Transcripts/0%20-%20Government/USA%20-%20NASA%20Johnson/"/>
    <hyperlink ref="C630" r:id="rId630" display="https://youtu.be/XuDUFKaVum0"/>
    <hyperlink ref="F630" r:id="rId2" display="https://files.afu.se/Downloads/Transcripts/0%20-%20Government/USA%20-%20NASA%20Johnson/"/>
    <hyperlink ref="C631" r:id="rId631" display="https://youtu.be/EWKSx88LYdQ"/>
    <hyperlink ref="F631" r:id="rId2" display="https://files.afu.se/Downloads/Transcripts/0%20-%20Government/USA%20-%20NASA%20Johnson/"/>
    <hyperlink ref="C632" r:id="rId632" display="https://youtu.be/V4qe0bsXFoQ"/>
    <hyperlink ref="F632" r:id="rId2" display="https://files.afu.se/Downloads/Transcripts/0%20-%20Government/USA%20-%20NASA%20Johnson/"/>
    <hyperlink ref="C633" r:id="rId633" display="https://youtu.be/xEd2BENQ-kE"/>
    <hyperlink ref="F633" r:id="rId2" display="https://files.afu.se/Downloads/Transcripts/0%20-%20Government/USA%20-%20NASA%20Johnson/"/>
    <hyperlink ref="C634" r:id="rId634" display="https://youtu.be/7AQ4iDpvtuY"/>
    <hyperlink ref="F634" r:id="rId2" display="https://files.afu.se/Downloads/Transcripts/0%20-%20Government/USA%20-%20NASA%20Johnson/"/>
    <hyperlink ref="C635" r:id="rId635" display="https://youtu.be/UCNNTwlu9kE"/>
    <hyperlink ref="F635" r:id="rId2" display="https://files.afu.se/Downloads/Transcripts/0%20-%20Government/USA%20-%20NASA%20Johnson/"/>
    <hyperlink ref="C636" r:id="rId636" display="https://youtu.be/OM1WXFZq3kk"/>
    <hyperlink ref="F636" r:id="rId2" display="https://files.afu.se/Downloads/Transcripts/0%20-%20Government/USA%20-%20NASA%20Johnson/"/>
    <hyperlink ref="C637" r:id="rId637" display="https://youtu.be/OpxGp2P48kI"/>
    <hyperlink ref="F637" r:id="rId2" display="https://files.afu.se/Downloads/Transcripts/0%20-%20Government/USA%20-%20NASA%20Johnson/"/>
    <hyperlink ref="C638" r:id="rId638" display="https://youtu.be/OWxBjIXDQCc"/>
    <hyperlink ref="F638" r:id="rId2" display="https://files.afu.se/Downloads/Transcripts/0%20-%20Government/USA%20-%20NASA%20Johnson/"/>
    <hyperlink ref="C639" r:id="rId639" display="https://youtu.be/FGneUrG2LKs"/>
    <hyperlink ref="F639" r:id="rId2" display="https://files.afu.se/Downloads/Transcripts/0%20-%20Government/USA%20-%20NASA%20Johnson/"/>
    <hyperlink ref="C640" r:id="rId640" display="https://youtu.be/9Yl1ryoDwWA"/>
    <hyperlink ref="F640" r:id="rId2" display="https://files.afu.se/Downloads/Transcripts/0%20-%20Government/USA%20-%20NASA%20Johnson/"/>
    <hyperlink ref="C641" r:id="rId641" display="https://youtu.be/hKrSGGINxT4"/>
    <hyperlink ref="F641" r:id="rId2" display="https://files.afu.se/Downloads/Transcripts/0%20-%20Government/USA%20-%20NASA%20Johnson/"/>
    <hyperlink ref="C642" r:id="rId642" display="https://youtu.be/ikAoDONksZc"/>
    <hyperlink ref="F642" r:id="rId2" display="https://files.afu.se/Downloads/Transcripts/0%20-%20Government/USA%20-%20NASA%20Johnson/"/>
    <hyperlink ref="C643" r:id="rId643" display="https://youtu.be/QfQi4AqJIMk"/>
    <hyperlink ref="F643" r:id="rId2" display="https://files.afu.se/Downloads/Transcripts/0%20-%20Government/USA%20-%20NASA%20Johnson/"/>
    <hyperlink ref="C644" r:id="rId644" display="https://youtu.be/tPBXT1zUafo"/>
    <hyperlink ref="F644" r:id="rId2" display="https://files.afu.se/Downloads/Transcripts/0%20-%20Government/USA%20-%20NASA%20Johnson/"/>
    <hyperlink ref="C645" r:id="rId645" display="https://youtu.be/QVoBLElTO-g"/>
    <hyperlink ref="F645" r:id="rId2" display="https://files.afu.se/Downloads/Transcripts/0%20-%20Government/USA%20-%20NASA%20Johnson/"/>
    <hyperlink ref="C646" r:id="rId646" display="https://youtu.be/iUd3q4jf-ZE"/>
    <hyperlink ref="F646" r:id="rId2" display="https://files.afu.se/Downloads/Transcripts/0%20-%20Government/USA%20-%20NASA%20Johnson/"/>
    <hyperlink ref="C647" r:id="rId647" display="https://youtu.be/dCF--YOjiOw"/>
    <hyperlink ref="F647" r:id="rId2" display="https://files.afu.se/Downloads/Transcripts/0%20-%20Government/USA%20-%20NASA%20Johnson/"/>
    <hyperlink ref="C648" r:id="rId648" display="https://youtu.be/9vYnJ2de-EM"/>
    <hyperlink ref="F648" r:id="rId2" display="https://files.afu.se/Downloads/Transcripts/0%20-%20Government/USA%20-%20NASA%20Johnson/"/>
    <hyperlink ref="C649" r:id="rId649" display="https://youtu.be/KdPnCWyetyo"/>
    <hyperlink ref="F649" r:id="rId2" display="https://files.afu.se/Downloads/Transcripts/0%20-%20Government/USA%20-%20NASA%20Johnson/"/>
    <hyperlink ref="C650" r:id="rId650" display="https://youtu.be/SXFpLREdKbs"/>
    <hyperlink ref="F650" r:id="rId2" display="https://files.afu.se/Downloads/Transcripts/0%20-%20Government/USA%20-%20NASA%20Johnson/"/>
    <hyperlink ref="C651" r:id="rId651" display="https://youtu.be/qp7IhNV8xfc"/>
    <hyperlink ref="F651" r:id="rId2" display="https://files.afu.se/Downloads/Transcripts/0%20-%20Government/USA%20-%20NASA%20Johnson/"/>
    <hyperlink ref="C652" r:id="rId652" display="https://youtu.be/sPZ2bjW53c8"/>
    <hyperlink ref="F652" r:id="rId2" display="https://files.afu.se/Downloads/Transcripts/0%20-%20Government/USA%20-%20NASA%20Johnson/"/>
    <hyperlink ref="C653" r:id="rId653" display="https://youtu.be/0l5y8osoaLk"/>
    <hyperlink ref="F653" r:id="rId2" display="https://files.afu.se/Downloads/Transcripts/0%20-%20Government/USA%20-%20NASA%20Johnson/"/>
    <hyperlink ref="C654" r:id="rId654" display="https://youtu.be/aDSJBG8aDUc"/>
    <hyperlink ref="F654" r:id="rId2" display="https://files.afu.se/Downloads/Transcripts/0%20-%20Government/USA%20-%20NASA%20Johnson/"/>
    <hyperlink ref="C655" r:id="rId655" display="https://youtu.be/0-wpj-XdTF8"/>
    <hyperlink ref="F655" r:id="rId2" display="https://files.afu.se/Downloads/Transcripts/0%20-%20Government/USA%20-%20NASA%20Johnson/"/>
    <hyperlink ref="C656" r:id="rId656" display="https://youtu.be/GMLi8XfWAg0"/>
    <hyperlink ref="F656" r:id="rId2" display="https://files.afu.se/Downloads/Transcripts/0%20-%20Government/USA%20-%20NASA%20Johnson/"/>
    <hyperlink ref="C657" r:id="rId657" display="https://youtu.be/UKnDXqYZQyc"/>
    <hyperlink ref="F657" r:id="rId2" display="https://files.afu.se/Downloads/Transcripts/0%20-%20Government/USA%20-%20NASA%20Johnson/"/>
    <hyperlink ref="C658" r:id="rId658" display="https://youtu.be/2cFi-n14-dw"/>
    <hyperlink ref="F658" r:id="rId2" display="https://files.afu.se/Downloads/Transcripts/0%20-%20Government/USA%20-%20NASA%20Johnson/"/>
    <hyperlink ref="C659" r:id="rId659" display="https://youtu.be/QkQ4z4QjisA"/>
    <hyperlink ref="F659" r:id="rId2" display="https://files.afu.se/Downloads/Transcripts/0%20-%20Government/USA%20-%20NASA%20Johnson/"/>
    <hyperlink ref="C660" r:id="rId660" display="https://youtu.be/_sbRqQ4YDec"/>
    <hyperlink ref="F660" r:id="rId2" display="https://files.afu.se/Downloads/Transcripts/0%20-%20Government/USA%20-%20NASA%20Johnson/"/>
    <hyperlink ref="C661" r:id="rId661" display="https://youtu.be/ZvjK-U1R4mc"/>
    <hyperlink ref="F661" r:id="rId2" display="https://files.afu.se/Downloads/Transcripts/0%20-%20Government/USA%20-%20NASA%20Johnson/"/>
    <hyperlink ref="C662" r:id="rId662" display="https://youtu.be/HIItDmg5Ww4"/>
    <hyperlink ref="F662" r:id="rId2" display="https://files.afu.se/Downloads/Transcripts/0%20-%20Government/USA%20-%20NASA%20Johnson/"/>
    <hyperlink ref="C663" r:id="rId663" display="https://youtu.be/02QbU89KzWc"/>
    <hyperlink ref="F663" r:id="rId2" display="https://files.afu.se/Downloads/Transcripts/0%20-%20Government/USA%20-%20NASA%20Johnson/"/>
    <hyperlink ref="C664" r:id="rId664" display="https://youtu.be/ZvlbcA9XhPU"/>
    <hyperlink ref="F664" r:id="rId2" display="https://files.afu.se/Downloads/Transcripts/0%20-%20Government/USA%20-%20NASA%20Johnson/"/>
    <hyperlink ref="C665" r:id="rId665" display="https://youtu.be/Sc8SDd_5Qfg"/>
    <hyperlink ref="F665" r:id="rId2" display="https://files.afu.se/Downloads/Transcripts/0%20-%20Government/USA%20-%20NASA%20Johnson/"/>
    <hyperlink ref="C666" r:id="rId666" display="https://youtu.be/2NqEVwcGawA"/>
    <hyperlink ref="F666" r:id="rId2" display="https://files.afu.se/Downloads/Transcripts/0%20-%20Government/USA%20-%20NASA%20Johnson/"/>
    <hyperlink ref="C667" r:id="rId667" display="https://youtu.be/rrf8zhxd2rY"/>
    <hyperlink ref="F667" r:id="rId2" display="https://files.afu.se/Downloads/Transcripts/0%20-%20Government/USA%20-%20NASA%20Johnson/"/>
    <hyperlink ref="C668" r:id="rId668" display="https://youtu.be/fna8PqoETVQ"/>
    <hyperlink ref="F668" r:id="rId2" display="https://files.afu.se/Downloads/Transcripts/0%20-%20Government/USA%20-%20NASA%20Johnson/"/>
    <hyperlink ref="C669" r:id="rId669" display="https://youtu.be/PEB4-bP2xho"/>
    <hyperlink ref="F669" r:id="rId2" display="https://files.afu.se/Downloads/Transcripts/0%20-%20Government/USA%20-%20NASA%20Johnson/"/>
    <hyperlink ref="C670" r:id="rId670" display="https://youtu.be/-0Tgdoz3pmg"/>
    <hyperlink ref="F670" r:id="rId2" display="https://files.afu.se/Downloads/Transcripts/0%20-%20Government/USA%20-%20NASA%20Johnson/"/>
    <hyperlink ref="C671" r:id="rId671" display="https://youtu.be/NZagzFCWSCQ"/>
    <hyperlink ref="F671" r:id="rId2" display="https://files.afu.se/Downloads/Transcripts/0%20-%20Government/USA%20-%20NASA%20Johnson/"/>
    <hyperlink ref="C672" r:id="rId672" display="https://youtu.be/DNlwMWYMDng"/>
    <hyperlink ref="F672" r:id="rId2" display="https://files.afu.se/Downloads/Transcripts/0%20-%20Government/USA%20-%20NASA%20Johnson/"/>
    <hyperlink ref="C673" r:id="rId673" display="https://youtu.be/hqbm-FRBoho"/>
    <hyperlink ref="F673" r:id="rId2" display="https://files.afu.se/Downloads/Transcripts/0%20-%20Government/USA%20-%20NASA%20Johnson/"/>
    <hyperlink ref="C674" r:id="rId674" display="https://youtu.be/sG7qtlZNTsI"/>
    <hyperlink ref="F674" r:id="rId2" display="https://files.afu.se/Downloads/Transcripts/0%20-%20Government/USA%20-%20NASA%20Johnson/"/>
    <hyperlink ref="C675" r:id="rId675" display="https://youtu.be/WO0J_Nwu0fk"/>
    <hyperlink ref="F675" r:id="rId2" display="https://files.afu.se/Downloads/Transcripts/0%20-%20Government/USA%20-%20NASA%20Johnson/"/>
    <hyperlink ref="C676" r:id="rId676" display="https://youtu.be/sQsT5o6Lp-M"/>
    <hyperlink ref="F676" r:id="rId2" display="https://files.afu.se/Downloads/Transcripts/0%20-%20Government/USA%20-%20NASA%20Johnson/"/>
    <hyperlink ref="C677" r:id="rId677" display="https://youtu.be/VWF7JunZ5tg"/>
    <hyperlink ref="F677" r:id="rId2" display="https://files.afu.se/Downloads/Transcripts/0%20-%20Government/USA%20-%20NASA%20Johnson/"/>
    <hyperlink ref="C678" r:id="rId678" display="https://youtu.be/Zgbt5oKrf5I"/>
    <hyperlink ref="F678" r:id="rId2" display="https://files.afu.se/Downloads/Transcripts/0%20-%20Government/USA%20-%20NASA%20Johnson/"/>
    <hyperlink ref="C679" r:id="rId679" display="https://youtu.be/8xUOqk2f3vg"/>
    <hyperlink ref="F679" r:id="rId2" display="https://files.afu.se/Downloads/Transcripts/0%20-%20Government/USA%20-%20NASA%20Johnson/"/>
    <hyperlink ref="C680" r:id="rId680" display="https://youtu.be/EB7fKyIndIQ"/>
    <hyperlink ref="F680" r:id="rId2" display="https://files.afu.se/Downloads/Transcripts/0%20-%20Government/USA%20-%20NASA%20Johnson/"/>
    <hyperlink ref="C681" r:id="rId681" display="https://youtu.be/V7YcSre8O-A"/>
    <hyperlink ref="F681" r:id="rId2" display="https://files.afu.se/Downloads/Transcripts/0%20-%20Government/USA%20-%20NASA%20Johnson/"/>
    <hyperlink ref="C682" r:id="rId682" display="https://youtu.be/aPKAhqy1ex4"/>
    <hyperlink ref="F682" r:id="rId2" display="https://files.afu.se/Downloads/Transcripts/0%20-%20Government/USA%20-%20NASA%20Johnson/"/>
    <hyperlink ref="C683" r:id="rId683" display="https://youtu.be/OXW1_s0hD_E"/>
    <hyperlink ref="F683" r:id="rId2" display="https://files.afu.se/Downloads/Transcripts/0%20-%20Government/USA%20-%20NASA%20Johnson/"/>
    <hyperlink ref="C684" r:id="rId684" display="https://youtu.be/lssYrWDvv6w"/>
    <hyperlink ref="F684" r:id="rId2" display="https://files.afu.se/Downloads/Transcripts/0%20-%20Government/USA%20-%20NASA%20Johnson/"/>
    <hyperlink ref="C685" r:id="rId685" display="https://youtu.be/ZnU7y3xIYMM"/>
    <hyperlink ref="F685" r:id="rId2" display="https://files.afu.se/Downloads/Transcripts/0%20-%20Government/USA%20-%20NASA%20Johnson/"/>
    <hyperlink ref="C686" r:id="rId686" display="https://youtu.be/uirXgbTF19o"/>
    <hyperlink ref="F686" r:id="rId2" display="https://files.afu.se/Downloads/Transcripts/0%20-%20Government/USA%20-%20NASA%20Johnson/"/>
    <hyperlink ref="C687" r:id="rId687" display="https://youtu.be/z74OwRy8o9I"/>
    <hyperlink ref="F687" r:id="rId2" display="https://files.afu.se/Downloads/Transcripts/0%20-%20Government/USA%20-%20NASA%20Johnson/"/>
    <hyperlink ref="C688" r:id="rId688" display="https://youtu.be/CIxP3c1r5jY"/>
    <hyperlink ref="F688" r:id="rId2" display="https://files.afu.se/Downloads/Transcripts/0%20-%20Government/USA%20-%20NASA%20Johnson/"/>
    <hyperlink ref="C689" r:id="rId689" display="https://youtu.be/dJDfpxk0OtA"/>
    <hyperlink ref="F689" r:id="rId2" display="https://files.afu.se/Downloads/Transcripts/0%20-%20Government/USA%20-%20NASA%20Johnson/"/>
    <hyperlink ref="C690" r:id="rId690" display="https://youtu.be/GfSYT6PM-3Y"/>
    <hyperlink ref="F690" r:id="rId2" display="https://files.afu.se/Downloads/Transcripts/0%20-%20Government/USA%20-%20NASA%20Johnson/"/>
    <hyperlink ref="C691" r:id="rId691" display="https://youtu.be/u4m9bJat7BY"/>
    <hyperlink ref="F691" r:id="rId2" display="https://files.afu.se/Downloads/Transcripts/0%20-%20Government/USA%20-%20NASA%20Johnson/"/>
    <hyperlink ref="C692" r:id="rId692" display="https://youtu.be/qV7Q4vEb8EY"/>
    <hyperlink ref="F692" r:id="rId2" display="https://files.afu.se/Downloads/Transcripts/0%20-%20Government/USA%20-%20NASA%20Johnson/"/>
    <hyperlink ref="C693" r:id="rId693" display="https://youtu.be/llhiLkx1-M8"/>
    <hyperlink ref="F693" r:id="rId2" display="https://files.afu.se/Downloads/Transcripts/0%20-%20Government/USA%20-%20NASA%20Johnson/"/>
    <hyperlink ref="C694" r:id="rId694" display="https://youtu.be/HB2mbRySGDQ"/>
    <hyperlink ref="F694" r:id="rId2" display="https://files.afu.se/Downloads/Transcripts/0%20-%20Government/USA%20-%20NASA%20Johnson/"/>
    <hyperlink ref="C695" r:id="rId695" display="https://youtu.be/6HK9G7feXEk"/>
    <hyperlink ref="F695" r:id="rId2" display="https://files.afu.se/Downloads/Transcripts/0%20-%20Government/USA%20-%20NASA%20Johnson/"/>
    <hyperlink ref="C696" r:id="rId696" display="https://youtu.be/3xQmcByutm4"/>
    <hyperlink ref="F696" r:id="rId2" display="https://files.afu.se/Downloads/Transcripts/0%20-%20Government/USA%20-%20NASA%20Johnson/"/>
    <hyperlink ref="C697" r:id="rId697" display="https://youtu.be/MIYfox8wjPk"/>
    <hyperlink ref="F697" r:id="rId2" display="https://files.afu.se/Downloads/Transcripts/0%20-%20Government/USA%20-%20NASA%20Johnson/"/>
    <hyperlink ref="C698" r:id="rId698" display="https://youtu.be/X0gxwDTSKw0"/>
    <hyperlink ref="F698" r:id="rId2" display="https://files.afu.se/Downloads/Transcripts/0%20-%20Government/USA%20-%20NASA%20Johnson/"/>
    <hyperlink ref="C699" r:id="rId699" display="https://youtu.be/rgBKFEeXfww"/>
    <hyperlink ref="F699" r:id="rId2" display="https://files.afu.se/Downloads/Transcripts/0%20-%20Government/USA%20-%20NASA%20Johnson/"/>
    <hyperlink ref="C700" r:id="rId700" display="https://youtu.be/IMh1KoC-xKA"/>
    <hyperlink ref="F700" r:id="rId2" display="https://files.afu.se/Downloads/Transcripts/0%20-%20Government/USA%20-%20NASA%20Johnson/"/>
    <hyperlink ref="C701" r:id="rId701" display="https://youtu.be/oTWnoSuocMo"/>
    <hyperlink ref="F701" r:id="rId2" display="https://files.afu.se/Downloads/Transcripts/0%20-%20Government/USA%20-%20NASA%20Johnson/"/>
    <hyperlink ref="C702" r:id="rId702" display="https://youtu.be/05saig9k_qc"/>
    <hyperlink ref="F702" r:id="rId2" display="https://files.afu.se/Downloads/Transcripts/0%20-%20Government/USA%20-%20NASA%20Johnson/"/>
    <hyperlink ref="C703" r:id="rId703" display="https://youtu.be/aLmvj6r5f7k"/>
    <hyperlink ref="F703" r:id="rId2" display="https://files.afu.se/Downloads/Transcripts/0%20-%20Government/USA%20-%20NASA%20Johnson/"/>
    <hyperlink ref="C704" r:id="rId704" display="https://youtu.be/82t9Tk9dUHs"/>
    <hyperlink ref="F704" r:id="rId2" display="https://files.afu.se/Downloads/Transcripts/0%20-%20Government/USA%20-%20NASA%20Johnson/"/>
    <hyperlink ref="C705" r:id="rId705" display="https://youtu.be/rIVEpbD97lQ"/>
    <hyperlink ref="F705" r:id="rId2" display="https://files.afu.se/Downloads/Transcripts/0%20-%20Government/USA%20-%20NASA%20Johnson/"/>
    <hyperlink ref="C706" r:id="rId706" display="https://youtu.be/GZCJP0To3eQ"/>
    <hyperlink ref="F706" r:id="rId2" display="https://files.afu.se/Downloads/Transcripts/0%20-%20Government/USA%20-%20NASA%20Johnson/"/>
    <hyperlink ref="C707" r:id="rId707" display="https://youtu.be/dzE_i6h5NeI"/>
    <hyperlink ref="F707" r:id="rId2" display="https://files.afu.se/Downloads/Transcripts/0%20-%20Government/USA%20-%20NASA%20Johnson/"/>
    <hyperlink ref="C708" r:id="rId708" display="https://youtu.be/po44cUiQQh8"/>
    <hyperlink ref="F708" r:id="rId2" display="https://files.afu.se/Downloads/Transcripts/0%20-%20Government/USA%20-%20NASA%20Johnson/"/>
    <hyperlink ref="C709" r:id="rId709" display="https://youtu.be/HjEZcCZrjq4"/>
    <hyperlink ref="F709" r:id="rId2" display="https://files.afu.se/Downloads/Transcripts/0%20-%20Government/USA%20-%20NASA%20Johnson/"/>
    <hyperlink ref="C710" r:id="rId710" display="https://youtu.be/zsW9C3k_9mw"/>
    <hyperlink ref="F710" r:id="rId2" display="https://files.afu.se/Downloads/Transcripts/0%20-%20Government/USA%20-%20NASA%20Johnson/"/>
    <hyperlink ref="C711" r:id="rId711" display="https://youtu.be/mS5RlwL90XI"/>
    <hyperlink ref="F711" r:id="rId2" display="https://files.afu.se/Downloads/Transcripts/0%20-%20Government/USA%20-%20NASA%20Johnson/"/>
    <hyperlink ref="C712" r:id="rId712" display="https://youtu.be/Ra4-PFQ2Hnw"/>
    <hyperlink ref="F712" r:id="rId2" display="https://files.afu.se/Downloads/Transcripts/0%20-%20Government/USA%20-%20NASA%20Johnson/"/>
    <hyperlink ref="C713" r:id="rId713" display="https://youtu.be/LPOPNy3_5B8"/>
    <hyperlink ref="F713" r:id="rId2" display="https://files.afu.se/Downloads/Transcripts/0%20-%20Government/USA%20-%20NASA%20Johnson/"/>
    <hyperlink ref="C714" r:id="rId714" display="https://youtu.be/9R07-11fyhE"/>
    <hyperlink ref="F714" r:id="rId2" display="https://files.afu.se/Downloads/Transcripts/0%20-%20Government/USA%20-%20NASA%20Johnson/"/>
    <hyperlink ref="C715" r:id="rId715" display="https://youtu.be/pIOLs8PwvOg"/>
    <hyperlink ref="F715" r:id="rId2" display="https://files.afu.se/Downloads/Transcripts/0%20-%20Government/USA%20-%20NASA%20Johnson/"/>
    <hyperlink ref="C716" r:id="rId716" display="https://youtu.be/ODiWspJYaXQ"/>
    <hyperlink ref="F716" r:id="rId2" display="https://files.afu.se/Downloads/Transcripts/0%20-%20Government/USA%20-%20NASA%20Johnson/"/>
    <hyperlink ref="C717" r:id="rId717" display="https://youtu.be/AZA3LwX0NOw"/>
    <hyperlink ref="F717" r:id="rId2" display="https://files.afu.se/Downloads/Transcripts/0%20-%20Government/USA%20-%20NASA%20Johnson/"/>
    <hyperlink ref="C718" r:id="rId718" display="https://youtu.be/fVD4BtM9gJM"/>
    <hyperlink ref="F718" r:id="rId2" display="https://files.afu.se/Downloads/Transcripts/0%20-%20Government/USA%20-%20NASA%20Johnson/"/>
    <hyperlink ref="C719" r:id="rId719" display="https://youtu.be/C-mBf0rjXpc"/>
    <hyperlink ref="F719" r:id="rId2" display="https://files.afu.se/Downloads/Transcripts/0%20-%20Government/USA%20-%20NASA%20Johnson/"/>
    <hyperlink ref="C720" r:id="rId720" display="https://youtu.be/HoryjMs5Vus"/>
    <hyperlink ref="F720" r:id="rId2" display="https://files.afu.se/Downloads/Transcripts/0%20-%20Government/USA%20-%20NASA%20Johnson/"/>
    <hyperlink ref="C721" r:id="rId721" display="https://youtu.be/XoMRueJ17Rc"/>
    <hyperlink ref="F721" r:id="rId2" display="https://files.afu.se/Downloads/Transcripts/0%20-%20Government/USA%20-%20NASA%20Johnson/"/>
    <hyperlink ref="C722" r:id="rId722" display="https://youtu.be/QBDheVyH8SM"/>
    <hyperlink ref="F722" r:id="rId2" display="https://files.afu.se/Downloads/Transcripts/0%20-%20Government/USA%20-%20NASA%20Johnson/"/>
    <hyperlink ref="C723" r:id="rId723" display="https://youtu.be/-IJ0W5DSFQE"/>
    <hyperlink ref="F723" r:id="rId2" display="https://files.afu.se/Downloads/Transcripts/0%20-%20Government/USA%20-%20NASA%20Johnson/"/>
    <hyperlink ref="C724" r:id="rId724" display="https://youtu.be/uN2uatjFm5I"/>
    <hyperlink ref="F724" r:id="rId2" display="https://files.afu.se/Downloads/Transcripts/0%20-%20Government/USA%20-%20NASA%20Johnson/"/>
    <hyperlink ref="C725" r:id="rId725" display="https://youtu.be/akiwa395AIA"/>
    <hyperlink ref="F725" r:id="rId2" display="https://files.afu.se/Downloads/Transcripts/0%20-%20Government/USA%20-%20NASA%20Johnson/"/>
    <hyperlink ref="C726" r:id="rId726" display="https://youtu.be/iGH7R1vs5Jk"/>
    <hyperlink ref="F726" r:id="rId2" display="https://files.afu.se/Downloads/Transcripts/0%20-%20Government/USA%20-%20NASA%20Johnson/"/>
    <hyperlink ref="C727" r:id="rId727" display="https://youtu.be/mIbJLQhV7ow"/>
    <hyperlink ref="F727" r:id="rId2" display="https://files.afu.se/Downloads/Transcripts/0%20-%20Government/USA%20-%20NASA%20Johnson/"/>
    <hyperlink ref="C728" r:id="rId728" display="https://youtu.be/gYqboqIkmmY"/>
    <hyperlink ref="F728" r:id="rId2" display="https://files.afu.se/Downloads/Transcripts/0%20-%20Government/USA%20-%20NASA%20Johnson/"/>
    <hyperlink ref="C729" r:id="rId729" display="https://youtu.be/uiPgmxfbt54"/>
    <hyperlink ref="F729" r:id="rId2" display="https://files.afu.se/Downloads/Transcripts/0%20-%20Government/USA%20-%20NASA%20Johnson/"/>
    <hyperlink ref="C730" r:id="rId730" display="https://youtu.be/lC0w_pnYbb8"/>
    <hyperlink ref="F730" r:id="rId2" display="https://files.afu.se/Downloads/Transcripts/0%20-%20Government/USA%20-%20NASA%20Johnson/"/>
    <hyperlink ref="C731" r:id="rId731" display="https://youtu.be/XHKUfy4Tbbw"/>
    <hyperlink ref="F731" r:id="rId2" display="https://files.afu.se/Downloads/Transcripts/0%20-%20Government/USA%20-%20NASA%20Johnson/"/>
    <hyperlink ref="C732" r:id="rId732" display="https://youtu.be/E9Yipe5QIOI"/>
    <hyperlink ref="F732" r:id="rId2" display="https://files.afu.se/Downloads/Transcripts/0%20-%20Government/USA%20-%20NASA%20Johnson/"/>
    <hyperlink ref="C733" r:id="rId733" display="https://youtu.be/LdGZlN1Io5o"/>
    <hyperlink ref="F733" r:id="rId2" display="https://files.afu.se/Downloads/Transcripts/0%20-%20Government/USA%20-%20NASA%20Johnson/"/>
    <hyperlink ref="C734" r:id="rId734" display="https://youtu.be/VibnAtGkFrE"/>
    <hyperlink ref="F734" r:id="rId2" display="https://files.afu.se/Downloads/Transcripts/0%20-%20Government/USA%20-%20NASA%20Johnson/"/>
    <hyperlink ref="C735" r:id="rId735" display="https://youtu.be/gfn6Ka6nGYg"/>
    <hyperlink ref="F735" r:id="rId2" display="https://files.afu.se/Downloads/Transcripts/0%20-%20Government/USA%20-%20NASA%20Johnson/"/>
    <hyperlink ref="C736" r:id="rId736" display="https://youtu.be/DPhPX33Dlr0"/>
    <hyperlink ref="F736" r:id="rId2" display="https://files.afu.se/Downloads/Transcripts/0%20-%20Government/USA%20-%20NASA%20Johnson/"/>
    <hyperlink ref="C737" r:id="rId737" display="https://youtu.be/3uLggveEtmo"/>
    <hyperlink ref="F737" r:id="rId2" display="https://files.afu.se/Downloads/Transcripts/0%20-%20Government/USA%20-%20NASA%20Johnson/"/>
    <hyperlink ref="C738" r:id="rId738" display="https://youtu.be/vys1LAxPY00"/>
    <hyperlink ref="F738" r:id="rId2" display="https://files.afu.se/Downloads/Transcripts/0%20-%20Government/USA%20-%20NASA%20Johnson/"/>
    <hyperlink ref="C739" r:id="rId739" display="https://youtu.be/2-QCC1UC6Vo"/>
    <hyperlink ref="F739" r:id="rId2" display="https://files.afu.se/Downloads/Transcripts/0%20-%20Government/USA%20-%20NASA%20Johnson/"/>
    <hyperlink ref="C740" r:id="rId740" display="https://youtu.be/0E-tzLa6Y3U"/>
    <hyperlink ref="F740" r:id="rId2" display="https://files.afu.se/Downloads/Transcripts/0%20-%20Government/USA%20-%20NASA%20Johnson/"/>
    <hyperlink ref="C741" r:id="rId741" display="https://youtu.be/2cY6wsW8vdc"/>
    <hyperlink ref="F741" r:id="rId2" display="https://files.afu.se/Downloads/Transcripts/0%20-%20Government/USA%20-%20NASA%20Johnson/"/>
    <hyperlink ref="C742" r:id="rId742" display="https://youtu.be/NmnnBvYFOIs"/>
    <hyperlink ref="F742" r:id="rId2" display="https://files.afu.se/Downloads/Transcripts/0%20-%20Government/USA%20-%20NASA%20Johnson/"/>
    <hyperlink ref="C743" r:id="rId743" display="https://youtu.be/JXsoX2rhdbM"/>
    <hyperlink ref="F743" r:id="rId2" display="https://files.afu.se/Downloads/Transcripts/0%20-%20Government/USA%20-%20NASA%20Johnson/"/>
    <hyperlink ref="C744" r:id="rId744" display="https://youtu.be/631tk9aqM3I"/>
    <hyperlink ref="F744" r:id="rId2" display="https://files.afu.se/Downloads/Transcripts/0%20-%20Government/USA%20-%20NASA%20Johnson/"/>
    <hyperlink ref="C745" r:id="rId745" display="https://youtu.be/IatS58t9VII"/>
    <hyperlink ref="F745" r:id="rId2" display="https://files.afu.se/Downloads/Transcripts/0%20-%20Government/USA%20-%20NASA%20Johnson/"/>
    <hyperlink ref="C746" r:id="rId746" display="https://youtu.be/ridVpzznXVE"/>
    <hyperlink ref="F746" r:id="rId2" display="https://files.afu.se/Downloads/Transcripts/0%20-%20Government/USA%20-%20NASA%20Johnson/"/>
    <hyperlink ref="C747" r:id="rId747" display="https://youtu.be/8HW9gYGMiwo"/>
    <hyperlink ref="F747" r:id="rId2" display="https://files.afu.se/Downloads/Transcripts/0%20-%20Government/USA%20-%20NASA%20Johnson/"/>
    <hyperlink ref="C748" r:id="rId748" display="https://youtu.be/Msg1DY8z-d4"/>
    <hyperlink ref="F748" r:id="rId2" display="https://files.afu.se/Downloads/Transcripts/0%20-%20Government/USA%20-%20NASA%20Johnson/"/>
    <hyperlink ref="C749" r:id="rId749" display="https://youtu.be/dFBR2fEdRgs"/>
    <hyperlink ref="F749" r:id="rId2" display="https://files.afu.se/Downloads/Transcripts/0%20-%20Government/USA%20-%20NASA%20Johnson/"/>
    <hyperlink ref="C750" r:id="rId750" display="https://youtu.be/oQ4jAlZGcPo"/>
    <hyperlink ref="F750" r:id="rId2" display="https://files.afu.se/Downloads/Transcripts/0%20-%20Government/USA%20-%20NASA%20Johnson/"/>
    <hyperlink ref="C751" r:id="rId751" display="https://youtu.be/b3YT4o78x8U"/>
    <hyperlink ref="F751" r:id="rId2" display="https://files.afu.se/Downloads/Transcripts/0%20-%20Government/USA%20-%20NASA%20Johnson/"/>
    <hyperlink ref="C752" r:id="rId752" display="https://youtu.be/S7Gg4GKcuLU"/>
    <hyperlink ref="F752" r:id="rId2" display="https://files.afu.se/Downloads/Transcripts/0%20-%20Government/USA%20-%20NASA%20Johnson/"/>
    <hyperlink ref="C753" r:id="rId753" display="https://youtu.be/-2VGSa7DMZE"/>
    <hyperlink ref="F753" r:id="rId2" display="https://files.afu.se/Downloads/Transcripts/0%20-%20Government/USA%20-%20NASA%20Johnson/"/>
    <hyperlink ref="C754" r:id="rId754" display="https://youtu.be/0u1N3y8kmaU"/>
    <hyperlink ref="F754" r:id="rId2" display="https://files.afu.se/Downloads/Transcripts/0%20-%20Government/USA%20-%20NASA%20Johnson/"/>
    <hyperlink ref="C755" r:id="rId755" display="https://youtu.be/axy5EJtXr34"/>
    <hyperlink ref="F755" r:id="rId2" display="https://files.afu.se/Downloads/Transcripts/0%20-%20Government/USA%20-%20NASA%20Johnson/"/>
    <hyperlink ref="C756" r:id="rId756" display="https://youtu.be/KtM00ZY8Rxw"/>
    <hyperlink ref="F756" r:id="rId2" display="https://files.afu.se/Downloads/Transcripts/0%20-%20Government/USA%20-%20NASA%20Johnson/"/>
    <hyperlink ref="C757" r:id="rId757" display="https://youtu.be/efzQJrgo_Wc"/>
    <hyperlink ref="F757" r:id="rId2" display="https://files.afu.se/Downloads/Transcripts/0%20-%20Government/USA%20-%20NASA%20Johnson/"/>
    <hyperlink ref="C758" r:id="rId758" display="https://youtu.be/6ycA8OpB_Tg"/>
    <hyperlink ref="F758" r:id="rId2" display="https://files.afu.se/Downloads/Transcripts/0%20-%20Government/USA%20-%20NASA%20Johnson/"/>
    <hyperlink ref="C759" r:id="rId759" display="https://youtu.be/m9zAK-ut-ZM"/>
    <hyperlink ref="F759" r:id="rId2" display="https://files.afu.se/Downloads/Transcripts/0%20-%20Government/USA%20-%20NASA%20Johnson/"/>
    <hyperlink ref="C760" r:id="rId760" display="https://youtu.be/ldmZnq9olYA"/>
    <hyperlink ref="F760" r:id="rId2" display="https://files.afu.se/Downloads/Transcripts/0%20-%20Government/USA%20-%20NASA%20Johnson/"/>
    <hyperlink ref="C761" r:id="rId761" display="https://youtu.be/wuobYNaR31w"/>
    <hyperlink ref="F761" r:id="rId2" display="https://files.afu.se/Downloads/Transcripts/0%20-%20Government/USA%20-%20NASA%20Johnson/"/>
    <hyperlink ref="C762" r:id="rId762" display="https://youtu.be/n2OTVQWJ2Qw"/>
    <hyperlink ref="F762" r:id="rId2" display="https://files.afu.se/Downloads/Transcripts/0%20-%20Government/USA%20-%20NASA%20Johnson/"/>
    <hyperlink ref="C763" r:id="rId763" display="https://youtu.be/FyGCWUzbWao"/>
    <hyperlink ref="F763" r:id="rId2" display="https://files.afu.se/Downloads/Transcripts/0%20-%20Government/USA%20-%20NASA%20Johnson/"/>
    <hyperlink ref="C764" r:id="rId764" display="https://youtu.be/gv4sOEXrxtQ"/>
    <hyperlink ref="F764" r:id="rId2" display="https://files.afu.se/Downloads/Transcripts/0%20-%20Government/USA%20-%20NASA%20Johnson/"/>
    <hyperlink ref="C765" r:id="rId765" display="https://youtu.be/RKAknU9jN6E"/>
    <hyperlink ref="F765" r:id="rId2" display="https://files.afu.se/Downloads/Transcripts/0%20-%20Government/USA%20-%20NASA%20Johnson/"/>
    <hyperlink ref="C766" r:id="rId766" display="https://youtu.be/5ONm6r7kiD0"/>
    <hyperlink ref="F766" r:id="rId2" display="https://files.afu.se/Downloads/Transcripts/0%20-%20Government/USA%20-%20NASA%20Johnson/"/>
    <hyperlink ref="C767" r:id="rId767" display="https://youtu.be/bNxZhrIrV78"/>
    <hyperlink ref="F767" r:id="rId2" display="https://files.afu.se/Downloads/Transcripts/0%20-%20Government/USA%20-%20NASA%20Johnson/"/>
    <hyperlink ref="C768" r:id="rId768" display="https://youtu.be/u0aOkOx3u2Q"/>
    <hyperlink ref="F768" r:id="rId2" display="https://files.afu.se/Downloads/Transcripts/0%20-%20Government/USA%20-%20NASA%20Johnson/"/>
    <hyperlink ref="C769" r:id="rId769" display="https://youtu.be/DCw3eoBvRtI"/>
    <hyperlink ref="F769" r:id="rId2" display="https://files.afu.se/Downloads/Transcripts/0%20-%20Government/USA%20-%20NASA%20Johnson/"/>
    <hyperlink ref="C770" r:id="rId770" display="https://youtu.be/nPrfOaKJ3L0"/>
    <hyperlink ref="F770" r:id="rId2" display="https://files.afu.se/Downloads/Transcripts/0%20-%20Government/USA%20-%20NASA%20Johnson/"/>
    <hyperlink ref="C771" r:id="rId771" display="https://youtu.be/O0qVTOnIhzM"/>
    <hyperlink ref="F771" r:id="rId2" display="https://files.afu.se/Downloads/Transcripts/0%20-%20Government/USA%20-%20NASA%20Johnson/"/>
    <hyperlink ref="C772" r:id="rId772" display="https://youtu.be/TjZVvZq_7wc"/>
    <hyperlink ref="F772" r:id="rId2" display="https://files.afu.se/Downloads/Transcripts/0%20-%20Government/USA%20-%20NASA%20Johnson/"/>
    <hyperlink ref="C773" r:id="rId773" display="https://youtu.be/HZ-CISmPshU"/>
    <hyperlink ref="F773" r:id="rId2" display="https://files.afu.se/Downloads/Transcripts/0%20-%20Government/USA%20-%20NASA%20Johnson/"/>
    <hyperlink ref="C774" r:id="rId774" display="https://youtu.be/ArHwh3xkEa8"/>
    <hyperlink ref="F774" r:id="rId2" display="https://files.afu.se/Downloads/Transcripts/0%20-%20Government/USA%20-%20NASA%20Johnson/"/>
    <hyperlink ref="C775" r:id="rId775" display="https://youtu.be/hO3Fym3gYMs"/>
    <hyperlink ref="F775" r:id="rId2" display="https://files.afu.se/Downloads/Transcripts/0%20-%20Government/USA%20-%20NASA%20Johnson/"/>
    <hyperlink ref="C776" r:id="rId776" display="https://youtu.be/HTe_obKNCx4"/>
    <hyperlink ref="F776" r:id="rId2" display="https://files.afu.se/Downloads/Transcripts/0%20-%20Government/USA%20-%20NASA%20Johnson/"/>
    <hyperlink ref="C777" r:id="rId777" display="https://youtu.be/jATBbjU4IyA"/>
    <hyperlink ref="F777" r:id="rId2" display="https://files.afu.se/Downloads/Transcripts/0%20-%20Government/USA%20-%20NASA%20Johnson/"/>
    <hyperlink ref="C778" r:id="rId778" display="https://youtu.be/Kf7JIZ4sfgQ"/>
    <hyperlink ref="F778" r:id="rId2" display="https://files.afu.se/Downloads/Transcripts/0%20-%20Government/USA%20-%20NASA%20Johnson/"/>
    <hyperlink ref="C779" r:id="rId779" display="https://youtu.be/1Pm4MbIwRDw"/>
    <hyperlink ref="F779" r:id="rId2" display="https://files.afu.se/Downloads/Transcripts/0%20-%20Government/USA%20-%20NASA%20Johnson/"/>
    <hyperlink ref="C780" r:id="rId780" display="https://youtu.be/IbS1zGnM9p4"/>
    <hyperlink ref="F780" r:id="rId2" display="https://files.afu.se/Downloads/Transcripts/0%20-%20Government/USA%20-%20NASA%20Johnson/"/>
    <hyperlink ref="C781" r:id="rId781" display="https://youtu.be/LADi7Zb-qww"/>
    <hyperlink ref="F781" r:id="rId2" display="https://files.afu.se/Downloads/Transcripts/0%20-%20Government/USA%20-%20NASA%20Johnson/"/>
    <hyperlink ref="C782" r:id="rId782" display="https://youtu.be/BCe1sAMUC7k"/>
    <hyperlink ref="F782" r:id="rId2" display="https://files.afu.se/Downloads/Transcripts/0%20-%20Government/USA%20-%20NASA%20Johnson/"/>
    <hyperlink ref="C783" r:id="rId783" display="https://youtu.be/5ZYQMRucmS0"/>
    <hyperlink ref="F783" r:id="rId2" display="https://files.afu.se/Downloads/Transcripts/0%20-%20Government/USA%20-%20NASA%20Johnson/"/>
    <hyperlink ref="C784" r:id="rId784" display="https://youtu.be/XxY__js5yTU"/>
    <hyperlink ref="F784" r:id="rId2" display="https://files.afu.se/Downloads/Transcripts/0%20-%20Government/USA%20-%20NASA%20Johnson/"/>
    <hyperlink ref="C785" r:id="rId785" display="https://youtu.be/5Yu1uOB2-_E"/>
    <hyperlink ref="F785" r:id="rId2" display="https://files.afu.se/Downloads/Transcripts/0%20-%20Government/USA%20-%20NASA%20Johnson/"/>
    <hyperlink ref="C786" r:id="rId786" display="https://youtu.be/TKP1chg-xpU"/>
    <hyperlink ref="F786" r:id="rId2" display="https://files.afu.se/Downloads/Transcripts/0%20-%20Government/USA%20-%20NASA%20Johnson/"/>
    <hyperlink ref="C787" r:id="rId787" display="https://youtu.be/Cgb1gyOsSQ0"/>
    <hyperlink ref="F787" r:id="rId2" display="https://files.afu.se/Downloads/Transcripts/0%20-%20Government/USA%20-%20NASA%20Johnson/"/>
    <hyperlink ref="C788" r:id="rId788" display="https://youtu.be/UvRaPpJJrpY"/>
    <hyperlink ref="F788" r:id="rId2" display="https://files.afu.se/Downloads/Transcripts/0%20-%20Government/USA%20-%20NASA%20Johnson/"/>
    <hyperlink ref="C789" r:id="rId789" display="https://youtu.be/eYV4gl558xc"/>
    <hyperlink ref="F789" r:id="rId2" display="https://files.afu.se/Downloads/Transcripts/0%20-%20Government/USA%20-%20NASA%20Johnson/"/>
    <hyperlink ref="C790" r:id="rId790" display="https://youtu.be/IOEPDf2DYNM"/>
    <hyperlink ref="F790" r:id="rId2" display="https://files.afu.se/Downloads/Transcripts/0%20-%20Government/USA%20-%20NASA%20Johnson/"/>
    <hyperlink ref="C791" r:id="rId791" display="https://youtu.be/KZbO3c-AdlM"/>
    <hyperlink ref="F791" r:id="rId2" display="https://files.afu.se/Downloads/Transcripts/0%20-%20Government/USA%20-%20NASA%20Johnson/"/>
    <hyperlink ref="C792" r:id="rId792" display="https://youtu.be/iApjVuYHrws"/>
    <hyperlink ref="F792" r:id="rId2" display="https://files.afu.se/Downloads/Transcripts/0%20-%20Government/USA%20-%20NASA%20Johnson/"/>
    <hyperlink ref="C793" r:id="rId793" display="https://youtu.be/A86RtW62WQ4"/>
    <hyperlink ref="F793" r:id="rId2" display="https://files.afu.se/Downloads/Transcripts/0%20-%20Government/USA%20-%20NASA%20Johnson/"/>
    <hyperlink ref="C794" r:id="rId794" display="https://youtu.be/ht9zTT4qPeI"/>
    <hyperlink ref="F794" r:id="rId2" display="https://files.afu.se/Downloads/Transcripts/0%20-%20Government/USA%20-%20NASA%20Johnson/"/>
    <hyperlink ref="C795" r:id="rId795" display="https://youtu.be/qGT19qUhjTY"/>
    <hyperlink ref="F795" r:id="rId2" display="https://files.afu.se/Downloads/Transcripts/0%20-%20Government/USA%20-%20NASA%20Johnson/"/>
    <hyperlink ref="C796" r:id="rId796" display="https://youtu.be/u53JU_Pm7FU"/>
    <hyperlink ref="F796" r:id="rId2" display="https://files.afu.se/Downloads/Transcripts/0%20-%20Government/USA%20-%20NASA%20Johnson/"/>
    <hyperlink ref="C797" r:id="rId797" display="https://youtu.be/9JRMiB0WwLU"/>
    <hyperlink ref="F797" r:id="rId2" display="https://files.afu.se/Downloads/Transcripts/0%20-%20Government/USA%20-%20NASA%20Johnson/"/>
    <hyperlink ref="C798" r:id="rId798" display="https://youtu.be/5NE96oJsQRA"/>
    <hyperlink ref="F798" r:id="rId2" display="https://files.afu.se/Downloads/Transcripts/0%20-%20Government/USA%20-%20NASA%20Johnson/"/>
    <hyperlink ref="C799" r:id="rId799" display="https://youtu.be/jBpTZI8ofHU"/>
    <hyperlink ref="F799" r:id="rId2" display="https://files.afu.se/Downloads/Transcripts/0%20-%20Government/USA%20-%20NASA%20Johnson/"/>
    <hyperlink ref="C800" r:id="rId800" display="https://youtu.be/-6mwmZqA5AU"/>
    <hyperlink ref="F800" r:id="rId2" display="https://files.afu.se/Downloads/Transcripts/0%20-%20Government/USA%20-%20NASA%20Johnson/"/>
    <hyperlink ref="C801" r:id="rId801" display="https://youtu.be/KfIofcFiLfA"/>
    <hyperlink ref="F801" r:id="rId2" display="https://files.afu.se/Downloads/Transcripts/0%20-%20Government/USA%20-%20NASA%20Johnson/"/>
    <hyperlink ref="C802" r:id="rId802" display="https://youtu.be/aTPM7hlBetw"/>
    <hyperlink ref="F802" r:id="rId2" display="https://files.afu.se/Downloads/Transcripts/0%20-%20Government/USA%20-%20NASA%20Johnson/"/>
    <hyperlink ref="C803" r:id="rId803" display="https://youtu.be/b2zl0RRyywk"/>
    <hyperlink ref="F803" r:id="rId2" display="https://files.afu.se/Downloads/Transcripts/0%20-%20Government/USA%20-%20NASA%20Johnson/"/>
    <hyperlink ref="C804" r:id="rId804" display="https://youtu.be/BA0e9Z3lbZI"/>
    <hyperlink ref="F804" r:id="rId2" display="https://files.afu.se/Downloads/Transcripts/0%20-%20Government/USA%20-%20NASA%20Johnson/"/>
    <hyperlink ref="C805" r:id="rId805" display="https://youtu.be/O0J3MmEZz5g"/>
    <hyperlink ref="F805" r:id="rId2" display="https://files.afu.se/Downloads/Transcripts/0%20-%20Government/USA%20-%20NASA%20Johnson/"/>
    <hyperlink ref="C806" r:id="rId806" display="https://youtu.be/4S06mRc5jwY"/>
    <hyperlink ref="F806" r:id="rId2" display="https://files.afu.se/Downloads/Transcripts/0%20-%20Government/USA%20-%20NASA%20Johnson/"/>
    <hyperlink ref="C807" r:id="rId807" display="https://youtu.be/rUAr6ngVlGM"/>
    <hyperlink ref="F807" r:id="rId2" display="https://files.afu.se/Downloads/Transcripts/0%20-%20Government/USA%20-%20NASA%20Johnson/"/>
    <hyperlink ref="C808" r:id="rId808" display="https://youtu.be/Z2szk-NuKWg"/>
    <hyperlink ref="F808" r:id="rId2" display="https://files.afu.se/Downloads/Transcripts/0%20-%20Government/USA%20-%20NASA%20Johnson/"/>
    <hyperlink ref="C809" r:id="rId809" display="https://youtu.be/Z4XvtP45m50"/>
    <hyperlink ref="F809" r:id="rId2" display="https://files.afu.se/Downloads/Transcripts/0%20-%20Government/USA%20-%20NASA%20Johnson/"/>
    <hyperlink ref="C810" r:id="rId810" display="https://youtu.be/fIPwR63W3tI"/>
    <hyperlink ref="F810" r:id="rId2" display="https://files.afu.se/Downloads/Transcripts/0%20-%20Government/USA%20-%20NASA%20Johnson/"/>
    <hyperlink ref="C811" r:id="rId811" display="https://youtu.be/5mPvvkwDHXc"/>
    <hyperlink ref="F811" r:id="rId2" display="https://files.afu.se/Downloads/Transcripts/0%20-%20Government/USA%20-%20NASA%20Johnson/"/>
    <hyperlink ref="C812" r:id="rId812" display="https://youtu.be/CNcuKoeM1N0"/>
    <hyperlink ref="F812" r:id="rId2" display="https://files.afu.se/Downloads/Transcripts/0%20-%20Government/USA%20-%20NASA%20Johnson/"/>
    <hyperlink ref="C813" r:id="rId813" display="https://youtu.be/_IdhNfqm0tE"/>
    <hyperlink ref="F813" r:id="rId2" display="https://files.afu.se/Downloads/Transcripts/0%20-%20Government/USA%20-%20NASA%20Johnson/"/>
    <hyperlink ref="C814" r:id="rId814" display="https://youtu.be/pXww3F86K3M"/>
    <hyperlink ref="F814" r:id="rId2" display="https://files.afu.se/Downloads/Transcripts/0%20-%20Government/USA%20-%20NASA%20Johnson/"/>
    <hyperlink ref="C815" r:id="rId815" display="https://youtu.be/wExehfrQtqo"/>
    <hyperlink ref="F815" r:id="rId2" display="https://files.afu.se/Downloads/Transcripts/0%20-%20Government/USA%20-%20NASA%20Johnson/"/>
    <hyperlink ref="C816" r:id="rId816" display="https://youtu.be/9D75x679hcs"/>
    <hyperlink ref="F816" r:id="rId2" display="https://files.afu.se/Downloads/Transcripts/0%20-%20Government/USA%20-%20NASA%20Johnson/"/>
    <hyperlink ref="C817" r:id="rId817" display="https://youtu.be/ntp6y-qe-sY"/>
    <hyperlink ref="F817" r:id="rId2" display="https://files.afu.se/Downloads/Transcripts/0%20-%20Government/USA%20-%20NASA%20Johnson/"/>
    <hyperlink ref="C818" r:id="rId818" display="https://youtu.be/8TlNip1VJ38"/>
    <hyperlink ref="F818" r:id="rId2" display="https://files.afu.se/Downloads/Transcripts/0%20-%20Government/USA%20-%20NASA%20Johnson/"/>
    <hyperlink ref="C819" r:id="rId819" display="https://youtu.be/2Rd1sCC0G9E"/>
    <hyperlink ref="F819" r:id="rId2" display="https://files.afu.se/Downloads/Transcripts/0%20-%20Government/USA%20-%20NASA%20Johnson/"/>
    <hyperlink ref="C820" r:id="rId820" display="https://youtu.be/MBCHIj1Li1A"/>
    <hyperlink ref="F820" r:id="rId2" display="https://files.afu.se/Downloads/Transcripts/0%20-%20Government/USA%20-%20NASA%20Johnson/"/>
    <hyperlink ref="C821" r:id="rId821" display="https://youtu.be/NQKlygiPnoU"/>
    <hyperlink ref="F821" r:id="rId2" display="https://files.afu.se/Downloads/Transcripts/0%20-%20Government/USA%20-%20NASA%20Johnson/"/>
    <hyperlink ref="C822" r:id="rId822" display="https://youtu.be/iyNfUPjSFDs"/>
    <hyperlink ref="F822" r:id="rId2" display="https://files.afu.se/Downloads/Transcripts/0%20-%20Government/USA%20-%20NASA%20Johnson/"/>
    <hyperlink ref="C823" r:id="rId823" display="https://youtu.be/H_g_iA3Kszg"/>
    <hyperlink ref="F823" r:id="rId2" display="https://files.afu.se/Downloads/Transcripts/0%20-%20Government/USA%20-%20NASA%20Johnson/"/>
    <hyperlink ref="C824" r:id="rId824" display="https://youtu.be/aMw72D58W3Y"/>
    <hyperlink ref="F824" r:id="rId2" display="https://files.afu.se/Downloads/Transcripts/0%20-%20Government/USA%20-%20NASA%20Johnson/"/>
    <hyperlink ref="C825" r:id="rId825" display="https://youtu.be/bDstIrIn3mw"/>
    <hyperlink ref="F825" r:id="rId2" display="https://files.afu.se/Downloads/Transcripts/0%20-%20Government/USA%20-%20NASA%20Johnson/"/>
    <hyperlink ref="C826" r:id="rId826" display="https://youtu.be/WcFarXvECb8"/>
    <hyperlink ref="F826" r:id="rId2" display="https://files.afu.se/Downloads/Transcripts/0%20-%20Government/USA%20-%20NASA%20Johnson/"/>
    <hyperlink ref="C827" r:id="rId827" display="https://youtu.be/0ValuWqyRG8"/>
    <hyperlink ref="F827" r:id="rId2" display="https://files.afu.se/Downloads/Transcripts/0%20-%20Government/USA%20-%20NASA%20Johnson/"/>
    <hyperlink ref="C828" r:id="rId828" display="https://youtu.be/WL1XY4jT5ks"/>
    <hyperlink ref="F828" r:id="rId2" display="https://files.afu.se/Downloads/Transcripts/0%20-%20Government/USA%20-%20NASA%20Johnson/"/>
    <hyperlink ref="C829" r:id="rId829" display="https://youtu.be/gLX87TYjXbM"/>
    <hyperlink ref="F829" r:id="rId2" display="https://files.afu.se/Downloads/Transcripts/0%20-%20Government/USA%20-%20NASA%20Johnson/"/>
    <hyperlink ref="C830" r:id="rId830" display="https://youtu.be/AV_x2KbJjIc"/>
    <hyperlink ref="F830" r:id="rId2" display="https://files.afu.se/Downloads/Transcripts/0%20-%20Government/USA%20-%20NASA%20Johnson/"/>
    <hyperlink ref="C831" r:id="rId831" display="https://youtu.be/ZtrT0HfTV5Q"/>
    <hyperlink ref="F831" r:id="rId2" display="https://files.afu.se/Downloads/Transcripts/0%20-%20Government/USA%20-%20NASA%20Johnson/"/>
    <hyperlink ref="C832" r:id="rId832" display="https://youtu.be/cp-lTLz_tRM"/>
    <hyperlink ref="F832" r:id="rId2" display="https://files.afu.se/Downloads/Transcripts/0%20-%20Government/USA%20-%20NASA%20Johnson/"/>
    <hyperlink ref="C833" r:id="rId833" display="https://youtu.be/qp_0l043mKQ"/>
    <hyperlink ref="F833" r:id="rId2" display="https://files.afu.se/Downloads/Transcripts/0%20-%20Government/USA%20-%20NASA%20Johnson/"/>
    <hyperlink ref="C834" r:id="rId834" display="https://youtu.be/8CCPwZHz3uw"/>
    <hyperlink ref="F834" r:id="rId2" display="https://files.afu.se/Downloads/Transcripts/0%20-%20Government/USA%20-%20NASA%20Johnson/"/>
    <hyperlink ref="C835" r:id="rId835" display="https://youtu.be/8N--3_JsHQk"/>
    <hyperlink ref="F835" r:id="rId2" display="https://files.afu.se/Downloads/Transcripts/0%20-%20Government/USA%20-%20NASA%20Johnson/"/>
    <hyperlink ref="C836" r:id="rId836" display="https://youtu.be/arEf05Yf5IY"/>
    <hyperlink ref="F836" r:id="rId2" display="https://files.afu.se/Downloads/Transcripts/0%20-%20Government/USA%20-%20NASA%20Johnson/"/>
    <hyperlink ref="C837" r:id="rId837" display="https://youtu.be/28r2SFZwkB0"/>
    <hyperlink ref="F837" r:id="rId2" display="https://files.afu.se/Downloads/Transcripts/0%20-%20Government/USA%20-%20NASA%20Johnson/"/>
    <hyperlink ref="C838" r:id="rId838" display="https://youtu.be/_wc9l4vGm5Y"/>
    <hyperlink ref="F838" r:id="rId2" display="https://files.afu.se/Downloads/Transcripts/0%20-%20Government/USA%20-%20NASA%20Johnson/"/>
    <hyperlink ref="C839" r:id="rId839" display="https://youtu.be/HoE3L56BVZw"/>
    <hyperlink ref="F839" r:id="rId2" display="https://files.afu.se/Downloads/Transcripts/0%20-%20Government/USA%20-%20NASA%20Johnson/"/>
    <hyperlink ref="C840" r:id="rId840" display="https://youtu.be/HQdMZ5OAU3U"/>
    <hyperlink ref="F840" r:id="rId2" display="https://files.afu.se/Downloads/Transcripts/0%20-%20Government/USA%20-%20NASA%20Johnson/"/>
    <hyperlink ref="C841" r:id="rId841" display="https://youtu.be/7fYKMCCPh28"/>
    <hyperlink ref="F841" r:id="rId2" display="https://files.afu.se/Downloads/Transcripts/0%20-%20Government/USA%20-%20NASA%20Johnson/"/>
    <hyperlink ref="C842" r:id="rId842" display="https://youtu.be/Hbr7l-iVoBE"/>
    <hyperlink ref="F842" r:id="rId2" display="https://files.afu.se/Downloads/Transcripts/0%20-%20Government/USA%20-%20NASA%20Johnson/"/>
    <hyperlink ref="C843" r:id="rId843" display="https://youtu.be/vSjDB9F-9Pk"/>
    <hyperlink ref="F843" r:id="rId2" display="https://files.afu.se/Downloads/Transcripts/0%20-%20Government/USA%20-%20NASA%20Johnson/"/>
    <hyperlink ref="C844" r:id="rId844" display="https://youtu.be/ggh96kR8cu0"/>
    <hyperlink ref="F844" r:id="rId2" display="https://files.afu.se/Downloads/Transcripts/0%20-%20Government/USA%20-%20NASA%20Johnson/"/>
    <hyperlink ref="C845" r:id="rId845" display="https://youtu.be/kK2dLogihpg"/>
    <hyperlink ref="F845" r:id="rId2" display="https://files.afu.se/Downloads/Transcripts/0%20-%20Government/USA%20-%20NASA%20Johnson/"/>
    <hyperlink ref="C846" r:id="rId846" display="https://youtu.be/hBnVSIvDoqQ"/>
    <hyperlink ref="F846" r:id="rId2" display="https://files.afu.se/Downloads/Transcripts/0%20-%20Government/USA%20-%20NASA%20Johnson/"/>
    <hyperlink ref="C847" r:id="rId847" display="https://youtu.be/SliwCMZd4R4"/>
    <hyperlink ref="F847" r:id="rId2" display="https://files.afu.se/Downloads/Transcripts/0%20-%20Government/USA%20-%20NASA%20Johnson/"/>
    <hyperlink ref="C848" r:id="rId848" display="https://youtu.be/DWkowyIB1To"/>
    <hyperlink ref="F848" r:id="rId2" display="https://files.afu.se/Downloads/Transcripts/0%20-%20Government/USA%20-%20NASA%20Johnson/"/>
    <hyperlink ref="C849" r:id="rId849" display="https://youtu.be/XXT2jkm2eTw"/>
    <hyperlink ref="F849" r:id="rId2" display="https://files.afu.se/Downloads/Transcripts/0%20-%20Government/USA%20-%20NASA%20Johnson/"/>
    <hyperlink ref="C850" r:id="rId850" display="https://youtu.be/Sq4KHpbTdTo"/>
    <hyperlink ref="F850" r:id="rId2" display="https://files.afu.se/Downloads/Transcripts/0%20-%20Government/USA%20-%20NASA%20Johnson/"/>
    <hyperlink ref="C851" r:id="rId851" display="https://youtu.be/YQv93BOIJQE"/>
    <hyperlink ref="F851" r:id="rId2" display="https://files.afu.se/Downloads/Transcripts/0%20-%20Government/USA%20-%20NASA%20Johnson/"/>
    <hyperlink ref="C852" r:id="rId852" display="https://youtu.be/lBechwsmk1Y"/>
    <hyperlink ref="F852" r:id="rId2" display="https://files.afu.se/Downloads/Transcripts/0%20-%20Government/USA%20-%20NASA%20Johnson/"/>
    <hyperlink ref="C853" r:id="rId853" display="https://youtu.be/geHritEjBnY"/>
    <hyperlink ref="F853" r:id="rId2" display="https://files.afu.se/Downloads/Transcripts/0%20-%20Government/USA%20-%20NASA%20Johnson/"/>
    <hyperlink ref="C854" r:id="rId854" display="https://youtu.be/smtsc5mlex8"/>
    <hyperlink ref="F854" r:id="rId2" display="https://files.afu.se/Downloads/Transcripts/0%20-%20Government/USA%20-%20NASA%20Johnson/"/>
    <hyperlink ref="C855" r:id="rId855" display="https://youtu.be/DHrLhm2z3xk"/>
    <hyperlink ref="F855" r:id="rId2" display="https://files.afu.se/Downloads/Transcripts/0%20-%20Government/USA%20-%20NASA%20Johnson/"/>
    <hyperlink ref="C856" r:id="rId856" display="https://youtu.be/Ne57B7QI4gk"/>
    <hyperlink ref="F856" r:id="rId2" display="https://files.afu.se/Downloads/Transcripts/0%20-%20Government/USA%20-%20NASA%20Johnson/"/>
    <hyperlink ref="C857" r:id="rId857" display="https://youtu.be/Yzh065x917w"/>
    <hyperlink ref="F857" r:id="rId2" display="https://files.afu.se/Downloads/Transcripts/0%20-%20Government/USA%20-%20NASA%20Johnson/"/>
    <hyperlink ref="C858" r:id="rId858" display="https://youtu.be/BDYbaphIjxI"/>
    <hyperlink ref="F858" r:id="rId2" display="https://files.afu.se/Downloads/Transcripts/0%20-%20Government/USA%20-%20NASA%20Johnson/"/>
    <hyperlink ref="C859" r:id="rId859" display="https://youtu.be/sC217wotZy8"/>
    <hyperlink ref="F859" r:id="rId2" display="https://files.afu.se/Downloads/Transcripts/0%20-%20Government/USA%20-%20NASA%20Johnson/"/>
    <hyperlink ref="C860" r:id="rId860" display="https://youtu.be/-nmNhKRzy4w"/>
    <hyperlink ref="F860" r:id="rId2" display="https://files.afu.se/Downloads/Transcripts/0%20-%20Government/USA%20-%20NASA%20Johnson/"/>
    <hyperlink ref="C861" r:id="rId861" display="https://youtu.be/jiL27ptrWDE"/>
    <hyperlink ref="F861" r:id="rId2" display="https://files.afu.se/Downloads/Transcripts/0%20-%20Government/USA%20-%20NASA%20Johnson/"/>
    <hyperlink ref="C862" r:id="rId862" display="https://youtu.be/CCW7PGGg7DI"/>
    <hyperlink ref="F862" r:id="rId2" display="https://files.afu.se/Downloads/Transcripts/0%20-%20Government/USA%20-%20NASA%20Johnson/"/>
    <hyperlink ref="C863" r:id="rId863" display="https://youtu.be/HUNfwWGc6Iw"/>
    <hyperlink ref="F863" r:id="rId2" display="https://files.afu.se/Downloads/Transcripts/0%20-%20Government/USA%20-%20NASA%20Johnson/"/>
    <hyperlink ref="C864" r:id="rId864" display="https://youtu.be/AsdngbXX9R0"/>
    <hyperlink ref="F864" r:id="rId2" display="https://files.afu.se/Downloads/Transcripts/0%20-%20Government/USA%20-%20NASA%20Johnson/"/>
    <hyperlink ref="C865" r:id="rId865" display="https://youtu.be/3gCvSPTJyHQ"/>
    <hyperlink ref="F865" r:id="rId2" display="https://files.afu.se/Downloads/Transcripts/0%20-%20Government/USA%20-%20NASA%20Johnson/"/>
    <hyperlink ref="C866" r:id="rId866" display="https://youtu.be/ZPIz9_Zv2FA"/>
    <hyperlink ref="F866" r:id="rId2" display="https://files.afu.se/Downloads/Transcripts/0%20-%20Government/USA%20-%20NASA%20Johnson/"/>
    <hyperlink ref="C867" r:id="rId867" display="https://youtu.be/FZrqmg_bm7o"/>
    <hyperlink ref="F867" r:id="rId2" display="https://files.afu.se/Downloads/Transcripts/0%20-%20Government/USA%20-%20NASA%20Johnson/"/>
    <hyperlink ref="C868" r:id="rId868" display="https://youtu.be/YqP5wMswxzw"/>
    <hyperlink ref="F868" r:id="rId2" display="https://files.afu.se/Downloads/Transcripts/0%20-%20Government/USA%20-%20NASA%20Johnson/"/>
    <hyperlink ref="C869" r:id="rId869" display="https://youtu.be/pNQ9CTJ7Mxc"/>
    <hyperlink ref="F869" r:id="rId2" display="https://files.afu.se/Downloads/Transcripts/0%20-%20Government/USA%20-%20NASA%20Johnson/"/>
    <hyperlink ref="C870" r:id="rId870" display="https://youtu.be/HZrg9nvrKkY"/>
    <hyperlink ref="F870" r:id="rId2" display="https://files.afu.se/Downloads/Transcripts/0%20-%20Government/USA%20-%20NASA%20Johnson/"/>
    <hyperlink ref="C871" r:id="rId871" display="https://youtu.be/HamFcDiqi_M"/>
    <hyperlink ref="F871" r:id="rId2" display="https://files.afu.se/Downloads/Transcripts/0%20-%20Government/USA%20-%20NASA%20Johnson/"/>
    <hyperlink ref="C872" r:id="rId872" display="https://youtu.be/IeWOlJf2BJM"/>
    <hyperlink ref="F872" r:id="rId2" display="https://files.afu.se/Downloads/Transcripts/0%20-%20Government/USA%20-%20NASA%20Johnson/"/>
    <hyperlink ref="C873" r:id="rId873" display="https://youtu.be/xiWO6n_3s70"/>
    <hyperlink ref="F873" r:id="rId2" display="https://files.afu.se/Downloads/Transcripts/0%20-%20Government/USA%20-%20NASA%20Johnson/"/>
    <hyperlink ref="C874" r:id="rId874" display="https://youtu.be/stPAHJQ8iL4"/>
    <hyperlink ref="F874" r:id="rId2" display="https://files.afu.se/Downloads/Transcripts/0%20-%20Government/USA%20-%20NASA%20Johnson/"/>
    <hyperlink ref="C875" r:id="rId875" display="https://youtu.be/LL43GAKoH4Q"/>
    <hyperlink ref="F875" r:id="rId2" display="https://files.afu.se/Downloads/Transcripts/0%20-%20Government/USA%20-%20NASA%20Johnson/"/>
    <hyperlink ref="C876" r:id="rId876" display="https://youtu.be/CPvcjRARi68"/>
    <hyperlink ref="F876" r:id="rId2" display="https://files.afu.se/Downloads/Transcripts/0%20-%20Government/USA%20-%20NASA%20Johnson/"/>
    <hyperlink ref="C877" r:id="rId877" display="https://youtu.be/ZvE8jIf5Efw"/>
    <hyperlink ref="F877" r:id="rId2" display="https://files.afu.se/Downloads/Transcripts/0%20-%20Government/USA%20-%20NASA%20Johnson/"/>
    <hyperlink ref="C878" r:id="rId878" display="https://youtu.be/5DZ6RA1__Ts"/>
    <hyperlink ref="F878" r:id="rId2" display="https://files.afu.se/Downloads/Transcripts/0%20-%20Government/USA%20-%20NASA%20Johnson/"/>
    <hyperlink ref="C879" r:id="rId879" display="https://youtu.be/lYqi-tYxEAI"/>
    <hyperlink ref="F879" r:id="rId2" display="https://files.afu.se/Downloads/Transcripts/0%20-%20Government/USA%20-%20NASA%20Johnson/"/>
    <hyperlink ref="C880" r:id="rId880" display="https://youtu.be/ixvk5al_0bc"/>
    <hyperlink ref="F880" r:id="rId2" display="https://files.afu.se/Downloads/Transcripts/0%20-%20Government/USA%20-%20NASA%20Johnson/"/>
    <hyperlink ref="C881" r:id="rId881" display="https://youtu.be/e-GbTqpCLLM"/>
    <hyperlink ref="F881" r:id="rId2" display="https://files.afu.se/Downloads/Transcripts/0%20-%20Government/USA%20-%20NASA%20Johnson/"/>
    <hyperlink ref="C882" r:id="rId882" display="https://youtu.be/q8cT2b6rrkY"/>
    <hyperlink ref="F882" r:id="rId2" display="https://files.afu.se/Downloads/Transcripts/0%20-%20Government/USA%20-%20NASA%20Johnson/"/>
    <hyperlink ref="C883" r:id="rId883" display="https://youtu.be/jqHuQ0o4vyo"/>
    <hyperlink ref="F883" r:id="rId2" display="https://files.afu.se/Downloads/Transcripts/0%20-%20Government/USA%20-%20NASA%20Johnson/"/>
    <hyperlink ref="C884" r:id="rId884" display="https://youtu.be/2BB_zxZvaVs"/>
    <hyperlink ref="F884" r:id="rId2" display="https://files.afu.se/Downloads/Transcripts/0%20-%20Government/USA%20-%20NASA%20Johnson/"/>
    <hyperlink ref="C885" r:id="rId885" display="https://youtu.be/6A3ZHxWwOXI"/>
    <hyperlink ref="F885" r:id="rId2" display="https://files.afu.se/Downloads/Transcripts/0%20-%20Government/USA%20-%20NASA%20Johnson/"/>
    <hyperlink ref="C886" r:id="rId886" display="https://youtu.be/j0wdRieUQ7g"/>
    <hyperlink ref="F886" r:id="rId2" display="https://files.afu.se/Downloads/Transcripts/0%20-%20Government/USA%20-%20NASA%20Johnson/"/>
    <hyperlink ref="C887" r:id="rId887" display="https://youtu.be/4Gq8_TcNQbg"/>
    <hyperlink ref="F887" r:id="rId2" display="https://files.afu.se/Downloads/Transcripts/0%20-%20Government/USA%20-%20NASA%20Johnson/"/>
    <hyperlink ref="C888" r:id="rId888" display="https://youtu.be/FrkDAk3H96k"/>
    <hyperlink ref="F888" r:id="rId2" display="https://files.afu.se/Downloads/Transcripts/0%20-%20Government/USA%20-%20NASA%20Johnson/"/>
    <hyperlink ref="C889" r:id="rId889" display="https://youtu.be/bnWR-Gtrh8A"/>
    <hyperlink ref="F889" r:id="rId2" display="https://files.afu.se/Downloads/Transcripts/0%20-%20Government/USA%20-%20NASA%20Johnson/"/>
    <hyperlink ref="C890" r:id="rId890" display="https://youtu.be/fkuuA7Z2x2Y"/>
    <hyperlink ref="F890" r:id="rId2" display="https://files.afu.se/Downloads/Transcripts/0%20-%20Government/USA%20-%20NASA%20Johnson/"/>
    <hyperlink ref="C891" r:id="rId891" display="https://youtu.be/sSfeJ8qaG7Q"/>
    <hyperlink ref="F891" r:id="rId2" display="https://files.afu.se/Downloads/Transcripts/0%20-%20Government/USA%20-%20NASA%20Johnson/"/>
    <hyperlink ref="C892" r:id="rId892" display="https://youtu.be/iGE81m_c1gA"/>
    <hyperlink ref="F892" r:id="rId2" display="https://files.afu.se/Downloads/Transcripts/0%20-%20Government/USA%20-%20NASA%20Johnson/"/>
    <hyperlink ref="C893" r:id="rId893" display="https://youtu.be/Y-qZMOTT-OM"/>
    <hyperlink ref="F893" r:id="rId2" display="https://files.afu.se/Downloads/Transcripts/0%20-%20Government/USA%20-%20NASA%20Johnson/"/>
    <hyperlink ref="C894" r:id="rId894" display="https://youtu.be/VLnPaP2fGYE"/>
    <hyperlink ref="F894" r:id="rId2" display="https://files.afu.se/Downloads/Transcripts/0%20-%20Government/USA%20-%20NASA%20Johnson/"/>
    <hyperlink ref="C895" r:id="rId895" display="https://youtu.be/bhPNNIiuEzI"/>
    <hyperlink ref="F895" r:id="rId2" display="https://files.afu.se/Downloads/Transcripts/0%20-%20Government/USA%20-%20NASA%20Johnson/"/>
    <hyperlink ref="C896" r:id="rId896" display="https://youtu.be/dMNCth_vgr0"/>
    <hyperlink ref="F896" r:id="rId2" display="https://files.afu.se/Downloads/Transcripts/0%20-%20Government/USA%20-%20NASA%20Johnson/"/>
    <hyperlink ref="C897" r:id="rId897" display="https://youtu.be/HxwHl35LhGQ"/>
    <hyperlink ref="F897" r:id="rId2" display="https://files.afu.se/Downloads/Transcripts/0%20-%20Government/USA%20-%20NASA%20Johnson/"/>
    <hyperlink ref="C898" r:id="rId898" display="https://youtu.be/qam7K5H6Rqo"/>
    <hyperlink ref="F898" r:id="rId2" display="https://files.afu.se/Downloads/Transcripts/0%20-%20Government/USA%20-%20NASA%20Johnson/"/>
    <hyperlink ref="C899" r:id="rId899" display="https://youtu.be/BtlJaI3yu2E"/>
    <hyperlink ref="F899" r:id="rId2" display="https://files.afu.se/Downloads/Transcripts/0%20-%20Government/USA%20-%20NASA%20Johnson/"/>
    <hyperlink ref="C900" r:id="rId900" display="https://youtu.be/SYHR3UgOhhs"/>
    <hyperlink ref="F900" r:id="rId2" display="https://files.afu.se/Downloads/Transcripts/0%20-%20Government/USA%20-%20NASA%20Johnson/"/>
    <hyperlink ref="C901" r:id="rId901" display="https://youtu.be/g0day1xpTzU"/>
    <hyperlink ref="F901" r:id="rId2" display="https://files.afu.se/Downloads/Transcripts/0%20-%20Government/USA%20-%20NASA%20Johnson/"/>
    <hyperlink ref="C902" r:id="rId902" display="https://youtu.be/QfPbemSzFRw"/>
    <hyperlink ref="F902" r:id="rId2" display="https://files.afu.se/Downloads/Transcripts/0%20-%20Government/USA%20-%20NASA%20Johnson/"/>
    <hyperlink ref="C903" r:id="rId903" display="https://youtu.be/8MpiIFUo8QM"/>
    <hyperlink ref="F903" r:id="rId2" display="https://files.afu.se/Downloads/Transcripts/0%20-%20Government/USA%20-%20NASA%20Johnson/"/>
    <hyperlink ref="C904" r:id="rId904" display="https://youtu.be/FW-3A78OeNw"/>
    <hyperlink ref="F904" r:id="rId2" display="https://files.afu.se/Downloads/Transcripts/0%20-%20Government/USA%20-%20NASA%20Johnson/"/>
    <hyperlink ref="C905" r:id="rId905" display="https://youtu.be/H0QbMJqqQwk"/>
    <hyperlink ref="F905" r:id="rId2" display="https://files.afu.se/Downloads/Transcripts/0%20-%20Government/USA%20-%20NASA%20Johnson/"/>
    <hyperlink ref="C906" r:id="rId906" display="https://youtu.be/FRhIcs3cvJc"/>
    <hyperlink ref="F906" r:id="rId2" display="https://files.afu.se/Downloads/Transcripts/0%20-%20Government/USA%20-%20NASA%20Johnson/"/>
    <hyperlink ref="C907" r:id="rId907" display="https://youtu.be/Sic9M7qGV9g"/>
    <hyperlink ref="F907" r:id="rId2" display="https://files.afu.se/Downloads/Transcripts/0%20-%20Government/USA%20-%20NASA%20Johnson/"/>
    <hyperlink ref="C908" r:id="rId908" display="https://youtu.be/ouDKD9G9jOE"/>
    <hyperlink ref="F908" r:id="rId2" display="https://files.afu.se/Downloads/Transcripts/0%20-%20Government/USA%20-%20NASA%20Johnson/"/>
    <hyperlink ref="C909" r:id="rId909" display="https://youtu.be/oKZvYztlpp4"/>
    <hyperlink ref="F909" r:id="rId2" display="https://files.afu.se/Downloads/Transcripts/0%20-%20Government/USA%20-%20NASA%20Johnson/"/>
    <hyperlink ref="C910" r:id="rId910" display="https://youtu.be/7FLi1uby_u4"/>
    <hyperlink ref="F910" r:id="rId2" display="https://files.afu.se/Downloads/Transcripts/0%20-%20Government/USA%20-%20NASA%20Johnson/"/>
    <hyperlink ref="C911" r:id="rId911" display="https://youtu.be/TJbk9c594t8"/>
    <hyperlink ref="F911" r:id="rId2" display="https://files.afu.se/Downloads/Transcripts/0%20-%20Government/USA%20-%20NASA%20Johnson/"/>
    <hyperlink ref="C912" r:id="rId912" display="https://youtu.be/QR0orgqkLi0"/>
    <hyperlink ref="F912" r:id="rId2" display="https://files.afu.se/Downloads/Transcripts/0%20-%20Government/USA%20-%20NASA%20Johnson/"/>
    <hyperlink ref="C913" r:id="rId913" display="https://youtu.be/lylmTYVwEro"/>
    <hyperlink ref="F913" r:id="rId2" display="https://files.afu.se/Downloads/Transcripts/0%20-%20Government/USA%20-%20NASA%20Johnson/"/>
    <hyperlink ref="C914" r:id="rId914" display="https://youtu.be/72ca0opq92Y"/>
    <hyperlink ref="F914" r:id="rId2" display="https://files.afu.se/Downloads/Transcripts/0%20-%20Government/USA%20-%20NASA%20Johnson/"/>
    <hyperlink ref="C915" r:id="rId915" display="https://youtu.be/rfVNn_Y4Onc"/>
    <hyperlink ref="F915" r:id="rId2" display="https://files.afu.se/Downloads/Transcripts/0%20-%20Government/USA%20-%20NASA%20Johnson/"/>
    <hyperlink ref="C916" r:id="rId916" display="https://youtu.be/cA5OJr3X0vg"/>
    <hyperlink ref="F916" r:id="rId2" display="https://files.afu.se/Downloads/Transcripts/0%20-%20Government/USA%20-%20NASA%20Johnson/"/>
    <hyperlink ref="C917" r:id="rId917" display="https://youtu.be/1hErxDJC-Yw"/>
    <hyperlink ref="F917" r:id="rId2" display="https://files.afu.se/Downloads/Transcripts/0%20-%20Government/USA%20-%20NASA%20Johnson/"/>
    <hyperlink ref="C918" r:id="rId918" display="https://youtu.be/86aWDx5SQas"/>
    <hyperlink ref="F918" r:id="rId2" display="https://files.afu.se/Downloads/Transcripts/0%20-%20Government/USA%20-%20NASA%20Johnson/"/>
    <hyperlink ref="C919" r:id="rId919" display="https://youtu.be/Z8huapsaouU"/>
    <hyperlink ref="F919" r:id="rId2" display="https://files.afu.se/Downloads/Transcripts/0%20-%20Government/USA%20-%20NASA%20Johnson/"/>
    <hyperlink ref="C920" r:id="rId920" display="https://youtu.be/BCWNcYsKRNA"/>
    <hyperlink ref="F920" r:id="rId2" display="https://files.afu.se/Downloads/Transcripts/0%20-%20Government/USA%20-%20NASA%20Johnson/"/>
    <hyperlink ref="C921" r:id="rId921" display="https://youtu.be/oz9RGRMy7LI"/>
    <hyperlink ref="F921" r:id="rId2" display="https://files.afu.se/Downloads/Transcripts/0%20-%20Government/USA%20-%20NASA%20Johnson/"/>
    <hyperlink ref="C922" r:id="rId922" display="https://youtu.be/ndP1GpMgORA"/>
    <hyperlink ref="F922" r:id="rId2" display="https://files.afu.se/Downloads/Transcripts/0%20-%20Government/USA%20-%20NASA%20Johnson/"/>
    <hyperlink ref="C923" r:id="rId923" display="https://youtu.be/z69uruiFH_I"/>
    <hyperlink ref="F923" r:id="rId2" display="https://files.afu.se/Downloads/Transcripts/0%20-%20Government/USA%20-%20NASA%20Johnson/"/>
    <hyperlink ref="C924" r:id="rId924" display="https://youtu.be/MTebNwoHhDY"/>
    <hyperlink ref="F924" r:id="rId2" display="https://files.afu.se/Downloads/Transcripts/0%20-%20Government/USA%20-%20NASA%20Johnson/"/>
    <hyperlink ref="C925" r:id="rId925" display="https://youtu.be/70GrihLXmSs"/>
    <hyperlink ref="F925" r:id="rId2" display="https://files.afu.se/Downloads/Transcripts/0%20-%20Government/USA%20-%20NASA%20Johnson/"/>
    <hyperlink ref="C926" r:id="rId926" display="https://youtu.be/VwmmNwFnPvk"/>
    <hyperlink ref="F926" r:id="rId2" display="https://files.afu.se/Downloads/Transcripts/0%20-%20Government/USA%20-%20NASA%20Johnson/"/>
    <hyperlink ref="C927" r:id="rId927" display="https://youtu.be/qPSiGT1JYWk"/>
    <hyperlink ref="F927" r:id="rId2" display="https://files.afu.se/Downloads/Transcripts/0%20-%20Government/USA%20-%20NASA%20Johnson/"/>
    <hyperlink ref="C928" r:id="rId928" display="https://youtu.be/lwt6_ntY7lI"/>
    <hyperlink ref="F928" r:id="rId2" display="https://files.afu.se/Downloads/Transcripts/0%20-%20Government/USA%20-%20NASA%20Johnson/"/>
    <hyperlink ref="C929" r:id="rId929" display="https://youtu.be/5zSKAoEFD5c"/>
    <hyperlink ref="F929" r:id="rId2" display="https://files.afu.se/Downloads/Transcripts/0%20-%20Government/USA%20-%20NASA%20Johnson/"/>
    <hyperlink ref="C930" r:id="rId930" display="https://youtu.be/rgFeAcnF9tY"/>
    <hyperlink ref="F930" r:id="rId2" display="https://files.afu.se/Downloads/Transcripts/0%20-%20Government/USA%20-%20NASA%20Johnson/"/>
    <hyperlink ref="C931" r:id="rId931" display="https://youtu.be/0HoLtbcIsDQ"/>
    <hyperlink ref="F931" r:id="rId2" display="https://files.afu.se/Downloads/Transcripts/0%20-%20Government/USA%20-%20NASA%20Johnson/"/>
    <hyperlink ref="C932" r:id="rId932" display="https://youtu.be/3DX0pkZ1Qu4"/>
    <hyperlink ref="F932" r:id="rId2" display="https://files.afu.se/Downloads/Transcripts/0%20-%20Government/USA%20-%20NASA%20Johnson/"/>
    <hyperlink ref="C933" r:id="rId933" display="https://youtu.be/lUHx9rFnKjM"/>
    <hyperlink ref="F933" r:id="rId2" display="https://files.afu.se/Downloads/Transcripts/0%20-%20Government/USA%20-%20NASA%20Johnson/"/>
    <hyperlink ref="C934" r:id="rId934" display="https://youtu.be/E-B9uR74YQ4"/>
    <hyperlink ref="F934" r:id="rId2" display="https://files.afu.se/Downloads/Transcripts/0%20-%20Government/USA%20-%20NASA%20Johnson/"/>
    <hyperlink ref="C935" r:id="rId935" display="https://youtu.be/ssnUAN82T9g"/>
    <hyperlink ref="F935" r:id="rId2" display="https://files.afu.se/Downloads/Transcripts/0%20-%20Government/USA%20-%20NASA%20Johnson/"/>
    <hyperlink ref="C936" r:id="rId936" display="https://youtu.be/PNt6L9dWbZ0"/>
    <hyperlink ref="F936" r:id="rId2" display="https://files.afu.se/Downloads/Transcripts/0%20-%20Government/USA%20-%20NASA%20Johnson/"/>
    <hyperlink ref="C937" r:id="rId937" display="https://youtu.be/_406gfSToBs"/>
    <hyperlink ref="F937" r:id="rId2" display="https://files.afu.se/Downloads/Transcripts/0%20-%20Government/USA%20-%20NASA%20Johnson/"/>
    <hyperlink ref="C938" r:id="rId938" display="https://youtu.be/5d-lCAlfr5s"/>
    <hyperlink ref="F938" r:id="rId2" display="https://files.afu.se/Downloads/Transcripts/0%20-%20Government/USA%20-%20NASA%20Johnson/"/>
    <hyperlink ref="C939" r:id="rId939" display="https://youtu.be/gdouU1IN8TQ"/>
    <hyperlink ref="F939" r:id="rId2" display="https://files.afu.se/Downloads/Transcripts/0%20-%20Government/USA%20-%20NASA%20Johnson/"/>
    <hyperlink ref="C940" r:id="rId940" display="https://youtu.be/02TYu73B3jc"/>
    <hyperlink ref="F940" r:id="rId2" display="https://files.afu.se/Downloads/Transcripts/0%20-%20Government/USA%20-%20NASA%20Johnson/"/>
    <hyperlink ref="C941" r:id="rId941" display="https://youtu.be/TplYDB_csf8"/>
    <hyperlink ref="F941" r:id="rId2" display="https://files.afu.se/Downloads/Transcripts/0%20-%20Government/USA%20-%20NASA%20Johnson/"/>
    <hyperlink ref="C942" r:id="rId942" display="https://youtu.be/gZCtRccs1xo"/>
    <hyperlink ref="F942" r:id="rId2" display="https://files.afu.se/Downloads/Transcripts/0%20-%20Government/USA%20-%20NASA%20Johnson/"/>
    <hyperlink ref="C943" r:id="rId943" display="https://youtu.be/ZFd8gmUTGmw"/>
    <hyperlink ref="F943" r:id="rId2" display="https://files.afu.se/Downloads/Transcripts/0%20-%20Government/USA%20-%20NASA%20Johnson/"/>
    <hyperlink ref="C944" r:id="rId944" display="https://youtu.be/_403HWLU6Uk"/>
    <hyperlink ref="F944" r:id="rId2" display="https://files.afu.se/Downloads/Transcripts/0%20-%20Government/USA%20-%20NASA%20Johnson/"/>
    <hyperlink ref="C945" r:id="rId945" display="https://youtu.be/rXVILG8gLVo"/>
    <hyperlink ref="F945" r:id="rId2" display="https://files.afu.se/Downloads/Transcripts/0%20-%20Government/USA%20-%20NASA%20Johnson/"/>
    <hyperlink ref="C946" r:id="rId946" display="https://youtu.be/Z59pq5JHpnc"/>
    <hyperlink ref="F946" r:id="rId2" display="https://files.afu.se/Downloads/Transcripts/0%20-%20Government/USA%20-%20NASA%20Johnson/"/>
    <hyperlink ref="C947" r:id="rId947" display="https://youtu.be/nbdrZ2JUOw0"/>
    <hyperlink ref="F947" r:id="rId2" display="https://files.afu.se/Downloads/Transcripts/0%20-%20Government/USA%20-%20NASA%20Johnson/"/>
    <hyperlink ref="C948" r:id="rId948" display="https://youtu.be/SUJUlt5BNFg"/>
    <hyperlink ref="F948" r:id="rId2" display="https://files.afu.se/Downloads/Transcripts/0%20-%20Government/USA%20-%20NASA%20Johnson/"/>
    <hyperlink ref="C949" r:id="rId949" display="https://youtu.be/UCjlfPS_6ZM"/>
    <hyperlink ref="F949" r:id="rId2" display="https://files.afu.se/Downloads/Transcripts/0%20-%20Government/USA%20-%20NASA%20Johnson/"/>
    <hyperlink ref="C950" r:id="rId950" display="https://youtu.be/-kg6Zw3Hufo"/>
    <hyperlink ref="F950" r:id="rId2" display="https://files.afu.se/Downloads/Transcripts/0%20-%20Government/USA%20-%20NASA%20Johnson/"/>
    <hyperlink ref="C951" r:id="rId951" display="https://youtu.be/Gtaoc_5y8VE"/>
    <hyperlink ref="F951" r:id="rId2" display="https://files.afu.se/Downloads/Transcripts/0%20-%20Government/USA%20-%20NASA%20Johnson/"/>
    <hyperlink ref="C952" r:id="rId952" display="https://youtu.be/Tijap2ocSs4"/>
    <hyperlink ref="F952" r:id="rId2" display="https://files.afu.se/Downloads/Transcripts/0%20-%20Government/USA%20-%20NASA%20Johnson/"/>
    <hyperlink ref="C953" r:id="rId953" display="https://youtu.be/Ka3jRmDRAKk"/>
    <hyperlink ref="F953" r:id="rId2" display="https://files.afu.se/Downloads/Transcripts/0%20-%20Government/USA%20-%20NASA%20Johnson/"/>
    <hyperlink ref="C954" r:id="rId954" display="https://youtu.be/cSVpRPLu3EA"/>
    <hyperlink ref="F954" r:id="rId2" display="https://files.afu.se/Downloads/Transcripts/0%20-%20Government/USA%20-%20NASA%20Johnson/"/>
    <hyperlink ref="C955" r:id="rId955" display="https://youtu.be/SEst1lHWgwk"/>
    <hyperlink ref="F955" r:id="rId2" display="https://files.afu.se/Downloads/Transcripts/0%20-%20Government/USA%20-%20NASA%20Johnson/"/>
    <hyperlink ref="C956" r:id="rId956" display="https://youtu.be/UbvgIG5AyUs"/>
    <hyperlink ref="F956" r:id="rId2" display="https://files.afu.se/Downloads/Transcripts/0%20-%20Government/USA%20-%20NASA%20Johnson/"/>
    <hyperlink ref="C957" r:id="rId957" display="https://youtu.be/C_hs7Gw_6g8"/>
    <hyperlink ref="F957" r:id="rId2" display="https://files.afu.se/Downloads/Transcripts/0%20-%20Government/USA%20-%20NASA%20Johnson/"/>
    <hyperlink ref="C958" r:id="rId958" display="https://youtu.be/Hi7YK7g_LZA"/>
    <hyperlink ref="F958" r:id="rId2" display="https://files.afu.se/Downloads/Transcripts/0%20-%20Government/USA%20-%20NASA%20Johnson/"/>
    <hyperlink ref="C959" r:id="rId959" display="https://youtu.be/JhkyhhyQo_I"/>
    <hyperlink ref="F959" r:id="rId2" display="https://files.afu.se/Downloads/Transcripts/0%20-%20Government/USA%20-%20NASA%20Johnson/"/>
    <hyperlink ref="C960" r:id="rId960" display="https://youtu.be/X-I0katihQo"/>
    <hyperlink ref="F960" r:id="rId2" display="https://files.afu.se/Downloads/Transcripts/0%20-%20Government/USA%20-%20NASA%20Johnson/"/>
    <hyperlink ref="C961" r:id="rId961" display="https://youtu.be/hJl5J8M2H-Q"/>
    <hyperlink ref="F961" r:id="rId2" display="https://files.afu.se/Downloads/Transcripts/0%20-%20Government/USA%20-%20NASA%20Johnson/"/>
    <hyperlink ref="C962" r:id="rId962" display="https://youtu.be/GiUvFpUK0ME"/>
    <hyperlink ref="F962" r:id="rId2" display="https://files.afu.se/Downloads/Transcripts/0%20-%20Government/USA%20-%20NASA%20Johnson/"/>
    <hyperlink ref="C963" r:id="rId963" display="https://youtu.be/iHomPzdPcH4"/>
    <hyperlink ref="F963" r:id="rId2" display="https://files.afu.se/Downloads/Transcripts/0%20-%20Government/USA%20-%20NASA%20Johnson/"/>
    <hyperlink ref="C964" r:id="rId964" display="https://youtu.be/1-awgz5DfeU"/>
    <hyperlink ref="F964" r:id="rId2" display="https://files.afu.se/Downloads/Transcripts/0%20-%20Government/USA%20-%20NASA%20Johnson/"/>
    <hyperlink ref="C965" r:id="rId965" display="https://youtu.be/-yHH6Uf5Fps"/>
    <hyperlink ref="F965" r:id="rId2" display="https://files.afu.se/Downloads/Transcripts/0%20-%20Government/USA%20-%20NASA%20Johnson/"/>
    <hyperlink ref="C966" r:id="rId966" display="https://youtu.be/OCbPTwrIuWg"/>
    <hyperlink ref="F966" r:id="rId2" display="https://files.afu.se/Downloads/Transcripts/0%20-%20Government/USA%20-%20NASA%20Johnson/"/>
    <hyperlink ref="C967" r:id="rId967" display="https://youtu.be/x0K7yi6yi4Y"/>
    <hyperlink ref="F967" r:id="rId2" display="https://files.afu.se/Downloads/Transcripts/0%20-%20Government/USA%20-%20NASA%20Johnson/"/>
    <hyperlink ref="C968" r:id="rId968" display="https://youtu.be/37j7NNV-_A0"/>
    <hyperlink ref="F968" r:id="rId2" display="https://files.afu.se/Downloads/Transcripts/0%20-%20Government/USA%20-%20NASA%20Johnson/"/>
    <hyperlink ref="C969" r:id="rId969" display="https://youtu.be/uyEqztKclx8"/>
    <hyperlink ref="F969" r:id="rId2" display="https://files.afu.se/Downloads/Transcripts/0%20-%20Government/USA%20-%20NASA%20Johnson/"/>
    <hyperlink ref="C970" r:id="rId970" display="https://youtu.be/99tglc1o04U"/>
    <hyperlink ref="F970" r:id="rId2" display="https://files.afu.se/Downloads/Transcripts/0%20-%20Government/USA%20-%20NASA%20Johnson/"/>
    <hyperlink ref="C971" r:id="rId971" display="https://youtu.be/yAQJsHaQ41E"/>
    <hyperlink ref="F971" r:id="rId2" display="https://files.afu.se/Downloads/Transcripts/0%20-%20Government/USA%20-%20NASA%20Johnson/"/>
    <hyperlink ref="C972" r:id="rId972" display="https://youtu.be/dTJoDVBOxPE"/>
    <hyperlink ref="F972" r:id="rId2" display="https://files.afu.se/Downloads/Transcripts/0%20-%20Government/USA%20-%20NASA%20Johnson/"/>
    <hyperlink ref="C973" r:id="rId973" display="https://youtu.be/5xGcAJtkBUg"/>
    <hyperlink ref="F973" r:id="rId2" display="https://files.afu.se/Downloads/Transcripts/0%20-%20Government/USA%20-%20NASA%20Johnson/"/>
    <hyperlink ref="C974" r:id="rId974" display="https://youtu.be/2B0azyRf4QU"/>
    <hyperlink ref="F974" r:id="rId2" display="https://files.afu.se/Downloads/Transcripts/0%20-%20Government/USA%20-%20NASA%20Johnson/"/>
    <hyperlink ref="C975" r:id="rId975" display="https://youtu.be/3y6jNsuSrz4"/>
    <hyperlink ref="F975" r:id="rId2" display="https://files.afu.se/Downloads/Transcripts/0%20-%20Government/USA%20-%20NASA%20Johnson/"/>
    <hyperlink ref="C976" r:id="rId976" display="https://youtu.be/QE0LbWntBv4"/>
    <hyperlink ref="F976" r:id="rId2" display="https://files.afu.se/Downloads/Transcripts/0%20-%20Government/USA%20-%20NASA%20Johnson/"/>
    <hyperlink ref="C977" r:id="rId977" display="https://youtu.be/vsdklArMnCU"/>
    <hyperlink ref="F977" r:id="rId2" display="https://files.afu.se/Downloads/Transcripts/0%20-%20Government/USA%20-%20NASA%20Johnson/"/>
    <hyperlink ref="C978" r:id="rId978" display="https://youtu.be/q6A8nparbuk"/>
    <hyperlink ref="F978" r:id="rId2" display="https://files.afu.se/Downloads/Transcripts/0%20-%20Government/USA%20-%20NASA%20Johnson/"/>
    <hyperlink ref="C979" r:id="rId979" display="https://youtu.be/6VPaf525lF0"/>
    <hyperlink ref="F979" r:id="rId2" display="https://files.afu.se/Downloads/Transcripts/0%20-%20Government/USA%20-%20NASA%20Johnson/"/>
    <hyperlink ref="C980" r:id="rId980" display="https://youtu.be/JW0jGcNO7V8"/>
    <hyperlink ref="F980" r:id="rId2" display="https://files.afu.se/Downloads/Transcripts/0%20-%20Government/USA%20-%20NASA%20Johnson/"/>
    <hyperlink ref="C981" r:id="rId981" display="https://youtu.be/HbWFaw6uDUU"/>
    <hyperlink ref="F981" r:id="rId2" display="https://files.afu.se/Downloads/Transcripts/0%20-%20Government/USA%20-%20NASA%20Johnson/"/>
    <hyperlink ref="C982" r:id="rId982" display="https://youtu.be/Fdn8c7Bm5hw"/>
    <hyperlink ref="F982" r:id="rId2" display="https://files.afu.se/Downloads/Transcripts/0%20-%20Government/USA%20-%20NASA%20Johnson/"/>
    <hyperlink ref="C983" r:id="rId983" display="https://youtu.be/T_vpsqVn2A8"/>
    <hyperlink ref="F983" r:id="rId2" display="https://files.afu.se/Downloads/Transcripts/0%20-%20Government/USA%20-%20NASA%20Johnson/"/>
    <hyperlink ref="C984" r:id="rId984" display="https://youtu.be/w4bEWb_zU90"/>
    <hyperlink ref="F984" r:id="rId2" display="https://files.afu.se/Downloads/Transcripts/0%20-%20Government/USA%20-%20NASA%20Johnson/"/>
    <hyperlink ref="C985" r:id="rId985" display="https://youtu.be/-f4dfaaG8BE"/>
    <hyperlink ref="F985" r:id="rId2" display="https://files.afu.se/Downloads/Transcripts/0%20-%20Government/USA%20-%20NASA%20Johnson/"/>
    <hyperlink ref="C986" r:id="rId986" display="https://youtu.be/kcBnW8BW9uQ"/>
    <hyperlink ref="F986" r:id="rId2" display="https://files.afu.se/Downloads/Transcripts/0%20-%20Government/USA%20-%20NASA%20Johnson/"/>
    <hyperlink ref="C987" r:id="rId987" display="https://youtu.be/oOYz-Ru-vjM"/>
    <hyperlink ref="F987" r:id="rId2" display="https://files.afu.se/Downloads/Transcripts/0%20-%20Government/USA%20-%20NASA%20Johnson/"/>
    <hyperlink ref="C988" r:id="rId988" display="https://youtu.be/QOS7ddCiKMQ"/>
    <hyperlink ref="F988" r:id="rId2" display="https://files.afu.se/Downloads/Transcripts/0%20-%20Government/USA%20-%20NASA%20Johnson/"/>
    <hyperlink ref="C989" r:id="rId989" display="https://youtu.be/KKb75sZRsgw"/>
    <hyperlink ref="F989" r:id="rId2" display="https://files.afu.se/Downloads/Transcripts/0%20-%20Government/USA%20-%20NASA%20Johnson/"/>
    <hyperlink ref="C990" r:id="rId990" display="https://youtu.be/bqO3ET4Zxu0"/>
    <hyperlink ref="F990" r:id="rId2" display="https://files.afu.se/Downloads/Transcripts/0%20-%20Government/USA%20-%20NASA%20Johnson/"/>
    <hyperlink ref="C991" r:id="rId991" display="https://youtu.be/eAlTbpIcbXE"/>
    <hyperlink ref="F991" r:id="rId2" display="https://files.afu.se/Downloads/Transcripts/0%20-%20Government/USA%20-%20NASA%20Johnson/"/>
    <hyperlink ref="C992" r:id="rId992" display="https://youtu.be/QL5fcsQT0_M"/>
    <hyperlink ref="F992" r:id="rId2" display="https://files.afu.se/Downloads/Transcripts/0%20-%20Government/USA%20-%20NASA%20Johnson/"/>
    <hyperlink ref="C993" r:id="rId993" display="https://youtu.be/gURSwQQJcX4"/>
    <hyperlink ref="F993" r:id="rId2" display="https://files.afu.se/Downloads/Transcripts/0%20-%20Government/USA%20-%20NASA%20Johnson/"/>
    <hyperlink ref="C994" r:id="rId994" display="https://youtu.be/kaBPXOylItw"/>
    <hyperlink ref="F994" r:id="rId2" display="https://files.afu.se/Downloads/Transcripts/0%20-%20Government/USA%20-%20NASA%20Johnson/"/>
    <hyperlink ref="C995" r:id="rId995" display="https://youtu.be/cFxxsb-pinA"/>
    <hyperlink ref="F995" r:id="rId2" display="https://files.afu.se/Downloads/Transcripts/0%20-%20Government/USA%20-%20NASA%20Johnson/"/>
    <hyperlink ref="C996" r:id="rId996" display="https://youtu.be/FlJaF2XkR6k"/>
    <hyperlink ref="F996" r:id="rId2" display="https://files.afu.se/Downloads/Transcripts/0%20-%20Government/USA%20-%20NASA%20Johnson/"/>
    <hyperlink ref="C997" r:id="rId997" display="https://youtu.be/f9zB7g01QFQ"/>
    <hyperlink ref="F997" r:id="rId2" display="https://files.afu.se/Downloads/Transcripts/0%20-%20Government/USA%20-%20NASA%20Johnson/"/>
    <hyperlink ref="C998" r:id="rId998" display="https://youtu.be/XL1K3odUvQk"/>
    <hyperlink ref="F998" r:id="rId2" display="https://files.afu.se/Downloads/Transcripts/0%20-%20Government/USA%20-%20NASA%20Johnson/"/>
    <hyperlink ref="C999" r:id="rId999" display="https://youtu.be/pYT2H9DdE0g"/>
    <hyperlink ref="F999" r:id="rId2" display="https://files.afu.se/Downloads/Transcripts/0%20-%20Government/USA%20-%20NASA%20Johnson/"/>
    <hyperlink ref="C1000" r:id="rId1000" display="https://youtu.be/s2urx_NvXPo"/>
    <hyperlink ref="F1000" r:id="rId2" display="https://files.afu.se/Downloads/Transcripts/0%20-%20Government/USA%20-%20NASA%20Johnson/"/>
    <hyperlink ref="C1001" r:id="rId1001" display="https://youtu.be/M1IBg6VheqA"/>
    <hyperlink ref="F1001" r:id="rId2" display="https://files.afu.se/Downloads/Transcripts/0%20-%20Government/USA%20-%20NASA%20Johnson/"/>
    <hyperlink ref="C1002" r:id="rId1002" display="https://youtu.be/knmoXlTFKsQ"/>
    <hyperlink ref="F1002" r:id="rId2" display="https://files.afu.se/Downloads/Transcripts/0%20-%20Government/USA%20-%20NASA%20Johnson/"/>
    <hyperlink ref="C1003" r:id="rId1003" display="https://youtu.be/8nKjqWX7o5U"/>
    <hyperlink ref="F1003" r:id="rId2" display="https://files.afu.se/Downloads/Transcripts/0%20-%20Government/USA%20-%20NASA%20Johnson/"/>
    <hyperlink ref="C1004" r:id="rId1004" display="https://youtu.be/vVUJaGichGk"/>
    <hyperlink ref="F1004" r:id="rId2" display="https://files.afu.se/Downloads/Transcripts/0%20-%20Government/USA%20-%20NASA%20Johnson/"/>
    <hyperlink ref="C1005" r:id="rId1005" display="https://youtu.be/5kZZdp727ek"/>
    <hyperlink ref="F1005" r:id="rId2" display="https://files.afu.se/Downloads/Transcripts/0%20-%20Government/USA%20-%20NASA%20Johnson/"/>
    <hyperlink ref="C1006" r:id="rId1006" display="https://youtu.be/t2wdNxCvLiw"/>
    <hyperlink ref="F1006" r:id="rId2" display="https://files.afu.se/Downloads/Transcripts/0%20-%20Government/USA%20-%20NASA%20Johnson/"/>
    <hyperlink ref="C1007" r:id="rId1007" display="https://youtu.be/nkAGltXw1CU"/>
    <hyperlink ref="F1007" r:id="rId2" display="https://files.afu.se/Downloads/Transcripts/0%20-%20Government/USA%20-%20NASA%20Johnson/"/>
    <hyperlink ref="C1008" r:id="rId1008" display="https://youtu.be/7-AlD4EqoVI"/>
    <hyperlink ref="F1008" r:id="rId2" display="https://files.afu.se/Downloads/Transcripts/0%20-%20Government/USA%20-%20NASA%20Johnson/"/>
    <hyperlink ref="C1009" r:id="rId1009" display="https://youtu.be/EEkWKLd82Yc"/>
    <hyperlink ref="F1009" r:id="rId2" display="https://files.afu.se/Downloads/Transcripts/0%20-%20Government/USA%20-%20NASA%20Johnson/"/>
    <hyperlink ref="C1010" r:id="rId1010" display="https://youtu.be/2ke__EDxKvs"/>
    <hyperlink ref="F1010" r:id="rId2" display="https://files.afu.se/Downloads/Transcripts/0%20-%20Government/USA%20-%20NASA%20Johnson/"/>
    <hyperlink ref="C1011" r:id="rId1011" display="https://youtu.be/aciRYFKdaRU"/>
    <hyperlink ref="F1011" r:id="rId2" display="https://files.afu.se/Downloads/Transcripts/0%20-%20Government/USA%20-%20NASA%20Johnson/"/>
    <hyperlink ref="C1012" r:id="rId1012" display="https://youtu.be/OLxejNQ5Wzo"/>
    <hyperlink ref="F1012" r:id="rId2" display="https://files.afu.se/Downloads/Transcripts/0%20-%20Government/USA%20-%20NASA%20Johnson/"/>
    <hyperlink ref="C1013" r:id="rId1013" display="https://youtu.be/y52121wbO-k"/>
    <hyperlink ref="F1013" r:id="rId2" display="https://files.afu.se/Downloads/Transcripts/0%20-%20Government/USA%20-%20NASA%20Johnson/"/>
    <hyperlink ref="C1014" r:id="rId1014" display="https://youtu.be/8UVNGkpT-ow"/>
    <hyperlink ref="F1014" r:id="rId2" display="https://files.afu.se/Downloads/Transcripts/0%20-%20Government/USA%20-%20NASA%20Johnson/"/>
    <hyperlink ref="C1015" r:id="rId1015" display="https://youtu.be/8r-uO13Xy1s"/>
    <hyperlink ref="F1015" r:id="rId2" display="https://files.afu.se/Downloads/Transcripts/0%20-%20Government/USA%20-%20NASA%20Johnson/"/>
    <hyperlink ref="C1016" r:id="rId1016" display="https://youtu.be/EqHkBfT498o"/>
    <hyperlink ref="F1016" r:id="rId2" display="https://files.afu.se/Downloads/Transcripts/0%20-%20Government/USA%20-%20NASA%20Johnson/"/>
    <hyperlink ref="C1017" r:id="rId1017" display="https://youtu.be/gARj5wmlFKg"/>
    <hyperlink ref="F1017" r:id="rId2" display="https://files.afu.se/Downloads/Transcripts/0%20-%20Government/USA%20-%20NASA%20Johnson/"/>
    <hyperlink ref="C1018" r:id="rId1018" display="https://youtu.be/yVeCVjf38Yg"/>
    <hyperlink ref="F1018" r:id="rId2" display="https://files.afu.se/Downloads/Transcripts/0%20-%20Government/USA%20-%20NASA%20Johnson/"/>
    <hyperlink ref="C1019" r:id="rId1019" display="https://youtu.be/Zn0CEHi5-Lg"/>
    <hyperlink ref="F1019" r:id="rId2" display="https://files.afu.se/Downloads/Transcripts/0%20-%20Government/USA%20-%20NASA%20Johnson/"/>
    <hyperlink ref="C1020" r:id="rId1020" display="https://youtu.be/sbBQONITclk"/>
    <hyperlink ref="F1020" r:id="rId2" display="https://files.afu.se/Downloads/Transcripts/0%20-%20Government/USA%20-%20NASA%20Johnson/"/>
    <hyperlink ref="C1021" r:id="rId1021" display="https://youtu.be/Se4-RpKdgZc"/>
    <hyperlink ref="F1021" r:id="rId2" display="https://files.afu.se/Downloads/Transcripts/0%20-%20Government/USA%20-%20NASA%20Johnson/"/>
    <hyperlink ref="C1022" r:id="rId1022" display="https://youtu.be/g5chOA-WEuw"/>
    <hyperlink ref="F1022" r:id="rId2" display="https://files.afu.se/Downloads/Transcripts/0%20-%20Government/USA%20-%20NASA%20Johnson/"/>
    <hyperlink ref="C1023" r:id="rId1023" display="https://youtu.be/lzZ2TDCIX88"/>
    <hyperlink ref="F1023" r:id="rId2" display="https://files.afu.se/Downloads/Transcripts/0%20-%20Government/USA%20-%20NASA%20Johnson/"/>
    <hyperlink ref="C1024" r:id="rId1024" display="https://youtu.be/85CQl6_tFOU"/>
    <hyperlink ref="F1024" r:id="rId2" display="https://files.afu.se/Downloads/Transcripts/0%20-%20Government/USA%20-%20NASA%20Johnson/"/>
    <hyperlink ref="C1025" r:id="rId1025" display="https://youtu.be/Lt6WVHMA3yE"/>
    <hyperlink ref="F1025" r:id="rId2" display="https://files.afu.se/Downloads/Transcripts/0%20-%20Government/USA%20-%20NASA%20Johnson/"/>
    <hyperlink ref="C1026" r:id="rId1026" display="https://youtu.be/5uUzxagAPlw"/>
    <hyperlink ref="F1026" r:id="rId2" display="https://files.afu.se/Downloads/Transcripts/0%20-%20Government/USA%20-%20NASA%20Johnson/"/>
    <hyperlink ref="C1027" r:id="rId1027" display="https://youtu.be/YBe1MHp1LsE"/>
    <hyperlink ref="F1027" r:id="rId2" display="https://files.afu.se/Downloads/Transcripts/0%20-%20Government/USA%20-%20NASA%20Johnson/"/>
    <hyperlink ref="C1028" r:id="rId1028" display="https://youtu.be/z3hv4q1XrDI"/>
    <hyperlink ref="F1028" r:id="rId2" display="https://files.afu.se/Downloads/Transcripts/0%20-%20Government/USA%20-%20NASA%20Johnson/"/>
    <hyperlink ref="C1029" r:id="rId1029" display="https://youtu.be/EuCfB8b-JDM"/>
    <hyperlink ref="F1029" r:id="rId2" display="https://files.afu.se/Downloads/Transcripts/0%20-%20Government/USA%20-%20NASA%20Johnson/"/>
    <hyperlink ref="C1030" r:id="rId1030" display="https://youtu.be/ersxREmKIvE"/>
    <hyperlink ref="F1030" r:id="rId2" display="https://files.afu.se/Downloads/Transcripts/0%20-%20Government/USA%20-%20NASA%20Johnson/"/>
    <hyperlink ref="C1031" r:id="rId1031" display="https://youtu.be/DDBoMVoEqIs"/>
    <hyperlink ref="F1031" r:id="rId2" display="https://files.afu.se/Downloads/Transcripts/0%20-%20Government/USA%20-%20NASA%20Johnson/"/>
    <hyperlink ref="C1032" r:id="rId1032" display="https://youtu.be/09wMN_bPoZY"/>
    <hyperlink ref="F1032" r:id="rId2" display="https://files.afu.se/Downloads/Transcripts/0%20-%20Government/USA%20-%20NASA%20Johnson/"/>
    <hyperlink ref="C1033" r:id="rId1033" display="https://youtu.be/sYcbBA9Dg6c"/>
    <hyperlink ref="F1033" r:id="rId2" display="https://files.afu.se/Downloads/Transcripts/0%20-%20Government/USA%20-%20NASA%20Johnson/"/>
    <hyperlink ref="C1034" r:id="rId1034" display="https://youtu.be/1nHD65LUio0"/>
    <hyperlink ref="F1034" r:id="rId2" display="https://files.afu.se/Downloads/Transcripts/0%20-%20Government/USA%20-%20NASA%20Johnson/"/>
    <hyperlink ref="C1035" r:id="rId1035" display="https://youtu.be/9yp7EP4hvSQ"/>
    <hyperlink ref="F1035" r:id="rId2" display="https://files.afu.se/Downloads/Transcripts/0%20-%20Government/USA%20-%20NASA%20Johnson/"/>
    <hyperlink ref="C1036" r:id="rId1036" display="https://youtu.be/5ESZW5YH6ow"/>
    <hyperlink ref="F1036" r:id="rId2" display="https://files.afu.se/Downloads/Transcripts/0%20-%20Government/USA%20-%20NASA%20Johnson/"/>
    <hyperlink ref="C1037" r:id="rId1037" display="https://youtu.be/BPIXfBJsWIg"/>
    <hyperlink ref="F1037" r:id="rId2" display="https://files.afu.se/Downloads/Transcripts/0%20-%20Government/USA%20-%20NASA%20Johnson/"/>
    <hyperlink ref="C1038" r:id="rId1038" display="https://youtu.be/dNuB6--L5tA"/>
    <hyperlink ref="F1038" r:id="rId2" display="https://files.afu.se/Downloads/Transcripts/0%20-%20Government/USA%20-%20NASA%20Johnson/"/>
    <hyperlink ref="C1039" r:id="rId1039" display="https://youtu.be/KMR8b7T95xU"/>
    <hyperlink ref="F1039" r:id="rId2" display="https://files.afu.se/Downloads/Transcripts/0%20-%20Government/USA%20-%20NASA%20Johnson/"/>
    <hyperlink ref="C1040" r:id="rId1040" display="https://youtu.be/r3S1XPDqN_w"/>
    <hyperlink ref="F1040" r:id="rId2" display="https://files.afu.se/Downloads/Transcripts/0%20-%20Government/USA%20-%20NASA%20Johnson/"/>
    <hyperlink ref="C1041" r:id="rId1041" display="https://youtu.be/UvXX3L7o_kw"/>
    <hyperlink ref="F1041" r:id="rId2" display="https://files.afu.se/Downloads/Transcripts/0%20-%20Government/USA%20-%20NASA%20Johnson/"/>
    <hyperlink ref="C1042" r:id="rId1042" display="https://youtu.be/kvYLpzFdreQ"/>
    <hyperlink ref="F1042" r:id="rId2" display="https://files.afu.se/Downloads/Transcripts/0%20-%20Government/USA%20-%20NASA%20Johnson/"/>
    <hyperlink ref="C1043" r:id="rId1043" display="https://youtu.be/oFDeNcu3mnc"/>
    <hyperlink ref="F1043" r:id="rId2" display="https://files.afu.se/Downloads/Transcripts/0%20-%20Government/USA%20-%20NASA%20Johnson/"/>
    <hyperlink ref="C1044" r:id="rId1044" display="https://youtu.be/2_4r_DRtcDI"/>
    <hyperlink ref="F1044" r:id="rId2" display="https://files.afu.se/Downloads/Transcripts/0%20-%20Government/USA%20-%20NASA%20Johnson/"/>
    <hyperlink ref="C1045" r:id="rId1045" display="https://youtu.be/c7OO3qCfH9Y"/>
    <hyperlink ref="F1045" r:id="rId2" display="https://files.afu.se/Downloads/Transcripts/0%20-%20Government/USA%20-%20NASA%20Johnson/"/>
    <hyperlink ref="C1046" r:id="rId1046" display="https://youtu.be/60w3WbVwhh8"/>
    <hyperlink ref="F1046" r:id="rId2" display="https://files.afu.se/Downloads/Transcripts/0%20-%20Government/USA%20-%20NASA%20Johnson/"/>
    <hyperlink ref="C1047" r:id="rId1047" display="https://youtu.be/_kd8tWBLNB0"/>
    <hyperlink ref="F1047" r:id="rId2" display="https://files.afu.se/Downloads/Transcripts/0%20-%20Government/USA%20-%20NASA%20Johnson/"/>
    <hyperlink ref="C1048" r:id="rId1048" display="https://youtu.be/9JDAZBoLJUc"/>
    <hyperlink ref="F1048" r:id="rId2" display="https://files.afu.se/Downloads/Transcripts/0%20-%20Government/USA%20-%20NASA%20Johnson/"/>
    <hyperlink ref="C1049" r:id="rId1049" display="https://youtu.be/y4qQ-L672Q0"/>
    <hyperlink ref="F1049" r:id="rId2" display="https://files.afu.se/Downloads/Transcripts/0%20-%20Government/USA%20-%20NASA%20Johnson/"/>
    <hyperlink ref="C1050" r:id="rId1050" display="https://youtu.be/wlg0rexZmFM"/>
    <hyperlink ref="F1050" r:id="rId2" display="https://files.afu.se/Downloads/Transcripts/0%20-%20Government/USA%20-%20NASA%20Johnson/"/>
    <hyperlink ref="C1051" r:id="rId1051" display="https://youtu.be/vkdAgyJ3Xqw"/>
    <hyperlink ref="F1051" r:id="rId2" display="https://files.afu.se/Downloads/Transcripts/0%20-%20Government/USA%20-%20NASA%20Johnson/"/>
    <hyperlink ref="C1052" r:id="rId1052" display="https://youtu.be/74DgelycULc"/>
    <hyperlink ref="F1052" r:id="rId2" display="https://files.afu.se/Downloads/Transcripts/0%20-%20Government/USA%20-%20NASA%20Johnson/"/>
    <hyperlink ref="C1053" r:id="rId1053" display="https://youtu.be/GgN1HVRbSEc"/>
    <hyperlink ref="F1053" r:id="rId2" display="https://files.afu.se/Downloads/Transcripts/0%20-%20Government/USA%20-%20NASA%20Johnson/"/>
    <hyperlink ref="C1054" r:id="rId1054" display="https://youtu.be/wITwZU3r2mM"/>
    <hyperlink ref="F1054" r:id="rId2" display="https://files.afu.se/Downloads/Transcripts/0%20-%20Government/USA%20-%20NASA%20Johnson/"/>
    <hyperlink ref="C1055" r:id="rId1055" display="https://youtu.be/vBAAawuBgyY"/>
    <hyperlink ref="F1055" r:id="rId2" display="https://files.afu.se/Downloads/Transcripts/0%20-%20Government/USA%20-%20NASA%20Johnson/"/>
    <hyperlink ref="C1056" r:id="rId1056" display="https://youtu.be/X4lTOJU22oY"/>
    <hyperlink ref="F1056" r:id="rId2" display="https://files.afu.se/Downloads/Transcripts/0%20-%20Government/USA%20-%20NASA%20Johnson/"/>
    <hyperlink ref="C1057" r:id="rId1057" display="https://youtu.be/XhQEIF7rLmY"/>
    <hyperlink ref="F1057" r:id="rId2" display="https://files.afu.se/Downloads/Transcripts/0%20-%20Government/USA%20-%20NASA%20Johnson/"/>
    <hyperlink ref="C1058" r:id="rId1058" display="https://youtu.be/AlEo6MW2yMY"/>
    <hyperlink ref="F1058" r:id="rId2" display="https://files.afu.se/Downloads/Transcripts/0%20-%20Government/USA%20-%20NASA%20Johnson/"/>
    <hyperlink ref="C1059" r:id="rId1059" display="https://youtu.be/Gm8ECUMYBFg"/>
    <hyperlink ref="F1059" r:id="rId2" display="https://files.afu.se/Downloads/Transcripts/0%20-%20Government/USA%20-%20NASA%20Johnson/"/>
    <hyperlink ref="C1060" r:id="rId1060" display="https://youtu.be/STIH6SsDBro"/>
    <hyperlink ref="F1060" r:id="rId2" display="https://files.afu.se/Downloads/Transcripts/0%20-%20Government/USA%20-%20NASA%20Johnson/"/>
    <hyperlink ref="C1061" r:id="rId1061" display="https://youtu.be/SVrW3uOkLjU"/>
    <hyperlink ref="F1061" r:id="rId2" display="https://files.afu.se/Downloads/Transcripts/0%20-%20Government/USA%20-%20NASA%20Johnson/"/>
    <hyperlink ref="C1062" r:id="rId1062" display="https://youtu.be/TQHjWFFeetc"/>
    <hyperlink ref="F1062" r:id="rId2" display="https://files.afu.se/Downloads/Transcripts/0%20-%20Government/USA%20-%20NASA%20Johnson/"/>
    <hyperlink ref="C1063" r:id="rId1063" display="https://youtu.be/Gv03IN3Fcmc"/>
    <hyperlink ref="F1063" r:id="rId2" display="https://files.afu.se/Downloads/Transcripts/0%20-%20Government/USA%20-%20NASA%20Johnson/"/>
    <hyperlink ref="C1064" r:id="rId1064" display="https://youtu.be/6WYYLnFCF_U"/>
    <hyperlink ref="F1064" r:id="rId2" display="https://files.afu.se/Downloads/Transcripts/0%20-%20Government/USA%20-%20NASA%20Johnson/"/>
    <hyperlink ref="C1065" r:id="rId1065" display="https://youtu.be/m1ZAntTQ3e0"/>
    <hyperlink ref="F1065" r:id="rId2" display="https://files.afu.se/Downloads/Transcripts/0%20-%20Government/USA%20-%20NASA%20Johnson/"/>
    <hyperlink ref="C1066" r:id="rId1066" display="https://youtu.be/moInhIwh0lI"/>
    <hyperlink ref="F1066" r:id="rId2" display="https://files.afu.se/Downloads/Transcripts/0%20-%20Government/USA%20-%20NASA%20Johnson/"/>
    <hyperlink ref="C1067" r:id="rId1067" display="https://youtu.be/U3ez7ci4TEg"/>
    <hyperlink ref="F1067" r:id="rId2" display="https://files.afu.se/Downloads/Transcripts/0%20-%20Government/USA%20-%20NASA%20Johnson/"/>
    <hyperlink ref="C1068" r:id="rId1068" display="https://youtu.be/VopaBsuwikk"/>
    <hyperlink ref="F1068" r:id="rId2" display="https://files.afu.se/Downloads/Transcripts/0%20-%20Government/USA%20-%20NASA%20Johnson/"/>
    <hyperlink ref="C1069" r:id="rId1069" display="https://youtu.be/fB9jDM49b-g"/>
    <hyperlink ref="F1069" r:id="rId2" display="https://files.afu.se/Downloads/Transcripts/0%20-%20Government/USA%20-%20NASA%20Johnson/"/>
    <hyperlink ref="C1070" r:id="rId1070" display="https://youtu.be/pF1LEd_NDuY"/>
    <hyperlink ref="F1070" r:id="rId2" display="https://files.afu.se/Downloads/Transcripts/0%20-%20Government/USA%20-%20NASA%20Johnson/"/>
    <hyperlink ref="C1071" r:id="rId1071" display="https://youtu.be/GjLtuTRKp2s"/>
    <hyperlink ref="F1071" r:id="rId2" display="https://files.afu.se/Downloads/Transcripts/0%20-%20Government/USA%20-%20NASA%20Johnson/"/>
    <hyperlink ref="C1072" r:id="rId1072" display="https://youtu.be/5jpp8ccqPps"/>
    <hyperlink ref="F1072" r:id="rId2" display="https://files.afu.se/Downloads/Transcripts/0%20-%20Government/USA%20-%20NASA%20Johnson/"/>
    <hyperlink ref="C1073" r:id="rId1073" display="https://youtu.be/S8veP-ZMR7o"/>
    <hyperlink ref="F1073" r:id="rId2" display="https://files.afu.se/Downloads/Transcripts/0%20-%20Government/USA%20-%20NASA%20Johnson/"/>
    <hyperlink ref="C1074" r:id="rId1074" display="https://youtu.be/8XtPkS3Qls8"/>
    <hyperlink ref="F1074" r:id="rId2" display="https://files.afu.se/Downloads/Transcripts/0%20-%20Government/USA%20-%20NASA%20Johnson/"/>
    <hyperlink ref="C1075" r:id="rId1075" display="https://youtu.be/KZ4IzEBnuek"/>
    <hyperlink ref="F1075" r:id="rId2" display="https://files.afu.se/Downloads/Transcripts/0%20-%20Government/USA%20-%20NASA%20Johnson/"/>
    <hyperlink ref="C1076" r:id="rId1076" display="https://youtu.be/Wz9Xg7Lv-BU"/>
    <hyperlink ref="F1076" r:id="rId2" display="https://files.afu.se/Downloads/Transcripts/0%20-%20Government/USA%20-%20NASA%20Johnson/"/>
    <hyperlink ref="C1077" r:id="rId1077" display="https://youtu.be/Sn6MWSCyiJg"/>
    <hyperlink ref="F1077" r:id="rId2" display="https://files.afu.se/Downloads/Transcripts/0%20-%20Government/USA%20-%20NASA%20Johnson/"/>
    <hyperlink ref="C1078" r:id="rId1078" display="https://youtu.be/SDfTJA9KsXY"/>
    <hyperlink ref="F1078" r:id="rId2" display="https://files.afu.se/Downloads/Transcripts/0%20-%20Government/USA%20-%20NASA%20Johnson/"/>
    <hyperlink ref="C1079" r:id="rId1079" display="https://youtu.be/FjqdEVfYQAo"/>
    <hyperlink ref="F1079" r:id="rId2" display="https://files.afu.se/Downloads/Transcripts/0%20-%20Government/USA%20-%20NASA%20Johnson/"/>
    <hyperlink ref="C1080" r:id="rId1080" display="https://youtu.be/wSsUCquggPE"/>
    <hyperlink ref="F1080" r:id="rId2" display="https://files.afu.se/Downloads/Transcripts/0%20-%20Government/USA%20-%20NASA%20Johnson/"/>
    <hyperlink ref="C1081" r:id="rId1081" display="https://youtu.be/DGoV9mTic4I"/>
    <hyperlink ref="F1081" r:id="rId2" display="https://files.afu.se/Downloads/Transcripts/0%20-%20Government/USA%20-%20NASA%20Johnson/"/>
    <hyperlink ref="C1082" r:id="rId1082" display="https://youtu.be/Z-yHD9lVbH8"/>
    <hyperlink ref="F1082" r:id="rId2" display="https://files.afu.se/Downloads/Transcripts/0%20-%20Government/USA%20-%20NASA%20Johnson/"/>
    <hyperlink ref="C1083" r:id="rId1083" display="https://youtu.be/SktLZ2l3uxs"/>
    <hyperlink ref="F1083" r:id="rId2" display="https://files.afu.se/Downloads/Transcripts/0%20-%20Government/USA%20-%20NASA%20Johnson/"/>
    <hyperlink ref="C1084" r:id="rId1084" display="https://youtu.be/jkVilobS4i0"/>
    <hyperlink ref="F1084" r:id="rId2" display="https://files.afu.se/Downloads/Transcripts/0%20-%20Government/USA%20-%20NASA%20Johnson/"/>
    <hyperlink ref="C1085" r:id="rId1085" display="https://youtu.be/DwtLkTpgNMM"/>
    <hyperlink ref="F1085" r:id="rId2" display="https://files.afu.se/Downloads/Transcripts/0%20-%20Government/USA%20-%20NASA%20Johnson/"/>
    <hyperlink ref="C1086" r:id="rId1086" display="https://youtu.be/53mBaj7ElM8"/>
    <hyperlink ref="F1086" r:id="rId2" display="https://files.afu.se/Downloads/Transcripts/0%20-%20Government/USA%20-%20NASA%20Johnson/"/>
    <hyperlink ref="C1087" r:id="rId1087" display="https://youtu.be/0xP_cgs19kU"/>
    <hyperlink ref="F1087" r:id="rId2" display="https://files.afu.se/Downloads/Transcripts/0%20-%20Government/USA%20-%20NASA%20Johnson/"/>
    <hyperlink ref="C1088" r:id="rId1088" display="https://youtu.be/HdQBlkjbJq8"/>
    <hyperlink ref="F1088" r:id="rId2" display="https://files.afu.se/Downloads/Transcripts/0%20-%20Government/USA%20-%20NASA%20Johnson/"/>
    <hyperlink ref="C1089" r:id="rId1089" display="https://youtu.be/gBLZjBqNAAk"/>
    <hyperlink ref="F1089" r:id="rId2" display="https://files.afu.se/Downloads/Transcripts/0%20-%20Government/USA%20-%20NASA%20Johnson/"/>
    <hyperlink ref="C1090" r:id="rId1090" display="https://youtu.be/Ut9jfotstZg"/>
    <hyperlink ref="F1090" r:id="rId2" display="https://files.afu.se/Downloads/Transcripts/0%20-%20Government/USA%20-%20NASA%20Johnson/"/>
    <hyperlink ref="C1091" r:id="rId1091" display="https://youtu.be/QZQr-btpJWM"/>
    <hyperlink ref="F1091" r:id="rId2" display="https://files.afu.se/Downloads/Transcripts/0%20-%20Government/USA%20-%20NASA%20Johnson/"/>
    <hyperlink ref="C1092" r:id="rId1092" display="https://youtu.be/hzt9R1HV5Rw"/>
    <hyperlink ref="F1092" r:id="rId2" display="https://files.afu.se/Downloads/Transcripts/0%20-%20Government/USA%20-%20NASA%20Johnson/"/>
    <hyperlink ref="C1093" r:id="rId1093" display="https://youtu.be/FyNvFssBNlk"/>
    <hyperlink ref="F1093" r:id="rId2" display="https://files.afu.se/Downloads/Transcripts/0%20-%20Government/USA%20-%20NASA%20Johnson/"/>
    <hyperlink ref="C1094" r:id="rId1094" display="https://youtu.be/xUZMGxl3Wq4"/>
    <hyperlink ref="F1094" r:id="rId2" display="https://files.afu.se/Downloads/Transcripts/0%20-%20Government/USA%20-%20NASA%20Johnson/"/>
    <hyperlink ref="C1095" r:id="rId1095" display="https://youtu.be/WJW_N-0c-Is"/>
    <hyperlink ref="F1095" r:id="rId2" display="https://files.afu.se/Downloads/Transcripts/0%20-%20Government/USA%20-%20NASA%20Johnson/"/>
    <hyperlink ref="C1096" r:id="rId1096" display="https://youtu.be/9ib47vMS7Nk"/>
    <hyperlink ref="F1096" r:id="rId2" display="https://files.afu.se/Downloads/Transcripts/0%20-%20Government/USA%20-%20NASA%20Johnson/"/>
    <hyperlink ref="C1097" r:id="rId1097" display="https://youtu.be/zE-M9hZ5WQ4"/>
    <hyperlink ref="F1097" r:id="rId2" display="https://files.afu.se/Downloads/Transcripts/0%20-%20Government/USA%20-%20NASA%20Johnson/"/>
    <hyperlink ref="C1098" r:id="rId1098" display="https://youtu.be/bTOiiBd2dCo"/>
    <hyperlink ref="F1098" r:id="rId2" display="https://files.afu.se/Downloads/Transcripts/0%20-%20Government/USA%20-%20NASA%20Johnson/"/>
    <hyperlink ref="C1099" r:id="rId1099" display="https://youtu.be/tikG7eHPXq0"/>
    <hyperlink ref="F1099" r:id="rId2" display="https://files.afu.se/Downloads/Transcripts/0%20-%20Government/USA%20-%20NASA%20Johnson/"/>
    <hyperlink ref="C1100" r:id="rId1100" display="https://youtu.be/e6hxdtKOGiE"/>
    <hyperlink ref="F1100" r:id="rId2" display="https://files.afu.se/Downloads/Transcripts/0%20-%20Government/USA%20-%20NASA%20Johnson/"/>
    <hyperlink ref="C1101" r:id="rId1101" display="https://youtu.be/ziSQY8E1b9w"/>
    <hyperlink ref="F1101" r:id="rId2" display="https://files.afu.se/Downloads/Transcripts/0%20-%20Government/USA%20-%20NASA%20Johnson/"/>
    <hyperlink ref="C1102" r:id="rId1102" display="https://youtu.be/6nieKZcsu00"/>
    <hyperlink ref="F1102" r:id="rId2" display="https://files.afu.se/Downloads/Transcripts/0%20-%20Government/USA%20-%20NASA%20Johnson/"/>
    <hyperlink ref="C1103" r:id="rId1103" display="https://youtu.be/MCKL5zxfQ2Q"/>
    <hyperlink ref="F1103" r:id="rId2" display="https://files.afu.se/Downloads/Transcripts/0%20-%20Government/USA%20-%20NASA%20Johnson/"/>
    <hyperlink ref="C1104" r:id="rId1104" display="https://youtu.be/jUxVkXuEKmI"/>
    <hyperlink ref="F1104" r:id="rId2" display="https://files.afu.se/Downloads/Transcripts/0%20-%20Government/USA%20-%20NASA%20Johnson/"/>
    <hyperlink ref="C1105" r:id="rId1105" display="https://youtu.be/Ce6vIa4_0dg"/>
    <hyperlink ref="F1105" r:id="rId2" display="https://files.afu.se/Downloads/Transcripts/0%20-%20Government/USA%20-%20NASA%20Johnson/"/>
    <hyperlink ref="C1106" r:id="rId1106" display="https://youtu.be/0EvbXi_ccBA"/>
    <hyperlink ref="F1106" r:id="rId2" display="https://files.afu.se/Downloads/Transcripts/0%20-%20Government/USA%20-%20NASA%20Johnson/"/>
    <hyperlink ref="C1107" r:id="rId1107" display="https://youtu.be/LY1hbQuJlC8"/>
    <hyperlink ref="F1107" r:id="rId2" display="https://files.afu.se/Downloads/Transcripts/0%20-%20Government/USA%20-%20NASA%20Johnson/"/>
    <hyperlink ref="C1108" r:id="rId1108" display="https://youtu.be/pTyYu7yuKuw"/>
    <hyperlink ref="F1108" r:id="rId2" display="https://files.afu.se/Downloads/Transcripts/0%20-%20Government/USA%20-%20NASA%20Johnson/"/>
    <hyperlink ref="C1109" r:id="rId1109" display="https://youtu.be/6L_cO0cBRQg"/>
    <hyperlink ref="F1109" r:id="rId2" display="https://files.afu.se/Downloads/Transcripts/0%20-%20Government/USA%20-%20NASA%20Johnson/"/>
    <hyperlink ref="C1110" r:id="rId1110" display="https://youtu.be/aHzFcorlj4Y"/>
    <hyperlink ref="F1110" r:id="rId2" display="https://files.afu.se/Downloads/Transcripts/0%20-%20Government/USA%20-%20NASA%20Johnson/"/>
    <hyperlink ref="C1111" r:id="rId1111" display="https://youtu.be/yjLLfd3uKXo"/>
    <hyperlink ref="F1111" r:id="rId2" display="https://files.afu.se/Downloads/Transcripts/0%20-%20Government/USA%20-%20NASA%20Johnson/"/>
    <hyperlink ref="C1112" r:id="rId1112" display="https://youtu.be/leYseS988Gg"/>
    <hyperlink ref="F1112" r:id="rId2" display="https://files.afu.se/Downloads/Transcripts/0%20-%20Government/USA%20-%20NASA%20Johnson/"/>
    <hyperlink ref="C1113" r:id="rId1113" display="https://youtu.be/R2mAL1XrKSE"/>
    <hyperlink ref="F1113" r:id="rId2" display="https://files.afu.se/Downloads/Transcripts/0%20-%20Government/USA%20-%20NASA%20Johnson/"/>
    <hyperlink ref="C1114" r:id="rId1114" display="https://youtu.be/9884aTBsyU4"/>
    <hyperlink ref="F1114" r:id="rId2" display="https://files.afu.se/Downloads/Transcripts/0%20-%20Government/USA%20-%20NASA%20Johnson/"/>
    <hyperlink ref="C1115" r:id="rId1115" display="https://youtu.be/uFhvJfcO0lA"/>
    <hyperlink ref="F1115" r:id="rId2" display="https://files.afu.se/Downloads/Transcripts/0%20-%20Government/USA%20-%20NASA%20Johnson/"/>
    <hyperlink ref="C1116" r:id="rId1116" display="https://youtu.be/YP5OzMBYUqs"/>
    <hyperlink ref="F1116" r:id="rId2" display="https://files.afu.se/Downloads/Transcripts/0%20-%20Government/USA%20-%20NASA%20Johnson/"/>
    <hyperlink ref="C1117" r:id="rId1117" display="https://youtu.be/ww3ueFwqnWs"/>
    <hyperlink ref="F1117" r:id="rId2" display="https://files.afu.se/Downloads/Transcripts/0%20-%20Government/USA%20-%20NASA%20Johnson/"/>
    <hyperlink ref="C1118" r:id="rId1118" display="https://youtu.be/KoKC6qA_syU"/>
    <hyperlink ref="F1118" r:id="rId2" display="https://files.afu.se/Downloads/Transcripts/0%20-%20Government/USA%20-%20NASA%20Johnson/"/>
    <hyperlink ref="C1119" r:id="rId1119" display="https://youtu.be/AXGS1-UVZPY"/>
    <hyperlink ref="F1119" r:id="rId2" display="https://files.afu.se/Downloads/Transcripts/0%20-%20Government/USA%20-%20NASA%20Johnson/"/>
    <hyperlink ref="C1120" r:id="rId1120" display="https://youtu.be/hsPVXXxUWyo"/>
    <hyperlink ref="F1120" r:id="rId2" display="https://files.afu.se/Downloads/Transcripts/0%20-%20Government/USA%20-%20NASA%20Johnson/"/>
    <hyperlink ref="C1121" r:id="rId1121" display="https://youtu.be/-TU1OkVctaI"/>
    <hyperlink ref="F1121" r:id="rId2" display="https://files.afu.se/Downloads/Transcripts/0%20-%20Government/USA%20-%20NASA%20Johnson/"/>
    <hyperlink ref="C1122" r:id="rId1122" display="https://youtu.be/HPlsOlR9yQI"/>
    <hyperlink ref="F1122" r:id="rId2" display="https://files.afu.se/Downloads/Transcripts/0%20-%20Government/USA%20-%20NASA%20Johnson/"/>
    <hyperlink ref="C1123" r:id="rId1123" display="https://youtu.be/iS0ZVT5dnDA"/>
    <hyperlink ref="F1123" r:id="rId2" display="https://files.afu.se/Downloads/Transcripts/0%20-%20Government/USA%20-%20NASA%20Johnson/"/>
    <hyperlink ref="C1124" r:id="rId1124" display="https://youtu.be/c81EaTtFBD8"/>
    <hyperlink ref="F1124" r:id="rId2" display="https://files.afu.se/Downloads/Transcripts/0%20-%20Government/USA%20-%20NASA%20Johnson/"/>
    <hyperlink ref="C1125" r:id="rId1125" display="https://youtu.be/-p-D2XBZk38"/>
    <hyperlink ref="F1125" r:id="rId2" display="https://files.afu.se/Downloads/Transcripts/0%20-%20Government/USA%20-%20NASA%20Johnson/"/>
    <hyperlink ref="C1126" r:id="rId1126" display="https://youtu.be/W6cYACCrwbU"/>
    <hyperlink ref="F1126" r:id="rId2" display="https://files.afu.se/Downloads/Transcripts/0%20-%20Government/USA%20-%20NASA%20Johnson/"/>
    <hyperlink ref="C1127" r:id="rId1127" display="https://youtu.be/N9TdWhYBsU0"/>
    <hyperlink ref="F1127" r:id="rId2" display="https://files.afu.se/Downloads/Transcripts/0%20-%20Government/USA%20-%20NASA%20Johnson/"/>
    <hyperlink ref="C1128" r:id="rId1128" display="https://youtu.be/eo_6W568XtI"/>
    <hyperlink ref="F1128" r:id="rId2" display="https://files.afu.se/Downloads/Transcripts/0%20-%20Government/USA%20-%20NASA%20Johnson/"/>
    <hyperlink ref="C1129" r:id="rId1129" display="https://youtu.be/zQxdl0XDpw0"/>
    <hyperlink ref="F1129" r:id="rId2" display="https://files.afu.se/Downloads/Transcripts/0%20-%20Government/USA%20-%20NASA%20Johnson/"/>
    <hyperlink ref="C1130" r:id="rId1130" display="https://youtu.be/FVHF8FTbfow"/>
    <hyperlink ref="F1130" r:id="rId2" display="https://files.afu.se/Downloads/Transcripts/0%20-%20Government/USA%20-%20NASA%20Johnson/"/>
    <hyperlink ref="C1131" r:id="rId1131" display="https://youtu.be/Ybv-UfXKzyA"/>
    <hyperlink ref="F1131" r:id="rId2" display="https://files.afu.se/Downloads/Transcripts/0%20-%20Government/USA%20-%20NASA%20Johnson/"/>
    <hyperlink ref="C1132" r:id="rId1132" display="https://youtu.be/nD6rnYjWPzo"/>
    <hyperlink ref="F1132" r:id="rId2" display="https://files.afu.se/Downloads/Transcripts/0%20-%20Government/USA%20-%20NASA%20Johnson/"/>
    <hyperlink ref="C1133" r:id="rId1133" display="https://youtu.be/TLbhrMCM4_0"/>
    <hyperlink ref="F1133" r:id="rId2" display="https://files.afu.se/Downloads/Transcripts/0%20-%20Government/USA%20-%20NASA%20Johnson/"/>
    <hyperlink ref="C1134" r:id="rId1134" display="https://youtu.be/Bale3zt3fog"/>
    <hyperlink ref="F1134" r:id="rId2" display="https://files.afu.se/Downloads/Transcripts/0%20-%20Government/USA%20-%20NASA%20Johnson/"/>
    <hyperlink ref="C1135" r:id="rId1135" display="https://youtu.be/HDtlJn9ufME"/>
    <hyperlink ref="F1135" r:id="rId2" display="https://files.afu.se/Downloads/Transcripts/0%20-%20Government/USA%20-%20NASA%20Johnson/"/>
    <hyperlink ref="C1136" r:id="rId1136" display="https://youtu.be/a5OEpP53pLc"/>
    <hyperlink ref="F1136" r:id="rId2" display="https://files.afu.se/Downloads/Transcripts/0%20-%20Government/USA%20-%20NASA%20Johnson/"/>
    <hyperlink ref="C1137" r:id="rId1137" display="https://youtu.be/odcqeJnboxQ"/>
    <hyperlink ref="F1137" r:id="rId2" display="https://files.afu.se/Downloads/Transcripts/0%20-%20Government/USA%20-%20NASA%20Johnson/"/>
    <hyperlink ref="C1138" r:id="rId1138" display="https://youtu.be/jCOen-aiG5E"/>
    <hyperlink ref="F1138" r:id="rId2" display="https://files.afu.se/Downloads/Transcripts/0%20-%20Government/USA%20-%20NASA%20Johnson/"/>
    <hyperlink ref="C1139" r:id="rId1139" display="https://youtu.be/UgaC1fmF5ao"/>
    <hyperlink ref="F1139" r:id="rId2" display="https://files.afu.se/Downloads/Transcripts/0%20-%20Government/USA%20-%20NASA%20Johnson/"/>
    <hyperlink ref="C1140" r:id="rId1140" display="https://youtu.be/vqBE0F77LPM"/>
    <hyperlink ref="F1140" r:id="rId2" display="https://files.afu.se/Downloads/Transcripts/0%20-%20Government/USA%20-%20NASA%20Johnson/"/>
    <hyperlink ref="C1141" r:id="rId1141" display="https://youtu.be/bCZyUb8228k"/>
    <hyperlink ref="F1141" r:id="rId2" display="https://files.afu.se/Downloads/Transcripts/0%20-%20Government/USA%20-%20NASA%20Johnson/"/>
    <hyperlink ref="C1142" r:id="rId1142" display="https://youtu.be/8zAY3_kzGhw"/>
    <hyperlink ref="F1142" r:id="rId2" display="https://files.afu.se/Downloads/Transcripts/0%20-%20Government/USA%20-%20NASA%20Johnson/"/>
    <hyperlink ref="C1143" r:id="rId1143" display="https://youtu.be/1jwgYDbJ6S4"/>
    <hyperlink ref="F1143" r:id="rId2" display="https://files.afu.se/Downloads/Transcripts/0%20-%20Government/USA%20-%20NASA%20Johnson/"/>
    <hyperlink ref="C1144" r:id="rId1144" display="https://youtu.be/epSYavFfLOE"/>
    <hyperlink ref="F1144" r:id="rId2" display="https://files.afu.se/Downloads/Transcripts/0%20-%20Government/USA%20-%20NASA%20Johnson/"/>
    <hyperlink ref="C1145" r:id="rId1145" display="https://youtu.be/Jn8LfT9HVOQ"/>
    <hyperlink ref="F1145" r:id="rId2" display="https://files.afu.se/Downloads/Transcripts/0%20-%20Government/USA%20-%20NASA%20Johnson/"/>
    <hyperlink ref="C1146" r:id="rId1146" display="https://youtu.be/6GnVLQqgR7o"/>
    <hyperlink ref="F1146" r:id="rId2" display="https://files.afu.se/Downloads/Transcripts/0%20-%20Government/USA%20-%20NASA%20Johnson/"/>
    <hyperlink ref="C1147" r:id="rId1147" display="https://youtu.be/KOTMa4ZBivw"/>
    <hyperlink ref="F1147" r:id="rId2" display="https://files.afu.se/Downloads/Transcripts/0%20-%20Government/USA%20-%20NASA%20Johnson/"/>
    <hyperlink ref="C1148" r:id="rId1148" display="https://youtu.be/0q7S6stE0hU"/>
    <hyperlink ref="F1148" r:id="rId2" display="https://files.afu.se/Downloads/Transcripts/0%20-%20Government/USA%20-%20NASA%20Johnson/"/>
    <hyperlink ref="C1149" r:id="rId1149" display="https://youtu.be/zXrQZbU9r40"/>
    <hyperlink ref="F1149" r:id="rId2" display="https://files.afu.se/Downloads/Transcripts/0%20-%20Government/USA%20-%20NASA%20Johnson/"/>
    <hyperlink ref="C1150" r:id="rId1150" display="https://youtu.be/9SY7ojOx6mo"/>
    <hyperlink ref="F1150" r:id="rId2" display="https://files.afu.se/Downloads/Transcripts/0%20-%20Government/USA%20-%20NASA%20Johnson/"/>
    <hyperlink ref="C1151" r:id="rId1151" display="https://youtu.be/0JP59g79vA4"/>
    <hyperlink ref="F1151" r:id="rId2" display="https://files.afu.se/Downloads/Transcripts/0%20-%20Government/USA%20-%20NASA%20Johnson/"/>
    <hyperlink ref="C1152" r:id="rId1152" display="https://youtu.be/IyoPoETy5gY"/>
    <hyperlink ref="F1152" r:id="rId2" display="https://files.afu.se/Downloads/Transcripts/0%20-%20Government/USA%20-%20NASA%20Johnson/"/>
    <hyperlink ref="C1153" r:id="rId1153" display="https://youtu.be/oUa9DYveXpY"/>
    <hyperlink ref="F1153" r:id="rId2" display="https://files.afu.se/Downloads/Transcripts/0%20-%20Government/USA%20-%20NASA%20Johnson/"/>
    <hyperlink ref="C1154" r:id="rId1154" display="https://youtu.be/d03-JnJ5QNE"/>
    <hyperlink ref="F1154" r:id="rId2" display="https://files.afu.se/Downloads/Transcripts/0%20-%20Government/USA%20-%20NASA%20Johnson/"/>
    <hyperlink ref="C1155" r:id="rId1155" display="https://youtu.be/wqjqP0-wX4A"/>
    <hyperlink ref="F1155" r:id="rId2" display="https://files.afu.se/Downloads/Transcripts/0%20-%20Government/USA%20-%20NASA%20Johnson/"/>
    <hyperlink ref="C1156" r:id="rId1156" display="https://youtu.be/uL2OSs7DXoU"/>
    <hyperlink ref="F1156" r:id="rId2" display="https://files.afu.se/Downloads/Transcripts/0%20-%20Government/USA%20-%20NASA%20Johnson/"/>
    <hyperlink ref="C1157" r:id="rId1157" display="https://youtu.be/SN_L2KwB6kE"/>
    <hyperlink ref="F1157" r:id="rId2" display="https://files.afu.se/Downloads/Transcripts/0%20-%20Government/USA%20-%20NASA%20Johnson/"/>
    <hyperlink ref="C1158" r:id="rId1158" display="https://youtu.be/GbH376EJ-uo"/>
    <hyperlink ref="F1158" r:id="rId2" display="https://files.afu.se/Downloads/Transcripts/0%20-%20Government/USA%20-%20NASA%20Johnson/"/>
    <hyperlink ref="C1159" r:id="rId1159" display="https://youtu.be/TvmVTzN8exQ"/>
    <hyperlink ref="F1159" r:id="rId2" display="https://files.afu.se/Downloads/Transcripts/0%20-%20Government/USA%20-%20NASA%20Johnson/"/>
    <hyperlink ref="C1160" r:id="rId1160" display="https://youtu.be/joXGqIoMlBY"/>
    <hyperlink ref="F1160" r:id="rId2" display="https://files.afu.se/Downloads/Transcripts/0%20-%20Government/USA%20-%20NASA%20Johnson/"/>
    <hyperlink ref="C1161" r:id="rId1161" display="https://youtu.be/U2f6aChCFyg"/>
    <hyperlink ref="F1161" r:id="rId2" display="https://files.afu.se/Downloads/Transcripts/0%20-%20Government/USA%20-%20NASA%20Johnson/"/>
    <hyperlink ref="C1162" r:id="rId1162" display="https://youtu.be/fPjr4NPtlLE"/>
    <hyperlink ref="F1162" r:id="rId2" display="https://files.afu.se/Downloads/Transcripts/0%20-%20Government/USA%20-%20NASA%20Johnson/"/>
    <hyperlink ref="C1163" r:id="rId1163" display="https://youtu.be/BAcoHQaLWTw"/>
    <hyperlink ref="F1163" r:id="rId2" display="https://files.afu.se/Downloads/Transcripts/0%20-%20Government/USA%20-%20NASA%20Johnson/"/>
    <hyperlink ref="C1164" r:id="rId1164" display="https://youtu.be/scGc1NS_IV8"/>
    <hyperlink ref="F1164" r:id="rId2" display="https://files.afu.se/Downloads/Transcripts/0%20-%20Government/USA%20-%20NASA%20Johnson/"/>
    <hyperlink ref="C1165" r:id="rId1165" display="https://youtu.be/ocPYDuTvivY"/>
    <hyperlink ref="F1165" r:id="rId2" display="https://files.afu.se/Downloads/Transcripts/0%20-%20Government/USA%20-%20NASA%20Johnson/"/>
    <hyperlink ref="C1166" r:id="rId1166" display="https://youtu.be/P32j17Fl5L0"/>
    <hyperlink ref="F1166" r:id="rId2" display="https://files.afu.se/Downloads/Transcripts/0%20-%20Government/USA%20-%20NASA%20Johnson/"/>
    <hyperlink ref="C1167" r:id="rId1167" display="https://youtu.be/fgBi2BjiKXI"/>
    <hyperlink ref="F1167" r:id="rId2" display="https://files.afu.se/Downloads/Transcripts/0%20-%20Government/USA%20-%20NASA%20Johnson/"/>
    <hyperlink ref="C1168" r:id="rId1168" display="https://youtu.be/sldv0JYFVgU"/>
    <hyperlink ref="F1168" r:id="rId2" display="https://files.afu.se/Downloads/Transcripts/0%20-%20Government/USA%20-%20NASA%20Johnson/"/>
    <hyperlink ref="C1169" r:id="rId1169" display="https://youtu.be/PqU3LjQr5hM"/>
    <hyperlink ref="F1169" r:id="rId2" display="https://files.afu.se/Downloads/Transcripts/0%20-%20Government/USA%20-%20NASA%20Johnson/"/>
    <hyperlink ref="C1170" r:id="rId1170" display="https://youtu.be/iOimGkaJGl4"/>
    <hyperlink ref="F1170" r:id="rId2" display="https://files.afu.se/Downloads/Transcripts/0%20-%20Government/USA%20-%20NASA%20Johnson/"/>
    <hyperlink ref="C1171" r:id="rId1171" display="https://youtu.be/fjqWBsaQj2k"/>
    <hyperlink ref="F1171" r:id="rId2" display="https://files.afu.se/Downloads/Transcripts/0%20-%20Government/USA%20-%20NASA%20Johnson/"/>
    <hyperlink ref="C1172" r:id="rId1172" display="https://youtu.be/E5xbrT80yqA"/>
    <hyperlink ref="F1172" r:id="rId2" display="https://files.afu.se/Downloads/Transcripts/0%20-%20Government/USA%20-%20NASA%20Johnson/"/>
    <hyperlink ref="C1173" r:id="rId1173" display="https://youtu.be/h5WOWMlt9Ug"/>
    <hyperlink ref="F1173" r:id="rId2" display="https://files.afu.se/Downloads/Transcripts/0%20-%20Government/USA%20-%20NASA%20Johnson/"/>
    <hyperlink ref="C1174" r:id="rId1174" display="https://youtu.be/Mo8IkHM8fGE"/>
    <hyperlink ref="F1174" r:id="rId2" display="https://files.afu.se/Downloads/Transcripts/0%20-%20Government/USA%20-%20NASA%20Johnson/"/>
    <hyperlink ref="C1175" r:id="rId1175" display="https://youtu.be/merzd5ib4l8"/>
    <hyperlink ref="F1175" r:id="rId2" display="https://files.afu.se/Downloads/Transcripts/0%20-%20Government/USA%20-%20NASA%20Johnson/"/>
    <hyperlink ref="C1176" r:id="rId1176" display="https://youtu.be/metJZuLJiy4"/>
    <hyperlink ref="F1176" r:id="rId2" display="https://files.afu.se/Downloads/Transcripts/0%20-%20Government/USA%20-%20NASA%20Johnson/"/>
    <hyperlink ref="C1177" r:id="rId1177" display="https://youtu.be/5e82F6auX4M"/>
    <hyperlink ref="F1177" r:id="rId2" display="https://files.afu.se/Downloads/Transcripts/0%20-%20Government/USA%20-%20NASA%20Johnson/"/>
    <hyperlink ref="C1178" r:id="rId1178" display="https://youtu.be/gK03z06_Tkg"/>
    <hyperlink ref="F1178" r:id="rId2" display="https://files.afu.se/Downloads/Transcripts/0%20-%20Government/USA%20-%20NASA%20Johnson/"/>
    <hyperlink ref="C1179" r:id="rId1179" display="https://youtu.be/R62xbngPcOE"/>
    <hyperlink ref="F1179" r:id="rId2" display="https://files.afu.se/Downloads/Transcripts/0%20-%20Government/USA%20-%20NASA%20Johnson/"/>
    <hyperlink ref="C1180" r:id="rId1180" display="https://youtu.be/IlejgR0DM-g"/>
    <hyperlink ref="F1180" r:id="rId2" display="https://files.afu.se/Downloads/Transcripts/0%20-%20Government/USA%20-%20NASA%20Johnson/"/>
    <hyperlink ref="C1181" r:id="rId1181" display="https://youtu.be/Q8ynNFZ8XCw"/>
    <hyperlink ref="F1181" r:id="rId2" display="https://files.afu.se/Downloads/Transcripts/0%20-%20Government/USA%20-%20NASA%20Johnson/"/>
    <hyperlink ref="C1182" r:id="rId1182" display="https://youtu.be/NFEC8OZWDCY"/>
    <hyperlink ref="F1182" r:id="rId2" display="https://files.afu.se/Downloads/Transcripts/0%20-%20Government/USA%20-%20NASA%20Johnson/"/>
    <hyperlink ref="C1183" r:id="rId1183" display="https://youtu.be/bVzwbGFdX1Q"/>
    <hyperlink ref="F1183" r:id="rId2" display="https://files.afu.se/Downloads/Transcripts/0%20-%20Government/USA%20-%20NASA%20Johnson/"/>
    <hyperlink ref="C1184" r:id="rId1184" display="https://youtu.be/yTGSy-79eHc"/>
    <hyperlink ref="F1184" r:id="rId2" display="https://files.afu.se/Downloads/Transcripts/0%20-%20Government/USA%20-%20NASA%20Johnson/"/>
    <hyperlink ref="C1185" r:id="rId1185" display="https://youtu.be/1YdAYr16Y1U"/>
    <hyperlink ref="F1185" r:id="rId2" display="https://files.afu.se/Downloads/Transcripts/0%20-%20Government/USA%20-%20NASA%20Johnson/"/>
    <hyperlink ref="C1186" r:id="rId1186" display="https://youtu.be/_n7lnGySYEk"/>
    <hyperlink ref="F1186" r:id="rId2" display="https://files.afu.se/Downloads/Transcripts/0%20-%20Government/USA%20-%20NASA%20Johnson/"/>
    <hyperlink ref="C1187" r:id="rId1187" display="https://youtu.be/Brwb6JAZJ0I"/>
    <hyperlink ref="F1187" r:id="rId2" display="https://files.afu.se/Downloads/Transcripts/0%20-%20Government/USA%20-%20NASA%20Johnson/"/>
    <hyperlink ref="C1188" r:id="rId1188" display="https://youtu.be/60fxGvNLFtY"/>
    <hyperlink ref="F1188" r:id="rId2" display="https://files.afu.se/Downloads/Transcripts/0%20-%20Government/USA%20-%20NASA%20Johnson/"/>
    <hyperlink ref="C1189" r:id="rId1189" display="https://youtu.be/QFoZG-eI0WU"/>
    <hyperlink ref="F1189" r:id="rId2" display="https://files.afu.se/Downloads/Transcripts/0%20-%20Government/USA%20-%20NASA%20Johnson/"/>
    <hyperlink ref="C1190" r:id="rId1190" display="https://youtu.be/VSIC752WPe4"/>
    <hyperlink ref="F1190" r:id="rId2" display="https://files.afu.se/Downloads/Transcripts/0%20-%20Government/USA%20-%20NASA%20Johnson/"/>
    <hyperlink ref="C1191" r:id="rId1191" display="https://youtu.be/HAhAP4MPT5I"/>
    <hyperlink ref="F1191" r:id="rId2" display="https://files.afu.se/Downloads/Transcripts/0%20-%20Government/USA%20-%20NASA%20Johnson/"/>
    <hyperlink ref="C1192" r:id="rId1192" display="https://youtu.be/96G3qqBoALw"/>
    <hyperlink ref="F1192" r:id="rId2" display="https://files.afu.se/Downloads/Transcripts/0%20-%20Government/USA%20-%20NASA%20Johnson/"/>
    <hyperlink ref="C1193" r:id="rId1193" display="https://youtu.be/9CsEF9RB1Yw"/>
    <hyperlink ref="F1193" r:id="rId2" display="https://files.afu.se/Downloads/Transcripts/0%20-%20Government/USA%20-%20NASA%20Johnson/"/>
    <hyperlink ref="C1194" r:id="rId1194" display="https://youtu.be/GBcHOfqEBKI"/>
    <hyperlink ref="F1194" r:id="rId2" display="https://files.afu.se/Downloads/Transcripts/0%20-%20Government/USA%20-%20NASA%20Johnson/"/>
    <hyperlink ref="C1195" r:id="rId1195" display="https://youtu.be/2o8N4AdaW2A"/>
    <hyperlink ref="F1195" r:id="rId2" display="https://files.afu.se/Downloads/Transcripts/0%20-%20Government/USA%20-%20NASA%20Johnson/"/>
    <hyperlink ref="C1196" r:id="rId1196" display="https://youtu.be/M8mntXMihNU"/>
    <hyperlink ref="F1196" r:id="rId2" display="https://files.afu.se/Downloads/Transcripts/0%20-%20Government/USA%20-%20NASA%20Johnson/"/>
    <hyperlink ref="C1197" r:id="rId1197" display="https://youtu.be/OxF9kOnPVB8"/>
    <hyperlink ref="F1197" r:id="rId2" display="https://files.afu.se/Downloads/Transcripts/0%20-%20Government/USA%20-%20NASA%20Johnson/"/>
    <hyperlink ref="C1198" r:id="rId1198" display="https://youtu.be/_tFvHUnfKcQ"/>
    <hyperlink ref="F1198" r:id="rId2" display="https://files.afu.se/Downloads/Transcripts/0%20-%20Government/USA%20-%20NASA%20Johnson/"/>
    <hyperlink ref="C1199" r:id="rId1199" display="https://youtu.be/hf5PUqp5spg"/>
    <hyperlink ref="F1199" r:id="rId2" display="https://files.afu.se/Downloads/Transcripts/0%20-%20Government/USA%20-%20NASA%20Johnson/"/>
    <hyperlink ref="C1200" r:id="rId1200" display="https://youtu.be/vBe-onc4aic"/>
    <hyperlink ref="F1200" r:id="rId2" display="https://files.afu.se/Downloads/Transcripts/0%20-%20Government/USA%20-%20NASA%20Johnson/"/>
    <hyperlink ref="C1201" r:id="rId1201" display="https://youtu.be/B0Y6jA6AqqI"/>
    <hyperlink ref="F1201" r:id="rId2" display="https://files.afu.se/Downloads/Transcripts/0%20-%20Government/USA%20-%20NASA%20Johnson/"/>
    <hyperlink ref="C1202" r:id="rId1202" display="https://youtu.be/Kd8wC_TQtM0"/>
    <hyperlink ref="F1202" r:id="rId2" display="https://files.afu.se/Downloads/Transcripts/0%20-%20Government/USA%20-%20NASA%20Johnson/"/>
    <hyperlink ref="C1203" r:id="rId1203" display="https://youtu.be/LZ0ItjwivYE"/>
    <hyperlink ref="F1203" r:id="rId2" display="https://files.afu.se/Downloads/Transcripts/0%20-%20Government/USA%20-%20NASA%20Johnson/"/>
    <hyperlink ref="C1204" r:id="rId1204" display="https://youtu.be/mDQdc5YT0-0"/>
    <hyperlink ref="F1204" r:id="rId2" display="https://files.afu.se/Downloads/Transcripts/0%20-%20Government/USA%20-%20NASA%20Johnson/"/>
    <hyperlink ref="C1205" r:id="rId1205" display="https://youtu.be/3bxRpZ6uP2k"/>
    <hyperlink ref="F1205" r:id="rId2" display="https://files.afu.se/Downloads/Transcripts/0%20-%20Government/USA%20-%20NASA%20Johnson/"/>
    <hyperlink ref="C1206" r:id="rId1206" display="https://youtu.be/qODBzyB91so"/>
    <hyperlink ref="F1206" r:id="rId2" display="https://files.afu.se/Downloads/Transcripts/0%20-%20Government/USA%20-%20NASA%20Johnson/"/>
    <hyperlink ref="C1207" r:id="rId1207" display="https://youtu.be/24Yk81lenCk"/>
    <hyperlink ref="F1207" r:id="rId2" display="https://files.afu.se/Downloads/Transcripts/0%20-%20Government/USA%20-%20NASA%20Johnson/"/>
    <hyperlink ref="C1208" r:id="rId1208" display="https://youtu.be/T9aKSogrL-I"/>
    <hyperlink ref="F1208" r:id="rId2" display="https://files.afu.se/Downloads/Transcripts/0%20-%20Government/USA%20-%20NASA%20Johnson/"/>
    <hyperlink ref="C1209" r:id="rId1209" display="https://youtu.be/6Otg83PPls8"/>
    <hyperlink ref="F1209" r:id="rId2" display="https://files.afu.se/Downloads/Transcripts/0%20-%20Government/USA%20-%20NASA%20Johnson/"/>
    <hyperlink ref="C1210" r:id="rId1210" display="https://youtu.be/pP4dK_12O48"/>
    <hyperlink ref="F1210" r:id="rId2" display="https://files.afu.se/Downloads/Transcripts/0%20-%20Government/USA%20-%20NASA%20Johnson/"/>
    <hyperlink ref="C1211" r:id="rId1211" display="https://youtu.be/BybUJYl0aVk"/>
    <hyperlink ref="F1211" r:id="rId2" display="https://files.afu.se/Downloads/Transcripts/0%20-%20Government/USA%20-%20NASA%20Johnson/"/>
    <hyperlink ref="C1212" r:id="rId1212" display="https://youtu.be/NecjpG1NVac"/>
    <hyperlink ref="F1212" r:id="rId2" display="https://files.afu.se/Downloads/Transcripts/0%20-%20Government/USA%20-%20NASA%20Johnson/"/>
    <hyperlink ref="C1213" r:id="rId1213" display="https://youtu.be/tQ_eK5q2q0w"/>
    <hyperlink ref="F1213" r:id="rId2" display="https://files.afu.se/Downloads/Transcripts/0%20-%20Government/USA%20-%20NASA%20Johnson/"/>
    <hyperlink ref="C1214" r:id="rId1214" display="https://youtu.be/BpCgHsYaA8U"/>
    <hyperlink ref="F1214" r:id="rId2" display="https://files.afu.se/Downloads/Transcripts/0%20-%20Government/USA%20-%20NASA%20Johnson/"/>
    <hyperlink ref="C1215" r:id="rId1215" display="https://youtu.be/7DWzmq9e0Lw"/>
    <hyperlink ref="F1215" r:id="rId2" display="https://files.afu.se/Downloads/Transcripts/0%20-%20Government/USA%20-%20NASA%20Johnson/"/>
    <hyperlink ref="C1216" r:id="rId1216" display="https://youtu.be/LrobW07DFk8"/>
    <hyperlink ref="F1216" r:id="rId2" display="https://files.afu.se/Downloads/Transcripts/0%20-%20Government/USA%20-%20NASA%20Johnson/"/>
    <hyperlink ref="C1217" r:id="rId1217" display="https://youtu.be/cm3sN-wpLpE"/>
    <hyperlink ref="F1217" r:id="rId2" display="https://files.afu.se/Downloads/Transcripts/0%20-%20Government/USA%20-%20NASA%20Johnson/"/>
    <hyperlink ref="C1218" r:id="rId1218" display="https://youtu.be/K1O4kqprsX8"/>
    <hyperlink ref="F1218" r:id="rId2" display="https://files.afu.se/Downloads/Transcripts/0%20-%20Government/USA%20-%20NASA%20Johnson/"/>
    <hyperlink ref="C1219" r:id="rId1219" display="https://youtu.be/69eIsLTZ3uQ"/>
    <hyperlink ref="F1219" r:id="rId2" display="https://files.afu.se/Downloads/Transcripts/0%20-%20Government/USA%20-%20NASA%20Johnson/"/>
    <hyperlink ref="C1220" r:id="rId1220" display="https://youtu.be/Qe3DZQAQfcA"/>
    <hyperlink ref="F1220" r:id="rId2" display="https://files.afu.se/Downloads/Transcripts/0%20-%20Government/USA%20-%20NASA%20Johnson/"/>
    <hyperlink ref="C1221" r:id="rId1221" display="https://youtu.be/izSYMrnDESY"/>
    <hyperlink ref="F1221" r:id="rId2" display="https://files.afu.se/Downloads/Transcripts/0%20-%20Government/USA%20-%20NASA%20Johnson/"/>
    <hyperlink ref="C1222" r:id="rId1222" display="https://youtu.be/ObF0zVyQ_Xo"/>
    <hyperlink ref="F1222" r:id="rId2" display="https://files.afu.se/Downloads/Transcripts/0%20-%20Government/USA%20-%20NASA%20Johnson/"/>
    <hyperlink ref="C1223" r:id="rId1223" display="https://youtu.be/zK-Rw_6SX_M"/>
    <hyperlink ref="F1223" r:id="rId2" display="https://files.afu.se/Downloads/Transcripts/0%20-%20Government/USA%20-%20NASA%20Johnson/"/>
    <hyperlink ref="C1224" r:id="rId1224" display="https://youtu.be/4wRixEZWem8"/>
    <hyperlink ref="F1224" r:id="rId2" display="https://files.afu.se/Downloads/Transcripts/0%20-%20Government/USA%20-%20NASA%20Johnson/"/>
    <hyperlink ref="C1225" r:id="rId1225" display="https://youtu.be/Dp8M9r8m4_c"/>
    <hyperlink ref="F1225" r:id="rId2" display="https://files.afu.se/Downloads/Transcripts/0%20-%20Government/USA%20-%20NASA%20Johnson/"/>
    <hyperlink ref="C1226" r:id="rId1226" display="https://youtu.be/Qk2xoT_E8Uc"/>
    <hyperlink ref="F1226" r:id="rId2" display="https://files.afu.se/Downloads/Transcripts/0%20-%20Government/USA%20-%20NASA%20Johnson/"/>
    <hyperlink ref="C1227" r:id="rId1227" display="https://youtu.be/317euw7huSU"/>
    <hyperlink ref="F1227" r:id="rId2" display="https://files.afu.se/Downloads/Transcripts/0%20-%20Government/USA%20-%20NASA%20Johnson/"/>
    <hyperlink ref="C1228" r:id="rId1228" display="https://youtu.be/G9Ojp4B-iys"/>
    <hyperlink ref="F1228" r:id="rId2" display="https://files.afu.se/Downloads/Transcripts/0%20-%20Government/USA%20-%20NASA%20Johnson/"/>
    <hyperlink ref="C1229" r:id="rId1229" display="https://youtu.be/uezBWff0wK8"/>
    <hyperlink ref="F1229" r:id="rId2" display="https://files.afu.se/Downloads/Transcripts/0%20-%20Government/USA%20-%20NASA%20Johnson/"/>
    <hyperlink ref="C1230" r:id="rId1230" display="https://youtu.be/dHgBYA4gEnQ"/>
    <hyperlink ref="F1230" r:id="rId2" display="https://files.afu.se/Downloads/Transcripts/0%20-%20Government/USA%20-%20NASA%20Johnson/"/>
    <hyperlink ref="C1231" r:id="rId1231" display="https://youtu.be/pd7A-k7ic5Q"/>
    <hyperlink ref="F1231" r:id="rId2" display="https://files.afu.se/Downloads/Transcripts/0%20-%20Government/USA%20-%20NASA%20Johnson/"/>
    <hyperlink ref="C1232" r:id="rId1232" display="https://youtu.be/2FxNCh9dAKE"/>
    <hyperlink ref="F1232" r:id="rId2" display="https://files.afu.se/Downloads/Transcripts/0%20-%20Government/USA%20-%20NASA%20Johnson/"/>
    <hyperlink ref="C1233" r:id="rId1233" display="https://youtu.be/vsdOE7OJzJM"/>
    <hyperlink ref="F1233" r:id="rId2" display="https://files.afu.se/Downloads/Transcripts/0%20-%20Government/USA%20-%20NASA%20Johnson/"/>
    <hyperlink ref="C1234" r:id="rId1234" display="https://youtu.be/akq1bdn_dIY"/>
    <hyperlink ref="F1234" r:id="rId2" display="https://files.afu.se/Downloads/Transcripts/0%20-%20Government/USA%20-%20NASA%20Johnson/"/>
    <hyperlink ref="C1235" r:id="rId1235" display="https://youtu.be/npkhnDBufRw"/>
    <hyperlink ref="F1235" r:id="rId2" display="https://files.afu.se/Downloads/Transcripts/0%20-%20Government/USA%20-%20NASA%20Johnson/"/>
    <hyperlink ref="C1236" r:id="rId1236" display="https://youtu.be/Y4d2WfjGMqU"/>
    <hyperlink ref="F1236" r:id="rId2" display="https://files.afu.se/Downloads/Transcripts/0%20-%20Government/USA%20-%20NASA%20Johnson/"/>
    <hyperlink ref="C1237" r:id="rId1237" display="https://youtu.be/49wKRx05Rtg"/>
    <hyperlink ref="F1237" r:id="rId2" display="https://files.afu.se/Downloads/Transcripts/0%20-%20Government/USA%20-%20NASA%20Johnson/"/>
    <hyperlink ref="C1238" r:id="rId1238" display="https://youtu.be/tioUzyhs6a4"/>
    <hyperlink ref="F1238" r:id="rId2" display="https://files.afu.se/Downloads/Transcripts/0%20-%20Government/USA%20-%20NASA%20Johnson/"/>
    <hyperlink ref="C1239" r:id="rId1239" display="https://youtu.be/BPvEAWWRfGs"/>
    <hyperlink ref="F1239" r:id="rId2" display="https://files.afu.se/Downloads/Transcripts/0%20-%20Government/USA%20-%20NASA%20Johnson/"/>
    <hyperlink ref="C1240" r:id="rId1240" display="https://youtu.be/d7Ofjkexqmc"/>
    <hyperlink ref="F1240" r:id="rId2" display="https://files.afu.se/Downloads/Transcripts/0%20-%20Government/USA%20-%20NASA%20Johnson/"/>
    <hyperlink ref="C1241" r:id="rId1241" display="https://youtu.be/g701qIxrMlU"/>
    <hyperlink ref="F1241" r:id="rId2" display="https://files.afu.se/Downloads/Transcripts/0%20-%20Government/USA%20-%20NASA%20Johnson/"/>
    <hyperlink ref="C1242" r:id="rId1242" display="https://youtu.be/HdjVVsaIL50"/>
    <hyperlink ref="F1242" r:id="rId2" display="https://files.afu.se/Downloads/Transcripts/0%20-%20Government/USA%20-%20NASA%20Johnson/"/>
    <hyperlink ref="C1243" r:id="rId1243" display="https://youtu.be/y_zvGnV-tn4"/>
    <hyperlink ref="F1243" r:id="rId2" display="https://files.afu.se/Downloads/Transcripts/0%20-%20Government/USA%20-%20NASA%20Johnson/"/>
    <hyperlink ref="C1244" r:id="rId1244" display="https://youtu.be/bKk_7NIKY3Y"/>
    <hyperlink ref="F1244" r:id="rId2" display="https://files.afu.se/Downloads/Transcripts/0%20-%20Government/USA%20-%20NASA%20Johnson/"/>
    <hyperlink ref="C1245" r:id="rId1245" display="https://youtu.be/crQ_iGm318U"/>
    <hyperlink ref="F1245" r:id="rId2" display="https://files.afu.se/Downloads/Transcripts/0%20-%20Government/USA%20-%20NASA%20Johnson/"/>
    <hyperlink ref="C1246" r:id="rId1246" display="https://youtu.be/PC4_kkd1laU"/>
    <hyperlink ref="F1246" r:id="rId2" display="https://files.afu.se/Downloads/Transcripts/0%20-%20Government/USA%20-%20NASA%20Johnson/"/>
    <hyperlink ref="C1247" r:id="rId1247" display="https://youtu.be/9SXJq_RP3V4"/>
    <hyperlink ref="F1247" r:id="rId2" display="https://files.afu.se/Downloads/Transcripts/0%20-%20Government/USA%20-%20NASA%20Johnson/"/>
    <hyperlink ref="C1248" r:id="rId1248" display="https://youtu.be/YCyVdWXtlUE"/>
    <hyperlink ref="F1248" r:id="rId2" display="https://files.afu.se/Downloads/Transcripts/0%20-%20Government/USA%20-%20NASA%20Johnson/"/>
    <hyperlink ref="C1249" r:id="rId1249" display="https://youtu.be/VGzsoB7Y06w"/>
    <hyperlink ref="F1249" r:id="rId2" display="https://files.afu.se/Downloads/Transcripts/0%20-%20Government/USA%20-%20NASA%20Johnson/"/>
    <hyperlink ref="C1250" r:id="rId1250" display="https://youtu.be/Psy-AtTP3hw"/>
    <hyperlink ref="F1250" r:id="rId2" display="https://files.afu.se/Downloads/Transcripts/0%20-%20Government/USA%20-%20NASA%20Johnson/"/>
    <hyperlink ref="C1251" r:id="rId1251" display="https://youtu.be/6rByLGwcYN4"/>
    <hyperlink ref="F1251" r:id="rId2" display="https://files.afu.se/Downloads/Transcripts/0%20-%20Government/USA%20-%20NASA%20Johnson/"/>
    <hyperlink ref="C1252" r:id="rId1252" display="https://youtu.be/1TzGSmTyFiA"/>
    <hyperlink ref="F1252" r:id="rId2" display="https://files.afu.se/Downloads/Transcripts/0%20-%20Government/USA%20-%20NASA%20Johnson/"/>
    <hyperlink ref="C1253" r:id="rId1253" display="https://youtu.be/YIT2Up1imWs"/>
    <hyperlink ref="F1253" r:id="rId2" display="https://files.afu.se/Downloads/Transcripts/0%20-%20Government/USA%20-%20NASA%20Johnson/"/>
    <hyperlink ref="C1254" r:id="rId1254" display="https://youtu.be/9yPjAkd9dHw"/>
    <hyperlink ref="F1254" r:id="rId2" display="https://files.afu.se/Downloads/Transcripts/0%20-%20Government/USA%20-%20NASA%20Johnson/"/>
    <hyperlink ref="C1255" r:id="rId1255" display="https://youtu.be/PdFJViWm4jE"/>
    <hyperlink ref="F1255" r:id="rId2" display="https://files.afu.se/Downloads/Transcripts/0%20-%20Government/USA%20-%20NASA%20Johnson/"/>
    <hyperlink ref="C1256" r:id="rId1256" display="https://youtu.be/tjK0toxT7z0"/>
    <hyperlink ref="F1256" r:id="rId2" display="https://files.afu.se/Downloads/Transcripts/0%20-%20Government/USA%20-%20NASA%20Johnson/"/>
    <hyperlink ref="C1257" r:id="rId1257" display="https://youtu.be/FudqalBElYo"/>
    <hyperlink ref="F1257" r:id="rId2" display="https://files.afu.se/Downloads/Transcripts/0%20-%20Government/USA%20-%20NASA%20Johnson/"/>
    <hyperlink ref="C1258" r:id="rId1258" display="https://youtu.be/04lrZeQOpNI"/>
    <hyperlink ref="F1258" r:id="rId2" display="https://files.afu.se/Downloads/Transcripts/0%20-%20Government/USA%20-%20NASA%20Johnson/"/>
    <hyperlink ref="C1259" r:id="rId1259" display="https://youtu.be/fxnEKi7ItW4"/>
    <hyperlink ref="F1259" r:id="rId2" display="https://files.afu.se/Downloads/Transcripts/0%20-%20Government/USA%20-%20NASA%20Johnson/"/>
    <hyperlink ref="C1260" r:id="rId1260" display="https://youtu.be/_4ELvaib0kg"/>
    <hyperlink ref="F1260" r:id="rId2" display="https://files.afu.se/Downloads/Transcripts/0%20-%20Government/USA%20-%20NASA%20Johnson/"/>
    <hyperlink ref="C1261" r:id="rId1261" display="https://youtu.be/fRW3GH1MeBs"/>
    <hyperlink ref="F1261" r:id="rId2" display="https://files.afu.se/Downloads/Transcripts/0%20-%20Government/USA%20-%20NASA%20Johnson/"/>
    <hyperlink ref="C1262" r:id="rId1262" display="https://youtu.be/Xy_zm8y6nwI"/>
    <hyperlink ref="F1262" r:id="rId2" display="https://files.afu.se/Downloads/Transcripts/0%20-%20Government/USA%20-%20NASA%20Johnson/"/>
    <hyperlink ref="C1263" r:id="rId1263" display="https://youtu.be/bc13InB3hmc"/>
    <hyperlink ref="F1263" r:id="rId2" display="https://files.afu.se/Downloads/Transcripts/0%20-%20Government/USA%20-%20NASA%20Johnson/"/>
    <hyperlink ref="C1264" r:id="rId1264" display="https://youtu.be/z43cNmfKUsc"/>
    <hyperlink ref="F1264" r:id="rId2" display="https://files.afu.se/Downloads/Transcripts/0%20-%20Government/USA%20-%20NASA%20Johnson/"/>
    <hyperlink ref="C1265" r:id="rId1265" display="https://youtu.be/9MfWARdoF-o"/>
    <hyperlink ref="F1265" r:id="rId2" display="https://files.afu.se/Downloads/Transcripts/0%20-%20Government/USA%20-%20NASA%20Johnson/"/>
    <hyperlink ref="C1266" r:id="rId1266" display="https://youtu.be/pV0gxHsxw5Y"/>
    <hyperlink ref="F1266" r:id="rId2" display="https://files.afu.se/Downloads/Transcripts/0%20-%20Government/USA%20-%20NASA%20Johnson/"/>
    <hyperlink ref="C1267" r:id="rId1267" display="https://youtu.be/hGdQnUUuwy0"/>
    <hyperlink ref="F1267" r:id="rId2" display="https://files.afu.se/Downloads/Transcripts/0%20-%20Government/USA%20-%20NASA%20Johnson/"/>
    <hyperlink ref="C1268" r:id="rId1268" display="https://youtu.be/XNEWihFe_CA"/>
    <hyperlink ref="F1268" r:id="rId2" display="https://files.afu.se/Downloads/Transcripts/0%20-%20Government/USA%20-%20NASA%20Johnson/"/>
    <hyperlink ref="C1269" r:id="rId1269" display="https://youtu.be/2NHYmVZAXC0"/>
    <hyperlink ref="F1269" r:id="rId2" display="https://files.afu.se/Downloads/Transcripts/0%20-%20Government/USA%20-%20NASA%20Johnson/"/>
    <hyperlink ref="C1270" r:id="rId1270" display="https://youtu.be/qmYxHkFBGw8"/>
    <hyperlink ref="F1270" r:id="rId2" display="https://files.afu.se/Downloads/Transcripts/0%20-%20Government/USA%20-%20NASA%20Johnson/"/>
    <hyperlink ref="C1271" r:id="rId1271" display="https://youtu.be/4DrztPY2Zws"/>
    <hyperlink ref="F1271" r:id="rId2" display="https://files.afu.se/Downloads/Transcripts/0%20-%20Government/USA%20-%20NASA%20Johnson/"/>
    <hyperlink ref="C1272" r:id="rId1272" display="https://youtu.be/JCJj-1e3LM0"/>
    <hyperlink ref="F1272" r:id="rId2" display="https://files.afu.se/Downloads/Transcripts/0%20-%20Government/USA%20-%20NASA%20Johnson/"/>
    <hyperlink ref="C1273" r:id="rId1273" display="https://youtu.be/AzYxGcblPF4"/>
    <hyperlink ref="F1273" r:id="rId2" display="https://files.afu.se/Downloads/Transcripts/0%20-%20Government/USA%20-%20NASA%20Johnson/"/>
    <hyperlink ref="C1274" r:id="rId1274" display="https://youtu.be/FUxDpYTUk5g"/>
    <hyperlink ref="F1274" r:id="rId2" display="https://files.afu.se/Downloads/Transcripts/0%20-%20Government/USA%20-%20NASA%20Johnson/"/>
    <hyperlink ref="C1275" r:id="rId1275" display="https://youtu.be/BWbqTdj5hRg"/>
    <hyperlink ref="F1275" r:id="rId2" display="https://files.afu.se/Downloads/Transcripts/0%20-%20Government/USA%20-%20NASA%20Johnson/"/>
    <hyperlink ref="C1276" r:id="rId1276" display="https://youtu.be/amsVtQLBLNI"/>
    <hyperlink ref="F1276" r:id="rId2" display="https://files.afu.se/Downloads/Transcripts/0%20-%20Government/USA%20-%20NASA%20Johnson/"/>
    <hyperlink ref="C1277" r:id="rId1277" display="https://youtu.be/tLt6UwK66O4"/>
    <hyperlink ref="F1277" r:id="rId2" display="https://files.afu.se/Downloads/Transcripts/0%20-%20Government/USA%20-%20NASA%20Johnson/"/>
    <hyperlink ref="C1278" r:id="rId1278" display="https://youtu.be/xNTQs4znLWM"/>
    <hyperlink ref="F1278" r:id="rId2" display="https://files.afu.se/Downloads/Transcripts/0%20-%20Government/USA%20-%20NASA%20Johnson/"/>
    <hyperlink ref="C1279" r:id="rId1279" display="https://youtu.be/-JuBDX8JRBQ"/>
    <hyperlink ref="F1279" r:id="rId2" display="https://files.afu.se/Downloads/Transcripts/0%20-%20Government/USA%20-%20NASA%20Johnson/"/>
    <hyperlink ref="C1280" r:id="rId1280" display="https://youtu.be/Gj_SzDHWBz8"/>
    <hyperlink ref="F1280" r:id="rId2" display="https://files.afu.se/Downloads/Transcripts/0%20-%20Government/USA%20-%20NASA%20Johnson/"/>
    <hyperlink ref="C1281" r:id="rId1281" display="https://youtu.be/5Gp1zBcIy88"/>
    <hyperlink ref="F1281" r:id="rId2" display="https://files.afu.se/Downloads/Transcripts/0%20-%20Government/USA%20-%20NASA%20Johnson/"/>
    <hyperlink ref="C1282" r:id="rId1282" display="https://youtu.be/0zA2z4yI02I"/>
    <hyperlink ref="F1282" r:id="rId2" display="https://files.afu.se/Downloads/Transcripts/0%20-%20Government/USA%20-%20NASA%20Johnson/"/>
    <hyperlink ref="C1283" r:id="rId1283" display="https://youtu.be/0TDZX8r9DRw"/>
    <hyperlink ref="F1283" r:id="rId2" display="https://files.afu.se/Downloads/Transcripts/0%20-%20Government/USA%20-%20NASA%20Johnson/"/>
    <hyperlink ref="C1284" r:id="rId1284" display="https://youtu.be/VexO24Q0omM"/>
    <hyperlink ref="F1284" r:id="rId2" display="https://files.afu.se/Downloads/Transcripts/0%20-%20Government/USA%20-%20NASA%20Johnson/"/>
    <hyperlink ref="C1285" r:id="rId1285" display="https://youtu.be/MJ98dgf9Mwg"/>
    <hyperlink ref="F1285" r:id="rId2" display="https://files.afu.se/Downloads/Transcripts/0%20-%20Government/USA%20-%20NASA%20Johnson/"/>
    <hyperlink ref="C1286" r:id="rId1286" display="https://youtu.be/ALKhJ3T9H14"/>
    <hyperlink ref="F1286" r:id="rId2" display="https://files.afu.se/Downloads/Transcripts/0%20-%20Government/USA%20-%20NASA%20Johnson/"/>
    <hyperlink ref="C1287" r:id="rId1287" display="https://youtu.be/-3fYlBadTJU"/>
    <hyperlink ref="F1287" r:id="rId2" display="https://files.afu.se/Downloads/Transcripts/0%20-%20Government/USA%20-%20NASA%20Johnson/"/>
    <hyperlink ref="C1288" r:id="rId1288" display="https://youtu.be/O3NrMbaEPi4"/>
    <hyperlink ref="F1288" r:id="rId2" display="https://files.afu.se/Downloads/Transcripts/0%20-%20Government/USA%20-%20NASA%20Johnson/"/>
    <hyperlink ref="C1289" r:id="rId1289" display="https://youtu.be/WiQK27MjqGo"/>
    <hyperlink ref="F1289" r:id="rId2" display="https://files.afu.se/Downloads/Transcripts/0%20-%20Government/USA%20-%20NASA%20Johnson/"/>
    <hyperlink ref="C1290" r:id="rId1290" display="https://youtu.be/OoL0ZALSuPI"/>
    <hyperlink ref="F1290" r:id="rId2" display="https://files.afu.se/Downloads/Transcripts/0%20-%20Government/USA%20-%20NASA%20Johnson/"/>
    <hyperlink ref="C1291" r:id="rId1291" display="https://youtu.be/vQiY3DuGv5g"/>
    <hyperlink ref="F1291" r:id="rId2" display="https://files.afu.se/Downloads/Transcripts/0%20-%20Government/USA%20-%20NASA%20Johnson/"/>
    <hyperlink ref="C1292" r:id="rId1292" display="https://youtu.be/pmnvj24pfz8"/>
    <hyperlink ref="F1292" r:id="rId2" display="https://files.afu.se/Downloads/Transcripts/0%20-%20Government/USA%20-%20NASA%20Johnson/"/>
    <hyperlink ref="C1293" r:id="rId1293" display="https://youtu.be/Oy6bCbMMktg"/>
    <hyperlink ref="F1293" r:id="rId2" display="https://files.afu.se/Downloads/Transcripts/0%20-%20Government/USA%20-%20NASA%20Johnson/"/>
    <hyperlink ref="C1294" r:id="rId1294" display="https://youtu.be/6trQ6TROjg8"/>
    <hyperlink ref="F1294" r:id="rId2" display="https://files.afu.se/Downloads/Transcripts/0%20-%20Government/USA%20-%20NASA%20Johnson/"/>
    <hyperlink ref="C1295" r:id="rId1295" display="https://youtu.be/_gBBUWgn2iU"/>
    <hyperlink ref="F1295" r:id="rId2" display="https://files.afu.se/Downloads/Transcripts/0%20-%20Government/USA%20-%20NASA%20Johnson/"/>
    <hyperlink ref="C1296" r:id="rId1296" display="https://youtu.be/ad9UW_oVq9Y"/>
    <hyperlink ref="F1296" r:id="rId2" display="https://files.afu.se/Downloads/Transcripts/0%20-%20Government/USA%20-%20NASA%20Johnson/"/>
    <hyperlink ref="C1297" r:id="rId1297" display="https://youtu.be/lU4yfD84R3o"/>
    <hyperlink ref="F1297" r:id="rId2" display="https://files.afu.se/Downloads/Transcripts/0%20-%20Government/USA%20-%20NASA%20Johnson/"/>
    <hyperlink ref="C1298" r:id="rId1298" display="https://youtu.be/7mGv9lfrg_c"/>
    <hyperlink ref="F1298" r:id="rId2" display="https://files.afu.se/Downloads/Transcripts/0%20-%20Government/USA%20-%20NASA%20Johnson/"/>
    <hyperlink ref="C1299" r:id="rId1299" display="https://youtu.be/V6i7-XTe4XU"/>
    <hyperlink ref="F1299" r:id="rId2" display="https://files.afu.se/Downloads/Transcripts/0%20-%20Government/USA%20-%20NASA%20Johnson/"/>
    <hyperlink ref="C1300" r:id="rId1300" display="https://youtu.be/nJupdzLR9Fk"/>
    <hyperlink ref="F1300" r:id="rId2" display="https://files.afu.se/Downloads/Transcripts/0%20-%20Government/USA%20-%20NASA%20Johnson/"/>
    <hyperlink ref="C1301" r:id="rId1301" display="https://youtu.be/PRMvRkqPbIE"/>
    <hyperlink ref="F1301" r:id="rId2" display="https://files.afu.se/Downloads/Transcripts/0%20-%20Government/USA%20-%20NASA%20Johnson/"/>
    <hyperlink ref="C1302" r:id="rId1302" display="https://youtu.be/YLWK4dNEuBc"/>
    <hyperlink ref="F1302" r:id="rId2" display="https://files.afu.se/Downloads/Transcripts/0%20-%20Government/USA%20-%20NASA%20Johnson/"/>
    <hyperlink ref="C1303" r:id="rId1303" display="https://youtu.be/HouJPqYG5E4"/>
    <hyperlink ref="F1303" r:id="rId2" display="https://files.afu.se/Downloads/Transcripts/0%20-%20Government/USA%20-%20NASA%20Johnson/"/>
    <hyperlink ref="C1304" r:id="rId1304" display="https://youtu.be/MCiRuTkIkhw"/>
    <hyperlink ref="F1304" r:id="rId2" display="https://files.afu.se/Downloads/Transcripts/0%20-%20Government/USA%20-%20NASA%20Johnson/"/>
    <hyperlink ref="C1305" r:id="rId1305" display="https://youtu.be/c95LS6Y2LTo"/>
    <hyperlink ref="F1305" r:id="rId2" display="https://files.afu.se/Downloads/Transcripts/0%20-%20Government/USA%20-%20NASA%20Johnson/"/>
    <hyperlink ref="C1306" r:id="rId1306" display="https://youtu.be/AJqzuyOr8ec"/>
    <hyperlink ref="F1306" r:id="rId2" display="https://files.afu.se/Downloads/Transcripts/0%20-%20Government/USA%20-%20NASA%20Johnson/"/>
    <hyperlink ref="C1307" r:id="rId1307" display="https://youtu.be/6IP-Tx6yZIs"/>
    <hyperlink ref="F1307" r:id="rId2" display="https://files.afu.se/Downloads/Transcripts/0%20-%20Government/USA%20-%20NASA%20Johnson/"/>
    <hyperlink ref="C1308" r:id="rId1308" display="https://youtu.be/usXM4qnzhT8"/>
    <hyperlink ref="F1308" r:id="rId2" display="https://files.afu.se/Downloads/Transcripts/0%20-%20Government/USA%20-%20NASA%20Johnson/"/>
    <hyperlink ref="C1309" r:id="rId1309" display="https://youtu.be/GeBqMANGtmI"/>
    <hyperlink ref="F1309" r:id="rId2" display="https://files.afu.se/Downloads/Transcripts/0%20-%20Government/USA%20-%20NASA%20Johnson/"/>
    <hyperlink ref="C1310" r:id="rId1310" display="https://youtu.be/HDEwt24mxf0"/>
    <hyperlink ref="F1310" r:id="rId2" display="https://files.afu.se/Downloads/Transcripts/0%20-%20Government/USA%20-%20NASA%20Johnson/"/>
    <hyperlink ref="C1311" r:id="rId1311" display="https://youtu.be/RqtAK-FBtXU"/>
    <hyperlink ref="F1311" r:id="rId2" display="https://files.afu.se/Downloads/Transcripts/0%20-%20Government/USA%20-%20NASA%20Johnson/"/>
    <hyperlink ref="C1312" r:id="rId1312" display="https://youtu.be/BHyNkm3g5ls"/>
    <hyperlink ref="F1312" r:id="rId2" display="https://files.afu.se/Downloads/Transcripts/0%20-%20Government/USA%20-%20NASA%20Johnson/"/>
    <hyperlink ref="C1313" r:id="rId1313" display="https://youtu.be/Yp6zLISoT0k"/>
    <hyperlink ref="F1313" r:id="rId2" display="https://files.afu.se/Downloads/Transcripts/0%20-%20Government/USA%20-%20NASA%20Johnson/"/>
    <hyperlink ref="C1314" r:id="rId1314" display="https://youtu.be/K_YepwuXBls"/>
    <hyperlink ref="F1314" r:id="rId2" display="https://files.afu.se/Downloads/Transcripts/0%20-%20Government/USA%20-%20NASA%20Johnson/"/>
    <hyperlink ref="C1315" r:id="rId1315" display="https://youtu.be/KobWN_xPs64"/>
    <hyperlink ref="F1315" r:id="rId2" display="https://files.afu.se/Downloads/Transcripts/0%20-%20Government/USA%20-%20NASA%20Johnson/"/>
    <hyperlink ref="C1316" r:id="rId1316" display="https://youtu.be/c1Gxn_nfgWA"/>
    <hyperlink ref="F1316" r:id="rId2" display="https://files.afu.se/Downloads/Transcripts/0%20-%20Government/USA%20-%20NASA%20Johnson/"/>
    <hyperlink ref="C1317" r:id="rId1317" display="https://youtu.be/KdgVdbQC-5Y"/>
    <hyperlink ref="F1317" r:id="rId2" display="https://files.afu.se/Downloads/Transcripts/0%20-%20Government/USA%20-%20NASA%20Johnson/"/>
    <hyperlink ref="C1318" r:id="rId1318" display="https://youtu.be/YwUBPe5yeHE"/>
    <hyperlink ref="F1318" r:id="rId2" display="https://files.afu.se/Downloads/Transcripts/0%20-%20Government/USA%20-%20NASA%20Johnson/"/>
    <hyperlink ref="C1319" r:id="rId1319" display="https://youtu.be/5kRzPaCqK1g"/>
    <hyperlink ref="F1319" r:id="rId2" display="https://files.afu.se/Downloads/Transcripts/0%20-%20Government/USA%20-%20NASA%20Johnson/"/>
    <hyperlink ref="C1320" r:id="rId1320" display="https://youtu.be/RXz6ib97QAI"/>
    <hyperlink ref="F1320" r:id="rId2" display="https://files.afu.se/Downloads/Transcripts/0%20-%20Government/USA%20-%20NASA%20Johnson/"/>
    <hyperlink ref="C1321" r:id="rId1321" display="https://youtu.be/UcTb7Z9zu1o"/>
    <hyperlink ref="F1321" r:id="rId2" display="https://files.afu.se/Downloads/Transcripts/0%20-%20Government/USA%20-%20NASA%20Johnson/"/>
    <hyperlink ref="C1322" r:id="rId1322" display="https://youtu.be/vlQXr64dsmU"/>
    <hyperlink ref="F1322" r:id="rId2" display="https://files.afu.se/Downloads/Transcripts/0%20-%20Government/USA%20-%20NASA%20Johnson/"/>
    <hyperlink ref="C1323" r:id="rId1323" display="https://youtu.be/9k-yeH1Nj6c"/>
    <hyperlink ref="F1323" r:id="rId2" display="https://files.afu.se/Downloads/Transcripts/0%20-%20Government/USA%20-%20NASA%20Johnson/"/>
    <hyperlink ref="C1324" r:id="rId1324" display="https://youtu.be/Vx0kvxqgC1c"/>
    <hyperlink ref="F1324" r:id="rId2" display="https://files.afu.se/Downloads/Transcripts/0%20-%20Government/USA%20-%20NASA%20Johnson/"/>
    <hyperlink ref="C1325" r:id="rId1325" display="https://youtu.be/3n6ywp858FY"/>
    <hyperlink ref="F1325" r:id="rId2" display="https://files.afu.se/Downloads/Transcripts/0%20-%20Government/USA%20-%20NASA%20Johnson/"/>
    <hyperlink ref="C1326" r:id="rId1326" display="https://youtu.be/nnLf-g2GP1I"/>
    <hyperlink ref="F1326" r:id="rId2" display="https://files.afu.se/Downloads/Transcripts/0%20-%20Government/USA%20-%20NASA%20Johnson/"/>
    <hyperlink ref="C1327" r:id="rId1327" display="https://youtu.be/Hrwuaj2kiZc"/>
    <hyperlink ref="F1327" r:id="rId2" display="https://files.afu.se/Downloads/Transcripts/0%20-%20Government/USA%20-%20NASA%20Johnson/"/>
    <hyperlink ref="C1328" r:id="rId1328" display="https://youtu.be/6R5rx7ZS-tA"/>
    <hyperlink ref="F1328" r:id="rId2" display="https://files.afu.se/Downloads/Transcripts/0%20-%20Government/USA%20-%20NASA%20Johnson/"/>
    <hyperlink ref="C1329" r:id="rId1329" display="https://youtu.be/M_4YrfOFNmc"/>
    <hyperlink ref="F1329" r:id="rId2" display="https://files.afu.se/Downloads/Transcripts/0%20-%20Government/USA%20-%20NASA%20Johnson/"/>
    <hyperlink ref="C1330" r:id="rId1330" display="https://youtu.be/WbQbt2PfOvA"/>
    <hyperlink ref="F1330" r:id="rId2" display="https://files.afu.se/Downloads/Transcripts/0%20-%20Government/USA%20-%20NASA%20Johnson/"/>
    <hyperlink ref="C1331" r:id="rId1331" display="https://youtu.be/DrQQgc9z6Bs"/>
    <hyperlink ref="F1331" r:id="rId2" display="https://files.afu.se/Downloads/Transcripts/0%20-%20Government/USA%20-%20NASA%20Johnson/"/>
    <hyperlink ref="C1332" r:id="rId1332" display="https://youtu.be/KzXnLcNmhjI"/>
    <hyperlink ref="F1332" r:id="rId2" display="https://files.afu.se/Downloads/Transcripts/0%20-%20Government/USA%20-%20NASA%20Johnson/"/>
    <hyperlink ref="C1333" r:id="rId1333" display="https://youtu.be/I4mm4ENBGuA"/>
    <hyperlink ref="F1333" r:id="rId2" display="https://files.afu.se/Downloads/Transcripts/0%20-%20Government/USA%20-%20NASA%20Johnson/"/>
    <hyperlink ref="C1334" r:id="rId1334" display="https://youtu.be/9SeE8It9r18"/>
    <hyperlink ref="F1334" r:id="rId2" display="https://files.afu.se/Downloads/Transcripts/0%20-%20Government/USA%20-%20NASA%20Johnson/"/>
    <hyperlink ref="C1335" r:id="rId1335" display="https://youtu.be/bx_c13k3TsY"/>
    <hyperlink ref="F1335" r:id="rId2" display="https://files.afu.se/Downloads/Transcripts/0%20-%20Government/USA%20-%20NASA%20Johnson/"/>
    <hyperlink ref="C1336" r:id="rId1336" display="https://youtu.be/Knx4e-DXwyw"/>
    <hyperlink ref="F1336" r:id="rId2" display="https://files.afu.se/Downloads/Transcripts/0%20-%20Government/USA%20-%20NASA%20Johnson/"/>
    <hyperlink ref="C1337" r:id="rId1337" display="https://youtu.be/PaOgnwGUTQE"/>
    <hyperlink ref="F1337" r:id="rId2" display="https://files.afu.se/Downloads/Transcripts/0%20-%20Government/USA%20-%20NASA%20Johnson/"/>
    <hyperlink ref="C1338" r:id="rId1338" display="https://youtu.be/sUhSuZpo7g8"/>
    <hyperlink ref="F1338" r:id="rId2" display="https://files.afu.se/Downloads/Transcripts/0%20-%20Government/USA%20-%20NASA%20Johnson/"/>
    <hyperlink ref="C1339" r:id="rId1339" display="https://youtu.be/orTULuvmjY0"/>
    <hyperlink ref="F1339" r:id="rId2" display="https://files.afu.se/Downloads/Transcripts/0%20-%20Government/USA%20-%20NASA%20Johnson/"/>
    <hyperlink ref="C1340" r:id="rId1340" display="https://youtu.be/F35yzjNRBxs"/>
    <hyperlink ref="F1340" r:id="rId2" display="https://files.afu.se/Downloads/Transcripts/0%20-%20Government/USA%20-%20NASA%20Johnson/"/>
    <hyperlink ref="C1341" r:id="rId1341" display="https://youtu.be/kPSk23XOGuk"/>
    <hyperlink ref="F1341" r:id="rId2" display="https://files.afu.se/Downloads/Transcripts/0%20-%20Government/USA%20-%20NASA%20Johnson/"/>
    <hyperlink ref="C1342" r:id="rId1342" display="https://youtu.be/pm0TAuip5vA"/>
    <hyperlink ref="F1342" r:id="rId2" display="https://files.afu.se/Downloads/Transcripts/0%20-%20Government/USA%20-%20NASA%20Johnson/"/>
    <hyperlink ref="C1343" r:id="rId1343" display="https://youtu.be/jo6xEi5Wr3Y"/>
    <hyperlink ref="F1343" r:id="rId2" display="https://files.afu.se/Downloads/Transcripts/0%20-%20Government/USA%20-%20NASA%20Johnson/"/>
    <hyperlink ref="C1344" r:id="rId1344" display="https://youtu.be/GQsD4qmwhzk"/>
    <hyperlink ref="F1344" r:id="rId2" display="https://files.afu.se/Downloads/Transcripts/0%20-%20Government/USA%20-%20NASA%20Johnson/"/>
    <hyperlink ref="C1345" r:id="rId1345" display="https://youtu.be/56rN2LrIERA"/>
    <hyperlink ref="F1345" r:id="rId2" display="https://files.afu.se/Downloads/Transcripts/0%20-%20Government/USA%20-%20NASA%20Johnson/"/>
    <hyperlink ref="C1346" r:id="rId1346" display="https://youtu.be/4L2EQxJYg7I"/>
    <hyperlink ref="F1346" r:id="rId2" display="https://files.afu.se/Downloads/Transcripts/0%20-%20Government/USA%20-%20NASA%20Johnson/"/>
    <hyperlink ref="C1347" r:id="rId1347" display="https://youtu.be/kia8_cZzxU4"/>
    <hyperlink ref="F1347" r:id="rId2" display="https://files.afu.se/Downloads/Transcripts/0%20-%20Government/USA%20-%20NASA%20Johnson/"/>
    <hyperlink ref="C1348" r:id="rId1348" display="https://youtu.be/5JYfnpGDgwk"/>
    <hyperlink ref="F1348" r:id="rId2" display="https://files.afu.se/Downloads/Transcripts/0%20-%20Government/USA%20-%20NASA%20Johnson/"/>
    <hyperlink ref="C1349" r:id="rId1349" display="https://youtu.be/4Vx6CNTs-aE"/>
    <hyperlink ref="F1349" r:id="rId2" display="https://files.afu.se/Downloads/Transcripts/0%20-%20Government/USA%20-%20NASA%20Johnson/"/>
    <hyperlink ref="C1350" r:id="rId1350" display="https://youtu.be/1jEx4Q_nBW8"/>
    <hyperlink ref="F1350" r:id="rId2" display="https://files.afu.se/Downloads/Transcripts/0%20-%20Government/USA%20-%20NASA%20Johnson/"/>
    <hyperlink ref="C1351" r:id="rId1351" display="https://youtu.be/UKfZ8n8EcwU"/>
    <hyperlink ref="F1351" r:id="rId2" display="https://files.afu.se/Downloads/Transcripts/0%20-%20Government/USA%20-%20NASA%20Johnson/"/>
    <hyperlink ref="C1352" r:id="rId1352" display="https://youtu.be/XRYUKTa6BLA"/>
    <hyperlink ref="F1352" r:id="rId2" display="https://files.afu.se/Downloads/Transcripts/0%20-%20Government/USA%20-%20NASA%20Johnson/"/>
    <hyperlink ref="C1353" r:id="rId1353" display="https://youtu.be/S1IS8Kbzxos"/>
    <hyperlink ref="F1353" r:id="rId2" display="https://files.afu.se/Downloads/Transcripts/0%20-%20Government/USA%20-%20NASA%20Johnson/"/>
    <hyperlink ref="C1354" r:id="rId1354" display="https://youtu.be/NdL44q6mAuE"/>
    <hyperlink ref="F1354" r:id="rId2" display="https://files.afu.se/Downloads/Transcripts/0%20-%20Government/USA%20-%20NASA%20Johnson/"/>
    <hyperlink ref="C1355" r:id="rId1355" display="https://youtu.be/1sMPwJJuBMU"/>
    <hyperlink ref="F1355" r:id="rId2" display="https://files.afu.se/Downloads/Transcripts/0%20-%20Government/USA%20-%20NASA%20Johnson/"/>
    <hyperlink ref="C1356" r:id="rId1356" display="https://youtu.be/YUyYTD5L8Gw"/>
    <hyperlink ref="F1356" r:id="rId2" display="https://files.afu.se/Downloads/Transcripts/0%20-%20Government/USA%20-%20NASA%20Johnson/"/>
    <hyperlink ref="C1357" r:id="rId1357" display="https://youtu.be/q-yDVQqUg2k"/>
    <hyperlink ref="F1357" r:id="rId2" display="https://files.afu.se/Downloads/Transcripts/0%20-%20Government/USA%20-%20NASA%20Johnson/"/>
    <hyperlink ref="C1358" r:id="rId1358" display="https://youtu.be/Gy7Qu1gSnI8"/>
    <hyperlink ref="F1358" r:id="rId2" display="https://files.afu.se/Downloads/Transcripts/0%20-%20Government/USA%20-%20NASA%20Johnson/"/>
    <hyperlink ref="C1359" r:id="rId1359" display="https://youtu.be/ouv1Un1F36A"/>
    <hyperlink ref="F1359" r:id="rId2" display="https://files.afu.se/Downloads/Transcripts/0%20-%20Government/USA%20-%20NASA%20Johnson/"/>
    <hyperlink ref="C1360" r:id="rId1360" display="https://youtu.be/wKGnJtxPBk8"/>
    <hyperlink ref="F1360" r:id="rId2" display="https://files.afu.se/Downloads/Transcripts/0%20-%20Government/USA%20-%20NASA%20Johnson/"/>
    <hyperlink ref="C1361" r:id="rId1361" display="https://youtu.be/UJf8xsvjPL4"/>
    <hyperlink ref="F1361" r:id="rId2" display="https://files.afu.se/Downloads/Transcripts/0%20-%20Government/USA%20-%20NASA%20Johnson/"/>
    <hyperlink ref="C1362" r:id="rId1362" display="https://youtu.be/84Jkt5RwRUc"/>
    <hyperlink ref="F1362" r:id="rId2" display="https://files.afu.se/Downloads/Transcripts/0%20-%20Government/USA%20-%20NASA%20Johnson/"/>
    <hyperlink ref="C1363" r:id="rId1363" display="https://youtu.be/CvFyM21x-eE"/>
    <hyperlink ref="F1363" r:id="rId2" display="https://files.afu.se/Downloads/Transcripts/0%20-%20Government/USA%20-%20NASA%20Johnson/"/>
    <hyperlink ref="C1364" r:id="rId1364" display="https://youtu.be/WQLGQRshqSo"/>
    <hyperlink ref="F1364" r:id="rId2" display="https://files.afu.se/Downloads/Transcripts/0%20-%20Government/USA%20-%20NASA%20Johnson/"/>
    <hyperlink ref="C1365" r:id="rId1365" display="https://youtu.be/b1btgFAR0IE"/>
    <hyperlink ref="F1365" r:id="rId2" display="https://files.afu.se/Downloads/Transcripts/0%20-%20Government/USA%20-%20NASA%20Johnson/"/>
    <hyperlink ref="C1366" r:id="rId1366" display="https://youtu.be/TJoBCwgb8cQ"/>
    <hyperlink ref="F1366" r:id="rId2" display="https://files.afu.se/Downloads/Transcripts/0%20-%20Government/USA%20-%20NASA%20Johnson/"/>
    <hyperlink ref="C1367" r:id="rId1367" display="https://youtu.be/9x_oubOXFgM"/>
    <hyperlink ref="F1367" r:id="rId2" display="https://files.afu.se/Downloads/Transcripts/0%20-%20Government/USA%20-%20NASA%20Johnson/"/>
    <hyperlink ref="C1368" r:id="rId1368" display="https://youtu.be/qhJUEI_MPaY"/>
    <hyperlink ref="F1368" r:id="rId2" display="https://files.afu.se/Downloads/Transcripts/0%20-%20Government/USA%20-%20NASA%20Johnson/"/>
    <hyperlink ref="C1369" r:id="rId1369" display="https://youtu.be/U4uZvB-avL0"/>
    <hyperlink ref="F1369" r:id="rId2" display="https://files.afu.se/Downloads/Transcripts/0%20-%20Government/USA%20-%20NASA%20Johnson/"/>
    <hyperlink ref="C1370" r:id="rId1370" display="https://youtu.be/YbXBYZDcJvI"/>
    <hyperlink ref="F1370" r:id="rId2" display="https://files.afu.se/Downloads/Transcripts/0%20-%20Government/USA%20-%20NASA%20Johnson/"/>
    <hyperlink ref="C1371" r:id="rId1371" display="https://youtu.be/UMCYt2bKCbI"/>
    <hyperlink ref="F1371" r:id="rId2" display="https://files.afu.se/Downloads/Transcripts/0%20-%20Government/USA%20-%20NASA%20Johnson/"/>
    <hyperlink ref="C1372" r:id="rId1372" display="https://youtu.be/LYYdOozMtEI"/>
    <hyperlink ref="F1372" r:id="rId2" display="https://files.afu.se/Downloads/Transcripts/0%20-%20Government/USA%20-%20NASA%20Johnson/"/>
    <hyperlink ref="C1373" r:id="rId1373" display="https://youtu.be/wJAiKZmunPQ"/>
    <hyperlink ref="F1373" r:id="rId2" display="https://files.afu.se/Downloads/Transcripts/0%20-%20Government/USA%20-%20NASA%20Johnson/"/>
    <hyperlink ref="C1374" r:id="rId1374" display="https://youtu.be/8jvIV8gEvuU"/>
    <hyperlink ref="F1374" r:id="rId2" display="https://files.afu.se/Downloads/Transcripts/0%20-%20Government/USA%20-%20NASA%20Johnson/"/>
    <hyperlink ref="C1375" r:id="rId1375" display="https://youtu.be/zCDe_7uiWMM"/>
    <hyperlink ref="F1375" r:id="rId2" display="https://files.afu.se/Downloads/Transcripts/0%20-%20Government/USA%20-%20NASA%20Johnson/"/>
    <hyperlink ref="C1376" r:id="rId1376" display="https://youtu.be/2hT-CRevst4"/>
    <hyperlink ref="F1376" r:id="rId2" display="https://files.afu.se/Downloads/Transcripts/0%20-%20Government/USA%20-%20NASA%20Johnson/"/>
    <hyperlink ref="C1377" r:id="rId1377" display="https://youtu.be/Yiv9W4K92XE"/>
    <hyperlink ref="F1377" r:id="rId2" display="https://files.afu.se/Downloads/Transcripts/0%20-%20Government/USA%20-%20NASA%20Johnson/"/>
    <hyperlink ref="C1378" r:id="rId1378" display="https://youtu.be/JAlnM06MnRA"/>
    <hyperlink ref="F1378" r:id="rId2" display="https://files.afu.se/Downloads/Transcripts/0%20-%20Government/USA%20-%20NASA%20Johnson/"/>
    <hyperlink ref="C1379" r:id="rId1379" display="https://youtu.be/V81_3biNHcA"/>
    <hyperlink ref="F1379" r:id="rId2" display="https://files.afu.se/Downloads/Transcripts/0%20-%20Government/USA%20-%20NASA%20Johnson/"/>
    <hyperlink ref="C1380" r:id="rId1380" display="https://youtu.be/PtJAumajur8"/>
    <hyperlink ref="F1380" r:id="rId2" display="https://files.afu.se/Downloads/Transcripts/0%20-%20Government/USA%20-%20NASA%20Johnson/"/>
    <hyperlink ref="C1381" r:id="rId1381" display="https://youtu.be/pRaZgSVnsNs"/>
    <hyperlink ref="F1381" r:id="rId2" display="https://files.afu.se/Downloads/Transcripts/0%20-%20Government/USA%20-%20NASA%20Johnson/"/>
    <hyperlink ref="C1382" r:id="rId1382" display="https://youtu.be/lu-tdAnBdmM"/>
    <hyperlink ref="F1382" r:id="rId2" display="https://files.afu.se/Downloads/Transcripts/0%20-%20Government/USA%20-%20NASA%20Johnson/"/>
    <hyperlink ref="C1383" r:id="rId1383" display="https://youtu.be/Gf9wxJf1tCA"/>
    <hyperlink ref="F1383" r:id="rId2" display="https://files.afu.se/Downloads/Transcripts/0%20-%20Government/USA%20-%20NASA%20Johnson/"/>
    <hyperlink ref="C1384" r:id="rId1384" display="https://youtu.be/vHqzMpCIoOo"/>
    <hyperlink ref="F1384" r:id="rId2" display="https://files.afu.se/Downloads/Transcripts/0%20-%20Government/USA%20-%20NASA%20Johnson/"/>
    <hyperlink ref="C1385" r:id="rId1385" display="https://youtu.be/MtUz5WfA2dw"/>
    <hyperlink ref="F1385" r:id="rId2" display="https://files.afu.se/Downloads/Transcripts/0%20-%20Government/USA%20-%20NASA%20Johnson/"/>
    <hyperlink ref="C1386" r:id="rId1386" display="https://youtu.be/AmGiRg9q-fU"/>
    <hyperlink ref="F1386" r:id="rId2" display="https://files.afu.se/Downloads/Transcripts/0%20-%20Government/USA%20-%20NASA%20Johnson/"/>
    <hyperlink ref="C1387" r:id="rId1387" display="https://youtu.be/uBMRYmP7Ves"/>
    <hyperlink ref="F1387" r:id="rId2" display="https://files.afu.se/Downloads/Transcripts/0%20-%20Government/USA%20-%20NASA%20Johnson/"/>
    <hyperlink ref="C1388" r:id="rId1388" display="https://youtu.be/RULgOizRL0I"/>
    <hyperlink ref="F1388" r:id="rId2" display="https://files.afu.se/Downloads/Transcripts/0%20-%20Government/USA%20-%20NASA%20Johnson/"/>
    <hyperlink ref="C1389" r:id="rId1389" display="https://youtu.be/V1eHWpOtWQw"/>
    <hyperlink ref="F1389" r:id="rId2" display="https://files.afu.se/Downloads/Transcripts/0%20-%20Government/USA%20-%20NASA%20Johnson/"/>
    <hyperlink ref="C1390" r:id="rId1390" display="https://youtu.be/0Lmsvr8VVwM"/>
    <hyperlink ref="F1390" r:id="rId2" display="https://files.afu.se/Downloads/Transcripts/0%20-%20Government/USA%20-%20NASA%20Johnson/"/>
    <hyperlink ref="C1391" r:id="rId1391" display="https://youtu.be/_5Af-tw8Nls"/>
    <hyperlink ref="F1391" r:id="rId2" display="https://files.afu.se/Downloads/Transcripts/0%20-%20Government/USA%20-%20NASA%20Johnson/"/>
    <hyperlink ref="C1392" r:id="rId1392" display="https://youtu.be/I1Fm7tG_sEg"/>
    <hyperlink ref="F1392" r:id="rId2" display="https://files.afu.se/Downloads/Transcripts/0%20-%20Government/USA%20-%20NASA%20Johnson/"/>
    <hyperlink ref="C1393" r:id="rId1393" display="https://youtu.be/ID9Yergj2TU"/>
    <hyperlink ref="F1393" r:id="rId2" display="https://files.afu.se/Downloads/Transcripts/0%20-%20Government/USA%20-%20NASA%20Johnson/"/>
    <hyperlink ref="C1394" r:id="rId1394" display="https://youtu.be/uncJcyNTzHU"/>
    <hyperlink ref="F1394" r:id="rId2" display="https://files.afu.se/Downloads/Transcripts/0%20-%20Government/USA%20-%20NASA%20Johnson/"/>
    <hyperlink ref="C1395" r:id="rId1395" display="https://youtu.be/KIpbafNpfQ0"/>
    <hyperlink ref="F1395" r:id="rId2" display="https://files.afu.se/Downloads/Transcripts/0%20-%20Government/USA%20-%20NASA%20Johnson/"/>
    <hyperlink ref="C1396" r:id="rId1396" display="https://youtu.be/R6Hm8tfWAfI"/>
    <hyperlink ref="F1396" r:id="rId2" display="https://files.afu.se/Downloads/Transcripts/0%20-%20Government/USA%20-%20NASA%20Johnson/"/>
    <hyperlink ref="C1397" r:id="rId1397" display="https://youtu.be/Uje647diAeQ"/>
    <hyperlink ref="F1397" r:id="rId2" display="https://files.afu.se/Downloads/Transcripts/0%20-%20Government/USA%20-%20NASA%20Johnson/"/>
    <hyperlink ref="C1398" r:id="rId1398" display="https://youtu.be/G6HSJZhizmY"/>
    <hyperlink ref="F1398" r:id="rId2" display="https://files.afu.se/Downloads/Transcripts/0%20-%20Government/USA%20-%20NASA%20Johnson/"/>
    <hyperlink ref="C1399" r:id="rId1399" display="https://youtu.be/Hfp_pMW8ygc"/>
    <hyperlink ref="F1399" r:id="rId2" display="https://files.afu.se/Downloads/Transcripts/0%20-%20Government/USA%20-%20NASA%20Johnson/"/>
    <hyperlink ref="C1400" r:id="rId1400" display="https://youtu.be/bh9kwPOoGw4"/>
    <hyperlink ref="F1400" r:id="rId2" display="https://files.afu.se/Downloads/Transcripts/0%20-%20Government/USA%20-%20NASA%20Johnson/"/>
    <hyperlink ref="C1401" r:id="rId1401" display="https://youtu.be/Wl3KxYwnW6I"/>
    <hyperlink ref="F1401" r:id="rId2" display="https://files.afu.se/Downloads/Transcripts/0%20-%20Government/USA%20-%20NASA%20Johnson/"/>
    <hyperlink ref="C1402" r:id="rId1402" display="https://youtu.be/BkP27YgDhN0"/>
    <hyperlink ref="F1402" r:id="rId2" display="https://files.afu.se/Downloads/Transcripts/0%20-%20Government/USA%20-%20NASA%20Johnson/"/>
    <hyperlink ref="C1403" r:id="rId1403" display="https://youtu.be/QdCs0aam-3g"/>
    <hyperlink ref="F1403" r:id="rId2" display="https://files.afu.se/Downloads/Transcripts/0%20-%20Government/USA%20-%20NASA%20Johnson/"/>
    <hyperlink ref="C1404" r:id="rId1404" display="https://youtu.be/0eORruDkl5I"/>
    <hyperlink ref="F1404" r:id="rId2" display="https://files.afu.se/Downloads/Transcripts/0%20-%20Government/USA%20-%20NASA%20Johnson/"/>
    <hyperlink ref="C1405" r:id="rId1405" display="https://youtu.be/YEjH4K6F5Co"/>
    <hyperlink ref="F1405" r:id="rId2" display="https://files.afu.se/Downloads/Transcripts/0%20-%20Government/USA%20-%20NASA%20Johnson/"/>
    <hyperlink ref="C1406" r:id="rId1406" display="https://youtu.be/aiq2NY_qvpc"/>
    <hyperlink ref="F1406" r:id="rId2" display="https://files.afu.se/Downloads/Transcripts/0%20-%20Government/USA%20-%20NASA%20Johnson/"/>
    <hyperlink ref="C1407" r:id="rId1407" display="https://youtu.be/Fttaf_rhpm4"/>
    <hyperlink ref="F1407" r:id="rId2" display="https://files.afu.se/Downloads/Transcripts/0%20-%20Government/USA%20-%20NASA%20Johnson/"/>
    <hyperlink ref="C1408" r:id="rId1408" display="https://youtu.be/KTAIRdBa83M"/>
    <hyperlink ref="F1408" r:id="rId2" display="https://files.afu.se/Downloads/Transcripts/0%20-%20Government/USA%20-%20NASA%20Johnson/"/>
    <hyperlink ref="C1409" r:id="rId1409" display="https://youtu.be/w6XumQvbKag"/>
    <hyperlink ref="F1409" r:id="rId2" display="https://files.afu.se/Downloads/Transcripts/0%20-%20Government/USA%20-%20NASA%20Johnson/"/>
    <hyperlink ref="C1410" r:id="rId1410" display="https://youtu.be/6hoEm9YdHUk"/>
    <hyperlink ref="F1410" r:id="rId2" display="https://files.afu.se/Downloads/Transcripts/0%20-%20Government/USA%20-%20NASA%20Johnson/"/>
    <hyperlink ref="C1411" r:id="rId1411" display="https://youtu.be/b4tGENRQcWU"/>
    <hyperlink ref="F1411" r:id="rId2" display="https://files.afu.se/Downloads/Transcripts/0%20-%20Government/USA%20-%20NASA%20Johnson/"/>
    <hyperlink ref="C1412" r:id="rId1412" display="https://youtu.be/SoeQeBX7iz8"/>
    <hyperlink ref="F1412" r:id="rId2" display="https://files.afu.se/Downloads/Transcripts/0%20-%20Government/USA%20-%20NASA%20Johnson/"/>
    <hyperlink ref="C1413" r:id="rId1413" display="https://youtu.be/CPc8UNODwLg"/>
    <hyperlink ref="F1413" r:id="rId2" display="https://files.afu.se/Downloads/Transcripts/0%20-%20Government/USA%20-%20NASA%20Johnson/"/>
    <hyperlink ref="C1414" r:id="rId1414" display="https://youtu.be/fOWLD2BEzJw"/>
    <hyperlink ref="F1414" r:id="rId2" display="https://files.afu.se/Downloads/Transcripts/0%20-%20Government/USA%20-%20NASA%20Johnson/"/>
    <hyperlink ref="C1415" r:id="rId1415" display="https://youtu.be/26QWMMT1c8Y"/>
    <hyperlink ref="F1415" r:id="rId2" display="https://files.afu.se/Downloads/Transcripts/0%20-%20Government/USA%20-%20NASA%20Johnson/"/>
    <hyperlink ref="C1416" r:id="rId1416" display="https://youtu.be/SgpU08WJm0c"/>
    <hyperlink ref="F1416" r:id="rId2" display="https://files.afu.se/Downloads/Transcripts/0%20-%20Government/USA%20-%20NASA%20Johnson/"/>
    <hyperlink ref="C1417" r:id="rId1417" display="https://youtu.be/80QOEveMssw"/>
    <hyperlink ref="F1417" r:id="rId2" display="https://files.afu.se/Downloads/Transcripts/0%20-%20Government/USA%20-%20NASA%20Johnson/"/>
    <hyperlink ref="C1418" r:id="rId1418" display="https://youtu.be/7o80sAi0lcs"/>
    <hyperlink ref="F1418" r:id="rId2" display="https://files.afu.se/Downloads/Transcripts/0%20-%20Government/USA%20-%20NASA%20Johnson/"/>
    <hyperlink ref="C1419" r:id="rId1419" display="https://youtu.be/jkg2-4RFXeM"/>
    <hyperlink ref="F1419" r:id="rId2" display="https://files.afu.se/Downloads/Transcripts/0%20-%20Government/USA%20-%20NASA%20Johnson/"/>
    <hyperlink ref="C1420" r:id="rId1420" display="https://youtu.be/jWoA9kpyNwM"/>
    <hyperlink ref="F1420" r:id="rId2" display="https://files.afu.se/Downloads/Transcripts/0%20-%20Government/USA%20-%20NASA%20Johnson/"/>
    <hyperlink ref="C1421" r:id="rId1421" display="https://youtu.be/WVIflt75KkY"/>
    <hyperlink ref="F1421" r:id="rId2" display="https://files.afu.se/Downloads/Transcripts/0%20-%20Government/USA%20-%20NASA%20Johnson/"/>
    <hyperlink ref="C1422" r:id="rId1422" display="https://youtu.be/alxWTxuW3jk"/>
    <hyperlink ref="F1422" r:id="rId2" display="https://files.afu.se/Downloads/Transcripts/0%20-%20Government/USA%20-%20NASA%20Johnson/"/>
    <hyperlink ref="C1423" r:id="rId1423" display="https://youtu.be/xC2wB93Wm7k"/>
    <hyperlink ref="F1423" r:id="rId2" display="https://files.afu.se/Downloads/Transcripts/0%20-%20Government/USA%20-%20NASA%20Johnson/"/>
    <hyperlink ref="C1424" r:id="rId1424" display="https://youtu.be/X9vOoXU56KI"/>
    <hyperlink ref="F1424" r:id="rId2" display="https://files.afu.se/Downloads/Transcripts/0%20-%20Government/USA%20-%20NASA%20Johnson/"/>
    <hyperlink ref="C1425" r:id="rId1425" display="https://youtu.be/j_RTo2Ti5VA"/>
    <hyperlink ref="F1425" r:id="rId2" display="https://files.afu.se/Downloads/Transcripts/0%20-%20Government/USA%20-%20NASA%20Johnson/"/>
    <hyperlink ref="C1426" r:id="rId1426" display="https://youtu.be/ANjy2RcEeGs"/>
    <hyperlink ref="F1426" r:id="rId2" display="https://files.afu.se/Downloads/Transcripts/0%20-%20Government/USA%20-%20NASA%20Johnson/"/>
    <hyperlink ref="C1427" r:id="rId1427" display="https://youtu.be/T2ua3zp3_1o"/>
    <hyperlink ref="F1427" r:id="rId2" display="https://files.afu.se/Downloads/Transcripts/0%20-%20Government/USA%20-%20NASA%20Johnson/"/>
    <hyperlink ref="C1428" r:id="rId1428" display="https://youtu.be/Iv1SxotNUH0"/>
    <hyperlink ref="F1428" r:id="rId2" display="https://files.afu.se/Downloads/Transcripts/0%20-%20Government/USA%20-%20NASA%20Johnson/"/>
    <hyperlink ref="C1429" r:id="rId1429" display="https://youtu.be/k3rx6zNL8G0"/>
    <hyperlink ref="F1429" r:id="rId2" display="https://files.afu.se/Downloads/Transcripts/0%20-%20Government/USA%20-%20NASA%20Johnson/"/>
    <hyperlink ref="C1430" r:id="rId1430" display="https://youtu.be/w4iOl61bgPk"/>
    <hyperlink ref="F1430" r:id="rId2" display="https://files.afu.se/Downloads/Transcripts/0%20-%20Government/USA%20-%20NASA%20Johnson/"/>
    <hyperlink ref="C1431" r:id="rId1431" display="https://youtu.be/R3_tQvmdeVI"/>
    <hyperlink ref="F1431" r:id="rId2" display="https://files.afu.se/Downloads/Transcripts/0%20-%20Government/USA%20-%20NASA%20Johnson/"/>
    <hyperlink ref="C1432" r:id="rId1432" display="https://youtu.be/dBaIu1f7_JQ"/>
    <hyperlink ref="F1432" r:id="rId2" display="https://files.afu.se/Downloads/Transcripts/0%20-%20Government/USA%20-%20NASA%20Johnson/"/>
    <hyperlink ref="C1433" r:id="rId1433" display="https://youtu.be/53TcxyN-gig"/>
    <hyperlink ref="F1433" r:id="rId2" display="https://files.afu.se/Downloads/Transcripts/0%20-%20Government/USA%20-%20NASA%20Johnson/"/>
    <hyperlink ref="C1434" r:id="rId1434" display="https://youtu.be/kbvKwmqqh58"/>
    <hyperlink ref="F1434" r:id="rId2" display="https://files.afu.se/Downloads/Transcripts/0%20-%20Government/USA%20-%20NASA%20Johnson/"/>
    <hyperlink ref="C1435" r:id="rId1435" display="https://youtu.be/KclZrn7oJkU"/>
    <hyperlink ref="F1435" r:id="rId2" display="https://files.afu.se/Downloads/Transcripts/0%20-%20Government/USA%20-%20NASA%20Johnson/"/>
    <hyperlink ref="C1436" r:id="rId1436" display="https://youtu.be/LO82R73Ocac"/>
    <hyperlink ref="F1436" r:id="rId2" display="https://files.afu.se/Downloads/Transcripts/0%20-%20Government/USA%20-%20NASA%20Johnson/"/>
    <hyperlink ref="C1437" r:id="rId1437" display="https://youtu.be/uPwyE3NdiNg"/>
    <hyperlink ref="F1437" r:id="rId2" display="https://files.afu.se/Downloads/Transcripts/0%20-%20Government/USA%20-%20NASA%20Johnson/"/>
    <hyperlink ref="C1438" r:id="rId1438" display="https://youtu.be/ERwU1lsOrj4"/>
    <hyperlink ref="F1438" r:id="rId2" display="https://files.afu.se/Downloads/Transcripts/0%20-%20Government/USA%20-%20NASA%20Johnson/"/>
    <hyperlink ref="C1439" r:id="rId1439" display="https://youtu.be/bjUFRXmRGgk"/>
    <hyperlink ref="F1439" r:id="rId2" display="https://files.afu.se/Downloads/Transcripts/0%20-%20Government/USA%20-%20NASA%20Johnson/"/>
    <hyperlink ref="C1440" r:id="rId1440" display="https://youtu.be/VnNUMlfSItU"/>
    <hyperlink ref="F1440" r:id="rId2" display="https://files.afu.se/Downloads/Transcripts/0%20-%20Government/USA%20-%20NASA%20Johnson/"/>
    <hyperlink ref="C1441" r:id="rId1441" display="https://youtu.be/V7VT2K8Tsvw"/>
    <hyperlink ref="F1441" r:id="rId2" display="https://files.afu.se/Downloads/Transcripts/0%20-%20Government/USA%20-%20NASA%20Johnson/"/>
    <hyperlink ref="C1442" r:id="rId1442" display="https://youtu.be/AetWW898AKk"/>
    <hyperlink ref="F1442" r:id="rId2" display="https://files.afu.se/Downloads/Transcripts/0%20-%20Government/USA%20-%20NASA%20Johnson/"/>
    <hyperlink ref="C1443" r:id="rId1443" display="https://youtu.be/TYUiSldeuIA"/>
    <hyperlink ref="F1443" r:id="rId2" display="https://files.afu.se/Downloads/Transcripts/0%20-%20Government/USA%20-%20NASA%20Johnson/"/>
    <hyperlink ref="C1444" r:id="rId1444" display="https://youtu.be/AGhXKh3HsyA"/>
    <hyperlink ref="F1444" r:id="rId2" display="https://files.afu.se/Downloads/Transcripts/0%20-%20Government/USA%20-%20NASA%20Johnson/"/>
    <hyperlink ref="C1445" r:id="rId1445" display="https://youtu.be/NLGWvEZ8mYU"/>
    <hyperlink ref="F1445" r:id="rId2" display="https://files.afu.se/Downloads/Transcripts/0%20-%20Government/USA%20-%20NASA%20Johnson/"/>
    <hyperlink ref="C1446" r:id="rId1446" display="https://youtu.be/QGnrYvrFCyA"/>
    <hyperlink ref="F1446" r:id="rId2" display="https://files.afu.se/Downloads/Transcripts/0%20-%20Government/USA%20-%20NASA%20Johnson/"/>
    <hyperlink ref="C1447" r:id="rId1447" display="https://youtu.be/354nLC3r6WA"/>
    <hyperlink ref="F1447" r:id="rId2" display="https://files.afu.se/Downloads/Transcripts/0%20-%20Government/USA%20-%20NASA%20Johnson/"/>
    <hyperlink ref="C1448" r:id="rId1448" display="https://youtu.be/HnkKXgjZHKA"/>
    <hyperlink ref="F1448" r:id="rId2" display="https://files.afu.se/Downloads/Transcripts/0%20-%20Government/USA%20-%20NASA%20Johnson/"/>
    <hyperlink ref="C1449" r:id="rId1449" display="https://youtu.be/vDqQhkeTwJc"/>
    <hyperlink ref="F1449" r:id="rId2" display="https://files.afu.se/Downloads/Transcripts/0%20-%20Government/USA%20-%20NASA%20Johnson/"/>
    <hyperlink ref="C1450" r:id="rId1450" display="https://youtu.be/gW0fcAukk7Q"/>
    <hyperlink ref="F1450" r:id="rId2" display="https://files.afu.se/Downloads/Transcripts/0%20-%20Government/USA%20-%20NASA%20Johnson/"/>
    <hyperlink ref="C1451" r:id="rId1451" display="https://youtu.be/u2LxBtjNWW4"/>
    <hyperlink ref="F1451" r:id="rId2" display="https://files.afu.se/Downloads/Transcripts/0%20-%20Government/USA%20-%20NASA%20Johnson/"/>
    <hyperlink ref="C1452" r:id="rId1452" display="https://youtu.be/bOdw2xYBj3g"/>
    <hyperlink ref="F1452" r:id="rId2" display="https://files.afu.se/Downloads/Transcripts/0%20-%20Government/USA%20-%20NASA%20Johnson/"/>
    <hyperlink ref="C1453" r:id="rId1453" display="https://youtu.be/czBwx2sbNqo"/>
    <hyperlink ref="F1453" r:id="rId2" display="https://files.afu.se/Downloads/Transcripts/0%20-%20Government/USA%20-%20NASA%20Johnson/"/>
    <hyperlink ref="C1454" r:id="rId1454" display="https://youtu.be/nW6oJqsnjY8"/>
    <hyperlink ref="F1454" r:id="rId2" display="https://files.afu.se/Downloads/Transcripts/0%20-%20Government/USA%20-%20NASA%20Johnson/"/>
    <hyperlink ref="C1455" r:id="rId1455" display="https://youtu.be/8s5pBS9WrMo"/>
    <hyperlink ref="F1455" r:id="rId2" display="https://files.afu.se/Downloads/Transcripts/0%20-%20Government/USA%20-%20NASA%20Johnson/"/>
    <hyperlink ref="C1456" r:id="rId1456" display="https://youtu.be/girHYV5KnZs"/>
    <hyperlink ref="F1456" r:id="rId2" display="https://files.afu.se/Downloads/Transcripts/0%20-%20Government/USA%20-%20NASA%20Johnson/"/>
    <hyperlink ref="C1457" r:id="rId1457" display="https://youtu.be/HTUuwmscQz0"/>
    <hyperlink ref="F1457" r:id="rId2" display="https://files.afu.se/Downloads/Transcripts/0%20-%20Government/USA%20-%20NASA%20Johnson/"/>
    <hyperlink ref="C1458" r:id="rId1458" display="https://youtu.be/CoscDrc0lLw"/>
    <hyperlink ref="F1458" r:id="rId2" display="https://files.afu.se/Downloads/Transcripts/0%20-%20Government/USA%20-%20NASA%20Johnson/"/>
    <hyperlink ref="C1459" r:id="rId1459" display="https://youtu.be/0sVdOAvUS4M"/>
    <hyperlink ref="F1459" r:id="rId2" display="https://files.afu.se/Downloads/Transcripts/0%20-%20Government/USA%20-%20NASA%20Johnson/"/>
    <hyperlink ref="C1460" r:id="rId1460" display="https://youtu.be/WaCK-JiD16Y"/>
    <hyperlink ref="F1460" r:id="rId2" display="https://files.afu.se/Downloads/Transcripts/0%20-%20Government/USA%20-%20NASA%20Johnson/"/>
    <hyperlink ref="C1461" r:id="rId1461" display="https://youtu.be/m4RyD18qyjA"/>
    <hyperlink ref="F1461" r:id="rId2" display="https://files.afu.se/Downloads/Transcripts/0%20-%20Government/USA%20-%20NASA%20Johnson/"/>
    <hyperlink ref="C1462" r:id="rId1462" display="https://youtu.be/o2Qsn3FYGwk"/>
    <hyperlink ref="F1462" r:id="rId2" display="https://files.afu.se/Downloads/Transcripts/0%20-%20Government/USA%20-%20NASA%20Johnson/"/>
    <hyperlink ref="C1463" r:id="rId1463" display="https://youtu.be/MYSKlDGJLUY"/>
    <hyperlink ref="F1463" r:id="rId2" display="https://files.afu.se/Downloads/Transcripts/0%20-%20Government/USA%20-%20NASA%20Johnson/"/>
    <hyperlink ref="C1464" r:id="rId1464" display="https://youtu.be/kjLlGkGmUY4"/>
    <hyperlink ref="F1464" r:id="rId2" display="https://files.afu.se/Downloads/Transcripts/0%20-%20Government/USA%20-%20NASA%20Johnson/"/>
    <hyperlink ref="C1465" r:id="rId1465" display="https://youtu.be/MAX4ELjNs9Y"/>
    <hyperlink ref="F1465" r:id="rId2" display="https://files.afu.se/Downloads/Transcripts/0%20-%20Government/USA%20-%20NASA%20Johnson/"/>
    <hyperlink ref="C1466" r:id="rId1466" display="https://youtu.be/O2KDr8IpLsc"/>
    <hyperlink ref="F1466" r:id="rId2" display="https://files.afu.se/Downloads/Transcripts/0%20-%20Government/USA%20-%20NASA%20Johnson/"/>
    <hyperlink ref="C1467" r:id="rId1467" display="https://youtu.be/VZEVxnSLFic"/>
    <hyperlink ref="F1467" r:id="rId2" display="https://files.afu.se/Downloads/Transcripts/0%20-%20Government/USA%20-%20NASA%20Johnson/"/>
    <hyperlink ref="C1468" r:id="rId1468" display="https://youtu.be/YI3dC0HvE2Q"/>
    <hyperlink ref="F1468" r:id="rId2" display="https://files.afu.se/Downloads/Transcripts/0%20-%20Government/USA%20-%20NASA%20Johnson/"/>
    <hyperlink ref="C1469" r:id="rId1469" display="https://youtu.be/cYFSKM1FobA"/>
    <hyperlink ref="F1469" r:id="rId2" display="https://files.afu.se/Downloads/Transcripts/0%20-%20Government/USA%20-%20NASA%20Johnson/"/>
    <hyperlink ref="C1470" r:id="rId1470" display="https://youtu.be/suFK3GY9voE"/>
    <hyperlink ref="F1470" r:id="rId2" display="https://files.afu.se/Downloads/Transcripts/0%20-%20Government/USA%20-%20NASA%20Johnson/"/>
    <hyperlink ref="C1471" r:id="rId1471" display="https://youtu.be/wjGylXnoVo8"/>
    <hyperlink ref="F1471" r:id="rId2" display="https://files.afu.se/Downloads/Transcripts/0%20-%20Government/USA%20-%20NASA%20Johnson/"/>
    <hyperlink ref="C1472" r:id="rId1472" display="https://youtu.be/JhnDJmY3hYY"/>
    <hyperlink ref="F1472" r:id="rId2" display="https://files.afu.se/Downloads/Transcripts/0%20-%20Government/USA%20-%20NASA%20Johnson/"/>
    <hyperlink ref="C1473" r:id="rId1473" display="https://youtu.be/WKkwrF6ngxQ"/>
    <hyperlink ref="F1473" r:id="rId2" display="https://files.afu.se/Downloads/Transcripts/0%20-%20Government/USA%20-%20NASA%20Johnson/"/>
    <hyperlink ref="C1474" r:id="rId1474" display="https://youtu.be/DlTcqHNHIFM"/>
    <hyperlink ref="F1474" r:id="rId2" display="https://files.afu.se/Downloads/Transcripts/0%20-%20Government/USA%20-%20NASA%20Johnson/"/>
    <hyperlink ref="C1475" r:id="rId1475" display="https://youtu.be/bziJYKOL-_U"/>
    <hyperlink ref="F1475" r:id="rId2" display="https://files.afu.se/Downloads/Transcripts/0%20-%20Government/USA%20-%20NASA%20Johnson/"/>
    <hyperlink ref="C1476" r:id="rId1476" display="https://youtu.be/ia3IN-c_frg"/>
    <hyperlink ref="F1476" r:id="rId2" display="https://files.afu.se/Downloads/Transcripts/0%20-%20Government/USA%20-%20NASA%20Johnson/"/>
    <hyperlink ref="C1477" r:id="rId1477" display="https://youtu.be/F8AHLyOKwAU"/>
    <hyperlink ref="F1477" r:id="rId2" display="https://files.afu.se/Downloads/Transcripts/0%20-%20Government/USA%20-%20NASA%20Johnson/"/>
    <hyperlink ref="C1478" r:id="rId1478" display="https://youtu.be/MbEjFGeazOo"/>
    <hyperlink ref="F1478" r:id="rId2" display="https://files.afu.se/Downloads/Transcripts/0%20-%20Government/USA%20-%20NASA%20Johnson/"/>
    <hyperlink ref="C1479" r:id="rId1479" display="https://youtu.be/PjddUTgHkCo"/>
    <hyperlink ref="F1479" r:id="rId2" display="https://files.afu.se/Downloads/Transcripts/0%20-%20Government/USA%20-%20NASA%20Johnson/"/>
    <hyperlink ref="C1480" r:id="rId1480" display="https://youtu.be/cOybEqMmmNs"/>
    <hyperlink ref="F1480" r:id="rId2" display="https://files.afu.se/Downloads/Transcripts/0%20-%20Government/USA%20-%20NASA%20Johnson/"/>
    <hyperlink ref="C1481" r:id="rId1481" display="https://youtu.be/eRHbtQI5S1Y"/>
    <hyperlink ref="F1481" r:id="rId2" display="https://files.afu.se/Downloads/Transcripts/0%20-%20Government/USA%20-%20NASA%20Johnson/"/>
    <hyperlink ref="C1482" r:id="rId1482" display="https://youtu.be/gaqy8L95Ztg"/>
    <hyperlink ref="F1482" r:id="rId2" display="https://files.afu.se/Downloads/Transcripts/0%20-%20Government/USA%20-%20NASA%20Johnson/"/>
    <hyperlink ref="C1483" r:id="rId1483" display="https://youtu.be/eb-NpnxFsyU"/>
    <hyperlink ref="F1483" r:id="rId2" display="https://files.afu.se/Downloads/Transcripts/0%20-%20Government/USA%20-%20NASA%20Johnson/"/>
    <hyperlink ref="C1484" r:id="rId1484" display="https://youtu.be/eo7k3Hldkjw"/>
    <hyperlink ref="F1484" r:id="rId2" display="https://files.afu.se/Downloads/Transcripts/0%20-%20Government/USA%20-%20NASA%20Johnson/"/>
    <hyperlink ref="C1485" r:id="rId1485" display="https://youtu.be/mD-AlAI4Ils"/>
    <hyperlink ref="F1485" r:id="rId2" display="https://files.afu.se/Downloads/Transcripts/0%20-%20Government/USA%20-%20NASA%20Johnson/"/>
    <hyperlink ref="C1486" r:id="rId1486" display="https://youtu.be/Q-Gn66sZ8Oc"/>
    <hyperlink ref="F1486" r:id="rId2" display="https://files.afu.se/Downloads/Transcripts/0%20-%20Government/USA%20-%20NASA%20Johnson/"/>
    <hyperlink ref="C1487" r:id="rId1487" display="https://youtu.be/JfPbcEWP4WI"/>
    <hyperlink ref="F1487" r:id="rId2" display="https://files.afu.se/Downloads/Transcripts/0%20-%20Government/USA%20-%20NASA%20Johnson/"/>
    <hyperlink ref="C1488" r:id="rId1488" display="https://youtu.be/zgX920FKeew"/>
    <hyperlink ref="F1488" r:id="rId2" display="https://files.afu.se/Downloads/Transcripts/0%20-%20Government/USA%20-%20NASA%20Johnson/"/>
    <hyperlink ref="C1489" r:id="rId1489" display="https://youtu.be/2AwUnkrqNyw"/>
    <hyperlink ref="F1489" r:id="rId2" display="https://files.afu.se/Downloads/Transcripts/0%20-%20Government/USA%20-%20NASA%20Johnson/"/>
    <hyperlink ref="C1490" r:id="rId1490" display="https://youtu.be/rx_dj8u3Pvg"/>
    <hyperlink ref="F1490" r:id="rId2" display="https://files.afu.se/Downloads/Transcripts/0%20-%20Government/USA%20-%20NASA%20Johnson/"/>
    <hyperlink ref="C1491" r:id="rId1491" display="https://youtu.be/JpBHePRGKek"/>
    <hyperlink ref="F1491" r:id="rId2" display="https://files.afu.se/Downloads/Transcripts/0%20-%20Government/USA%20-%20NASA%20Johnson/"/>
    <hyperlink ref="C1492" r:id="rId1492" display="https://youtu.be/ChrJJZDt14k"/>
    <hyperlink ref="F1492" r:id="rId2" display="https://files.afu.se/Downloads/Transcripts/0%20-%20Government/USA%20-%20NASA%20Johnson/"/>
    <hyperlink ref="C1493" r:id="rId1493" display="https://youtu.be/4VxPDThB1MI"/>
    <hyperlink ref="F1493" r:id="rId2" display="https://files.afu.se/Downloads/Transcripts/0%20-%20Government/USA%20-%20NASA%20Johnson/"/>
    <hyperlink ref="C1494" r:id="rId1494" display="https://youtu.be/Yxf6qSZA10o"/>
    <hyperlink ref="F1494" r:id="rId2" display="https://files.afu.se/Downloads/Transcripts/0%20-%20Government/USA%20-%20NASA%20Johnson/"/>
    <hyperlink ref="C1495" r:id="rId1495" display="https://youtu.be/ZBdzOjtWNFQ"/>
    <hyperlink ref="F1495" r:id="rId2" display="https://files.afu.se/Downloads/Transcripts/0%20-%20Government/USA%20-%20NASA%20Johnson/"/>
    <hyperlink ref="C1496" r:id="rId1496" display="https://youtu.be/FXHZE3CiJQs"/>
    <hyperlink ref="F1496" r:id="rId2" display="https://files.afu.se/Downloads/Transcripts/0%20-%20Government/USA%20-%20NASA%20Johnson/"/>
    <hyperlink ref="C1497" r:id="rId1497" display="https://youtu.be/Z2qtIfuoyig"/>
    <hyperlink ref="F1497" r:id="rId2" display="https://files.afu.se/Downloads/Transcripts/0%20-%20Government/USA%20-%20NASA%20Johnson/"/>
    <hyperlink ref="C1498" r:id="rId1498" display="https://youtu.be/BNgfHYZNybQ"/>
    <hyperlink ref="F1498" r:id="rId2" display="https://files.afu.se/Downloads/Transcripts/0%20-%20Government/USA%20-%20NASA%20Johnson/"/>
    <hyperlink ref="C1499" r:id="rId1499" display="https://youtu.be/TSu4ZHe772U"/>
    <hyperlink ref="F1499" r:id="rId2" display="https://files.afu.se/Downloads/Transcripts/0%20-%20Government/USA%20-%20NASA%20Johnson/"/>
    <hyperlink ref="C1500" r:id="rId1500" display="https://youtu.be/wlMGcpRo_dQ"/>
    <hyperlink ref="F1500" r:id="rId2" display="https://files.afu.se/Downloads/Transcripts/0%20-%20Government/USA%20-%20NASA%20Johnson/"/>
    <hyperlink ref="C1501" r:id="rId1501" display="https://youtu.be/fsqLLgAkGuE"/>
    <hyperlink ref="F1501" r:id="rId2" display="https://files.afu.se/Downloads/Transcripts/0%20-%20Government/USA%20-%20NASA%20Johnson/"/>
    <hyperlink ref="C1502" r:id="rId1502" display="https://youtu.be/CNsuNsqse4E"/>
    <hyperlink ref="F1502" r:id="rId2" display="https://files.afu.se/Downloads/Transcripts/0%20-%20Government/USA%20-%20NASA%20Johnson/"/>
    <hyperlink ref="C1503" r:id="rId1503" display="https://youtu.be/ajlTxozr9w0"/>
    <hyperlink ref="F1503" r:id="rId2" display="https://files.afu.se/Downloads/Transcripts/0%20-%20Government/USA%20-%20NASA%20Johnson/"/>
    <hyperlink ref="C1504" r:id="rId1504" display="https://youtu.be/ChDXe1BqKuY"/>
    <hyperlink ref="F1504" r:id="rId2" display="https://files.afu.se/Downloads/Transcripts/0%20-%20Government/USA%20-%20NASA%20Johnson/"/>
    <hyperlink ref="C1505" r:id="rId1505" display="https://youtu.be/3oNIadLKexM"/>
    <hyperlink ref="F1505" r:id="rId2" display="https://files.afu.se/Downloads/Transcripts/0%20-%20Government/USA%20-%20NASA%20Johnson/"/>
    <hyperlink ref="C1506" r:id="rId1506" display="https://youtu.be/XE3xjwXy1Fg"/>
    <hyperlink ref="F1506" r:id="rId2" display="https://files.afu.se/Downloads/Transcripts/0%20-%20Government/USA%20-%20NASA%20Johnson/"/>
    <hyperlink ref="C1507" r:id="rId1507" display="https://youtu.be/TOAOh-3et-s"/>
    <hyperlink ref="F1507" r:id="rId2" display="https://files.afu.se/Downloads/Transcripts/0%20-%20Government/USA%20-%20NASA%20Johnson/"/>
    <hyperlink ref="C1508" r:id="rId1508" display="https://youtu.be/2h4YXhle0Tk"/>
    <hyperlink ref="F1508" r:id="rId2" display="https://files.afu.se/Downloads/Transcripts/0%20-%20Government/USA%20-%20NASA%20Johnson/"/>
    <hyperlink ref="C1509" r:id="rId1509" display="https://youtu.be/NUK5Ei857bM"/>
    <hyperlink ref="F1509" r:id="rId2" display="https://files.afu.se/Downloads/Transcripts/0%20-%20Government/USA%20-%20NASA%20Johnson/"/>
    <hyperlink ref="C1510" r:id="rId1510" display="https://youtu.be/Q99DaXJdErk"/>
    <hyperlink ref="F1510" r:id="rId2" display="https://files.afu.se/Downloads/Transcripts/0%20-%20Government/USA%20-%20NASA%20Johnson/"/>
    <hyperlink ref="C1511" r:id="rId1511" display="https://youtu.be/iUyu7W0XuX0"/>
    <hyperlink ref="F1511" r:id="rId2" display="https://files.afu.se/Downloads/Transcripts/0%20-%20Government/USA%20-%20NASA%20Johnson/"/>
    <hyperlink ref="C1512" r:id="rId1512" display="https://youtu.be/BXGH4-QqypE"/>
    <hyperlink ref="F1512" r:id="rId2" display="https://files.afu.se/Downloads/Transcripts/0%20-%20Government/USA%20-%20NASA%20Johnson/"/>
    <hyperlink ref="C1513" r:id="rId1513" display="https://youtu.be/1fuALI89ebo"/>
    <hyperlink ref="F1513" r:id="rId2" display="https://files.afu.se/Downloads/Transcripts/0%20-%20Government/USA%20-%20NASA%20Johnson/"/>
    <hyperlink ref="C1514" r:id="rId1514" display="https://youtu.be/X5X9GJxaJB4"/>
    <hyperlink ref="F1514" r:id="rId2" display="https://files.afu.se/Downloads/Transcripts/0%20-%20Government/USA%20-%20NASA%20Johnson/"/>
    <hyperlink ref="C1515" r:id="rId1515" display="https://youtu.be/wXBlbQCdeaQ"/>
    <hyperlink ref="F1515" r:id="rId2" display="https://files.afu.se/Downloads/Transcripts/0%20-%20Government/USA%20-%20NASA%20Johnson/"/>
    <hyperlink ref="C1516" r:id="rId1516" display="https://youtu.be/mAX67AfvD9A"/>
    <hyperlink ref="F1516" r:id="rId2" display="https://files.afu.se/Downloads/Transcripts/0%20-%20Government/USA%20-%20NASA%20Johnson/"/>
    <hyperlink ref="C1517" r:id="rId1517" display="https://youtu.be/vf3dBiAm0KE"/>
    <hyperlink ref="F1517" r:id="rId2" display="https://files.afu.se/Downloads/Transcripts/0%20-%20Government/USA%20-%20NASA%20Johnson/"/>
    <hyperlink ref="C1518" r:id="rId1518" display="https://youtu.be/SGdkgV0o8xg"/>
    <hyperlink ref="F1518" r:id="rId2" display="https://files.afu.se/Downloads/Transcripts/0%20-%20Government/USA%20-%20NASA%20Johnson/"/>
    <hyperlink ref="C1519" r:id="rId1519" display="https://youtu.be/yR6VnGvWFks"/>
    <hyperlink ref="F1519" r:id="rId2" display="https://files.afu.se/Downloads/Transcripts/0%20-%20Government/USA%20-%20NASA%20Johnson/"/>
    <hyperlink ref="C1520" r:id="rId1520" display="https://youtu.be/df1ck6RjdYc"/>
    <hyperlink ref="F1520" r:id="rId2" display="https://files.afu.se/Downloads/Transcripts/0%20-%20Government/USA%20-%20NASA%20Johnson/"/>
    <hyperlink ref="C1521" r:id="rId1521" display="https://youtu.be/m-vwZ2ybdMg"/>
    <hyperlink ref="F1521" r:id="rId2" display="https://files.afu.se/Downloads/Transcripts/0%20-%20Government/USA%20-%20NASA%20Johnson/"/>
    <hyperlink ref="C1522" r:id="rId1522" display="https://youtu.be/V3XxFX7Hhk0"/>
    <hyperlink ref="F1522" r:id="rId2" display="https://files.afu.se/Downloads/Transcripts/0%20-%20Government/USA%20-%20NASA%20Johnson/"/>
    <hyperlink ref="C1523" r:id="rId1523" display="https://youtu.be/y4mVmXeefBw"/>
    <hyperlink ref="F1523" r:id="rId2" display="https://files.afu.se/Downloads/Transcripts/0%20-%20Government/USA%20-%20NASA%20Johnson/"/>
    <hyperlink ref="C1524" r:id="rId1524" display="https://youtu.be/ZDGF6OhTtr0"/>
    <hyperlink ref="F1524" r:id="rId2" display="https://files.afu.se/Downloads/Transcripts/0%20-%20Government/USA%20-%20NASA%20Johnson/"/>
    <hyperlink ref="C1525" r:id="rId1525" display="https://youtu.be/5fkvR9G4HWM"/>
    <hyperlink ref="F1525" r:id="rId2" display="https://files.afu.se/Downloads/Transcripts/0%20-%20Government/USA%20-%20NASA%20Johnson/"/>
    <hyperlink ref="C1526" r:id="rId1526" display="https://youtu.be/AcvJfX24KoA"/>
    <hyperlink ref="F1526" r:id="rId2" display="https://files.afu.se/Downloads/Transcripts/0%20-%20Government/USA%20-%20NASA%20Johnson/"/>
    <hyperlink ref="C1527" r:id="rId1527" display="https://youtu.be/k8eI-D_qQg0"/>
    <hyperlink ref="F1527" r:id="rId2" display="https://files.afu.se/Downloads/Transcripts/0%20-%20Government/USA%20-%20NASA%20Johnson/"/>
    <hyperlink ref="C1528" r:id="rId1528" display="https://youtu.be/ZIr7XmJ0WS4"/>
    <hyperlink ref="F1528" r:id="rId2" display="https://files.afu.se/Downloads/Transcripts/0%20-%20Government/USA%20-%20NASA%20Johnson/"/>
    <hyperlink ref="C1529" r:id="rId1529" display="https://youtu.be/q6uGES6CVYo"/>
    <hyperlink ref="F1529" r:id="rId2" display="https://files.afu.se/Downloads/Transcripts/0%20-%20Government/USA%20-%20NASA%20Johnson/"/>
    <hyperlink ref="C1530" r:id="rId1530" display="https://youtu.be/b42WNnKVS2A"/>
    <hyperlink ref="F1530" r:id="rId2" display="https://files.afu.se/Downloads/Transcripts/0%20-%20Government/USA%20-%20NASA%20Johnson/"/>
    <hyperlink ref="C1531" r:id="rId1531" display="https://youtu.be/8G3-3gP6h98"/>
    <hyperlink ref="F1531" r:id="rId2" display="https://files.afu.se/Downloads/Transcripts/0%20-%20Government/USA%20-%20NASA%20Johnson/"/>
    <hyperlink ref="C1532" r:id="rId1532" display="https://youtu.be/Zy5iLOGMiUc"/>
    <hyperlink ref="F1532" r:id="rId2" display="https://files.afu.se/Downloads/Transcripts/0%20-%20Government/USA%20-%20NASA%20Johnson/"/>
    <hyperlink ref="C1533" r:id="rId1533" display="https://youtu.be/rveJ_STbBjw"/>
    <hyperlink ref="F1533" r:id="rId2" display="https://files.afu.se/Downloads/Transcripts/0%20-%20Government/USA%20-%20NASA%20Johnson/"/>
    <hyperlink ref="C1534" r:id="rId1534" display="https://youtu.be/FZ1xCAFasRA"/>
    <hyperlink ref="F1534" r:id="rId2" display="https://files.afu.se/Downloads/Transcripts/0%20-%20Government/USA%20-%20NASA%20Johnson/"/>
    <hyperlink ref="C1535" r:id="rId1535" display="https://youtu.be/RkNN1nVLhag"/>
    <hyperlink ref="F1535" r:id="rId2" display="https://files.afu.se/Downloads/Transcripts/0%20-%20Government/USA%20-%20NASA%20Johnson/"/>
    <hyperlink ref="C1536" r:id="rId1536" display="https://youtu.be/_Oo9Hm6p3cI"/>
    <hyperlink ref="F1536" r:id="rId2" display="https://files.afu.se/Downloads/Transcripts/0%20-%20Government/USA%20-%20NASA%20Johnson/"/>
    <hyperlink ref="C1537" r:id="rId1537" display="https://youtu.be/iIcMvn1g-NA"/>
    <hyperlink ref="F1537" r:id="rId2" display="https://files.afu.se/Downloads/Transcripts/0%20-%20Government/USA%20-%20NASA%20Johnson/"/>
    <hyperlink ref="C1538" r:id="rId1538" display="https://youtu.be/0zLp1bINKW4"/>
    <hyperlink ref="F1538" r:id="rId2" display="https://files.afu.se/Downloads/Transcripts/0%20-%20Government/USA%20-%20NASA%20Johnson/"/>
    <hyperlink ref="C1539" r:id="rId1539" display="https://youtu.be/W8RtvWccU-E"/>
    <hyperlink ref="F1539" r:id="rId2" display="https://files.afu.se/Downloads/Transcripts/0%20-%20Government/USA%20-%20NASA%20Johnson/"/>
    <hyperlink ref="C1540" r:id="rId1540" display="https://youtu.be/MtWzuZ6WZ8E"/>
    <hyperlink ref="F1540" r:id="rId2" display="https://files.afu.se/Downloads/Transcripts/0%20-%20Government/USA%20-%20NASA%20Johnson/"/>
    <hyperlink ref="C1541" r:id="rId1541" display="https://youtu.be/UAApvdPJAcY"/>
    <hyperlink ref="F1541" r:id="rId2" display="https://files.afu.se/Downloads/Transcripts/0%20-%20Government/USA%20-%20NASA%20Johnson/"/>
    <hyperlink ref="C1542" r:id="rId1542" display="https://youtu.be/PuF6x6S9D28"/>
    <hyperlink ref="F1542" r:id="rId2" display="https://files.afu.se/Downloads/Transcripts/0%20-%20Government/USA%20-%20NASA%20Johnson/"/>
    <hyperlink ref="C1543" r:id="rId1543" display="https://youtu.be/Z3MGF3ASGU0"/>
    <hyperlink ref="F1543" r:id="rId2" display="https://files.afu.se/Downloads/Transcripts/0%20-%20Government/USA%20-%20NASA%20Johnson/"/>
    <hyperlink ref="C1544" r:id="rId1544" display="https://youtu.be/Kqj81JN84Es"/>
    <hyperlink ref="F1544" r:id="rId2" display="https://files.afu.se/Downloads/Transcripts/0%20-%20Government/USA%20-%20NASA%20Johnson/"/>
    <hyperlink ref="C1545" r:id="rId1545" display="https://youtu.be/LCbRxZrlGso"/>
    <hyperlink ref="F1545" r:id="rId2" display="https://files.afu.se/Downloads/Transcripts/0%20-%20Government/USA%20-%20NASA%20Johnson/"/>
    <hyperlink ref="C1546" r:id="rId1546" display="https://youtu.be/xFPm4G3jjwc"/>
    <hyperlink ref="F1546" r:id="rId2" display="https://files.afu.se/Downloads/Transcripts/0%20-%20Government/USA%20-%20NASA%20Johnson/"/>
    <hyperlink ref="C1547" r:id="rId1547" display="https://youtu.be/tmj3z-P-V9Y"/>
    <hyperlink ref="F1547" r:id="rId2" display="https://files.afu.se/Downloads/Transcripts/0%20-%20Government/USA%20-%20NASA%20Johnson/"/>
    <hyperlink ref="C1548" r:id="rId1548" display="https://youtu.be/TMQw8u4Ys0c"/>
    <hyperlink ref="F1548" r:id="rId2" display="https://files.afu.se/Downloads/Transcripts/0%20-%20Government/USA%20-%20NASA%20Johnson/"/>
    <hyperlink ref="C1549" r:id="rId1549" display="https://youtu.be/6-x4Z8JyKY4"/>
    <hyperlink ref="F1549" r:id="rId2" display="https://files.afu.se/Downloads/Transcripts/0%20-%20Government/USA%20-%20NASA%20Johnson/"/>
    <hyperlink ref="C1550" r:id="rId1550" display="https://youtu.be/_lGw0MXkIss"/>
    <hyperlink ref="F1550" r:id="rId2" display="https://files.afu.se/Downloads/Transcripts/0%20-%20Government/USA%20-%20NASA%20Johnson/"/>
    <hyperlink ref="C1551" r:id="rId1551" display="https://youtu.be/8JE8Nk96wWE"/>
    <hyperlink ref="F1551" r:id="rId2" display="https://files.afu.se/Downloads/Transcripts/0%20-%20Government/USA%20-%20NASA%20Johnson/"/>
    <hyperlink ref="C1552" r:id="rId1552" display="https://youtu.be/jPqVGsilZGQ"/>
    <hyperlink ref="F1552" r:id="rId2" display="https://files.afu.se/Downloads/Transcripts/0%20-%20Government/USA%20-%20NASA%20Johnson/"/>
    <hyperlink ref="C1553" r:id="rId1553" display="https://youtu.be/MyNutgR-BJo"/>
    <hyperlink ref="F1553" r:id="rId2" display="https://files.afu.se/Downloads/Transcripts/0%20-%20Government/USA%20-%20NASA%20Johnson/"/>
    <hyperlink ref="C1554" r:id="rId1554" display="https://youtu.be/JlM3kfxEVdg"/>
    <hyperlink ref="F1554" r:id="rId2" display="https://files.afu.se/Downloads/Transcripts/0%20-%20Government/USA%20-%20NASA%20Johnson/"/>
    <hyperlink ref="C1555" r:id="rId1555" display="https://youtu.be/rQ9vJ5BCjUc"/>
    <hyperlink ref="F1555" r:id="rId2" display="https://files.afu.se/Downloads/Transcripts/0%20-%20Government/USA%20-%20NASA%20Johnson/"/>
    <hyperlink ref="C1556" r:id="rId1556" display="https://youtu.be/cM4qKfNuFX4"/>
    <hyperlink ref="F1556" r:id="rId2" display="https://files.afu.se/Downloads/Transcripts/0%20-%20Government/USA%20-%20NASA%20Johnson/"/>
    <hyperlink ref="C1557" r:id="rId1557" display="https://youtu.be/QteZk_WsJ1I"/>
    <hyperlink ref="F1557" r:id="rId2" display="https://files.afu.se/Downloads/Transcripts/0%20-%20Government/USA%20-%20NASA%20Johnson/"/>
    <hyperlink ref="C1558" r:id="rId1558" display="https://youtu.be/G62Mnt9bmcI"/>
    <hyperlink ref="F1558" r:id="rId2" display="https://files.afu.se/Downloads/Transcripts/0%20-%20Government/USA%20-%20NASA%20Johnson/"/>
    <hyperlink ref="C1559" r:id="rId1559" display="https://youtu.be/foFz0aQUYps"/>
    <hyperlink ref="F1559" r:id="rId2" display="https://files.afu.se/Downloads/Transcripts/0%20-%20Government/USA%20-%20NASA%20Johnson/"/>
    <hyperlink ref="C1560" r:id="rId1560" display="https://youtu.be/SA-lxPubG8k"/>
    <hyperlink ref="F1560" r:id="rId2" display="https://files.afu.se/Downloads/Transcripts/0%20-%20Government/USA%20-%20NASA%20Johnson/"/>
    <hyperlink ref="C1561" r:id="rId1561" display="https://youtu.be/2XGjhl1c6fg"/>
    <hyperlink ref="F1561" r:id="rId2" display="https://files.afu.se/Downloads/Transcripts/0%20-%20Government/USA%20-%20NASA%20Johnson/"/>
    <hyperlink ref="C1562" r:id="rId1562" display="https://youtu.be/qZxXh0Yh5gI"/>
    <hyperlink ref="F1562" r:id="rId2" display="https://files.afu.se/Downloads/Transcripts/0%20-%20Government/USA%20-%20NASA%20Johnson/"/>
    <hyperlink ref="C1563" r:id="rId1563" display="https://youtu.be/wLZyqBKhDPo"/>
    <hyperlink ref="F1563" r:id="rId2" display="https://files.afu.se/Downloads/Transcripts/0%20-%20Government/USA%20-%20NASA%20Johnson/"/>
    <hyperlink ref="C1564" r:id="rId1564" display="https://youtu.be/fAMqb77Dmzk"/>
    <hyperlink ref="F1564" r:id="rId2" display="https://files.afu.se/Downloads/Transcripts/0%20-%20Government/USA%20-%20NASA%20Johnson/"/>
    <hyperlink ref="C1565" r:id="rId1565" display="https://youtu.be/KmSRAh7IElk"/>
    <hyperlink ref="F1565" r:id="rId2" display="https://files.afu.se/Downloads/Transcripts/0%20-%20Government/USA%20-%20NASA%20Johnson/"/>
    <hyperlink ref="C1566" r:id="rId1566" display="https://youtu.be/5tguE8BEOCI"/>
    <hyperlink ref="F1566" r:id="rId2" display="https://files.afu.se/Downloads/Transcripts/0%20-%20Government/USA%20-%20NASA%20Johnson/"/>
    <hyperlink ref="C1567" r:id="rId1567" display="https://youtu.be/ieR7yhigASg"/>
    <hyperlink ref="F1567" r:id="rId2" display="https://files.afu.se/Downloads/Transcripts/0%20-%20Government/USA%20-%20NASA%20Johnson/"/>
    <hyperlink ref="C1568" r:id="rId1568" display="https://youtu.be/5nSH4KzsJ2I"/>
    <hyperlink ref="F1568" r:id="rId2" display="https://files.afu.se/Downloads/Transcripts/0%20-%20Government/USA%20-%20NASA%20Johnson/"/>
    <hyperlink ref="C1569" r:id="rId1569" display="https://youtu.be/inJ18-aK-3Q"/>
    <hyperlink ref="F1569" r:id="rId2" display="https://files.afu.se/Downloads/Transcripts/0%20-%20Government/USA%20-%20NASA%20Johnson/"/>
    <hyperlink ref="C1570" r:id="rId1570" display="https://youtu.be/UxlWfjjNUcE"/>
    <hyperlink ref="F1570" r:id="rId2" display="https://files.afu.se/Downloads/Transcripts/0%20-%20Government/USA%20-%20NASA%20Johnson/"/>
    <hyperlink ref="C1571" r:id="rId1571" display="https://youtu.be/1WHdQ7QOeiE"/>
    <hyperlink ref="F1571" r:id="rId2" display="https://files.afu.se/Downloads/Transcripts/0%20-%20Government/USA%20-%20NASA%20Johnson/"/>
    <hyperlink ref="C1572" r:id="rId1572" display="https://youtu.be/18aES_kmF9k"/>
    <hyperlink ref="F1572" r:id="rId2" display="https://files.afu.se/Downloads/Transcripts/0%20-%20Government/USA%20-%20NASA%20Johnson/"/>
    <hyperlink ref="C1573" r:id="rId1573" display="https://youtu.be/zMYkjggNvC0"/>
    <hyperlink ref="F1573" r:id="rId2" display="https://files.afu.se/Downloads/Transcripts/0%20-%20Government/USA%20-%20NASA%20Johnson/"/>
    <hyperlink ref="C1574" r:id="rId1574" display="https://youtu.be/Me0_BFPoJl4"/>
    <hyperlink ref="F1574" r:id="rId2" display="https://files.afu.se/Downloads/Transcripts/0%20-%20Government/USA%20-%20NASA%20Johnson/"/>
    <hyperlink ref="C1575" r:id="rId1575" display="https://youtu.be/nRahIBmnHXY"/>
    <hyperlink ref="F1575" r:id="rId2" display="https://files.afu.se/Downloads/Transcripts/0%20-%20Government/USA%20-%20NASA%20Johnson/"/>
    <hyperlink ref="C1576" r:id="rId1576" display="https://youtu.be/XH4VVpfr9Bs"/>
    <hyperlink ref="F1576" r:id="rId2" display="https://files.afu.se/Downloads/Transcripts/0%20-%20Government/USA%20-%20NASA%20Johnson/"/>
    <hyperlink ref="C1577" r:id="rId1577" display="https://youtu.be/ykVJQnFrcro"/>
    <hyperlink ref="F1577" r:id="rId2" display="https://files.afu.se/Downloads/Transcripts/0%20-%20Government/USA%20-%20NASA%20Johnson/"/>
    <hyperlink ref="C1578" r:id="rId1578" display="https://youtu.be/6BAy2fiBElU"/>
    <hyperlink ref="F1578" r:id="rId2" display="https://files.afu.se/Downloads/Transcripts/0%20-%20Government/USA%20-%20NASA%20Johnson/"/>
    <hyperlink ref="C1579" r:id="rId1579" display="https://youtu.be/p5ag-Uj9C7U"/>
    <hyperlink ref="F1579" r:id="rId2" display="https://files.afu.se/Downloads/Transcripts/0%20-%20Government/USA%20-%20NASA%20Johnson/"/>
    <hyperlink ref="C1580" r:id="rId1580" display="https://youtu.be/qpfo302v45Y"/>
    <hyperlink ref="F1580" r:id="rId2" display="https://files.afu.se/Downloads/Transcripts/0%20-%20Government/USA%20-%20NASA%20Johnson/"/>
    <hyperlink ref="C1581" r:id="rId1581" display="https://youtu.be/ymxhMZF7Gqs"/>
    <hyperlink ref="F1581" r:id="rId2" display="https://files.afu.se/Downloads/Transcripts/0%20-%20Government/USA%20-%20NASA%20Johnson/"/>
    <hyperlink ref="C1582" r:id="rId1582" display="https://youtu.be/LlRvaqULWCU"/>
    <hyperlink ref="F1582" r:id="rId2" display="https://files.afu.se/Downloads/Transcripts/0%20-%20Government/USA%20-%20NASA%20Johnson/"/>
    <hyperlink ref="C1583" r:id="rId1583" display="https://youtu.be/k_nNirN_sPA"/>
    <hyperlink ref="F1583" r:id="rId2" display="https://files.afu.se/Downloads/Transcripts/0%20-%20Government/USA%20-%20NASA%20Johnson/"/>
    <hyperlink ref="C1584" r:id="rId1584" display="https://youtu.be/UaGOwk4n7S4"/>
    <hyperlink ref="F1584" r:id="rId2" display="https://files.afu.se/Downloads/Transcripts/0%20-%20Government/USA%20-%20NASA%20Johnson/"/>
    <hyperlink ref="C1585" r:id="rId1585" display="https://youtu.be/VBAeI136jZk"/>
    <hyperlink ref="F1585" r:id="rId2" display="https://files.afu.se/Downloads/Transcripts/0%20-%20Government/USA%20-%20NASA%20Johnson/"/>
    <hyperlink ref="C1586" r:id="rId1586" display="https://youtu.be/ULFZAjni62s"/>
    <hyperlink ref="F1586" r:id="rId2" display="https://files.afu.se/Downloads/Transcripts/0%20-%20Government/USA%20-%20NASA%20Johnson/"/>
    <hyperlink ref="C1587" r:id="rId1587" display="https://youtu.be/YmOa9ypr7lY"/>
    <hyperlink ref="F1587" r:id="rId2" display="https://files.afu.se/Downloads/Transcripts/0%20-%20Government/USA%20-%20NASA%20Johnson/"/>
    <hyperlink ref="C1588" r:id="rId1588" display="https://youtu.be/JPSN4PwL1Mg"/>
    <hyperlink ref="F1588" r:id="rId2" display="https://files.afu.se/Downloads/Transcripts/0%20-%20Government/USA%20-%20NASA%20Johnson/"/>
    <hyperlink ref="C1589" r:id="rId1589" display="https://youtu.be/p6htXcpgWtw"/>
    <hyperlink ref="F1589" r:id="rId2" display="https://files.afu.se/Downloads/Transcripts/0%20-%20Government/USA%20-%20NASA%20Johnson/"/>
    <hyperlink ref="C1590" r:id="rId1590" display="https://youtu.be/aw0WBQubB5g"/>
    <hyperlink ref="F1590" r:id="rId2" display="https://files.afu.se/Downloads/Transcripts/0%20-%20Government/USA%20-%20NASA%20Johnson/"/>
    <hyperlink ref="C1591" r:id="rId1591" display="https://youtu.be/9Tac-QmJ6Y8"/>
    <hyperlink ref="F1591" r:id="rId2" display="https://files.afu.se/Downloads/Transcripts/0%20-%20Government/USA%20-%20NASA%20Johnson/"/>
    <hyperlink ref="C1592" r:id="rId1592" display="https://youtu.be/64w8n53NFyA"/>
    <hyperlink ref="F1592" r:id="rId2" display="https://files.afu.se/Downloads/Transcripts/0%20-%20Government/USA%20-%20NASA%20Johnson/"/>
    <hyperlink ref="C1593" r:id="rId1593" display="https://youtu.be/EJL6JJMF8mY"/>
    <hyperlink ref="F1593" r:id="rId2" display="https://files.afu.se/Downloads/Transcripts/0%20-%20Government/USA%20-%20NASA%20Johnson/"/>
    <hyperlink ref="C1594" r:id="rId1594" display="https://youtu.be/5d9ykhdHtFc"/>
    <hyperlink ref="F1594" r:id="rId2" display="https://files.afu.se/Downloads/Transcripts/0%20-%20Government/USA%20-%20NASA%20Johnson/"/>
    <hyperlink ref="C1595" r:id="rId1595" display="https://youtu.be/nlCGvGoHHFE"/>
    <hyperlink ref="F1595" r:id="rId2" display="https://files.afu.se/Downloads/Transcripts/0%20-%20Government/USA%20-%20NASA%20Johnson/"/>
    <hyperlink ref="C1596" r:id="rId1596" display="https://youtu.be/UerzZ7Hswww"/>
    <hyperlink ref="F1596" r:id="rId2" display="https://files.afu.se/Downloads/Transcripts/0%20-%20Government/USA%20-%20NASA%20Johnson/"/>
    <hyperlink ref="C1597" r:id="rId1597" display="https://youtu.be/7Aa_-FSR7VU"/>
    <hyperlink ref="F1597" r:id="rId2" display="https://files.afu.se/Downloads/Transcripts/0%20-%20Government/USA%20-%20NASA%20Johnson/"/>
    <hyperlink ref="C1598" r:id="rId1598" display="https://youtu.be/2_rXzMAYZAM"/>
    <hyperlink ref="F1598" r:id="rId2" display="https://files.afu.se/Downloads/Transcripts/0%20-%20Government/USA%20-%20NASA%20Johnson/"/>
    <hyperlink ref="C1599" r:id="rId1599" display="https://youtu.be/cjqqnIJTZx4"/>
    <hyperlink ref="F1599" r:id="rId2" display="https://files.afu.se/Downloads/Transcripts/0%20-%20Government/USA%20-%20NASA%20Johnson/"/>
    <hyperlink ref="C1600" r:id="rId1600" display="https://youtu.be/jqBYRpF_4qE"/>
    <hyperlink ref="F1600" r:id="rId2" display="https://files.afu.se/Downloads/Transcripts/0%20-%20Government/USA%20-%20NASA%20Johnson/"/>
    <hyperlink ref="C1601" r:id="rId1601" display="https://youtu.be/0wgVfGBCME0"/>
    <hyperlink ref="F1601" r:id="rId2" display="https://files.afu.se/Downloads/Transcripts/0%20-%20Government/USA%20-%20NASA%20Johnson/"/>
    <hyperlink ref="C1602" r:id="rId1602" display="https://youtu.be/A6ssLbni4ho"/>
    <hyperlink ref="F1602" r:id="rId2" display="https://files.afu.se/Downloads/Transcripts/0%20-%20Government/USA%20-%20NASA%20Johnson/"/>
    <hyperlink ref="C1603" r:id="rId1603" display="https://youtu.be/jWi7W8YoEwE"/>
    <hyperlink ref="F1603" r:id="rId2" display="https://files.afu.se/Downloads/Transcripts/0%20-%20Government/USA%20-%20NASA%20Johnson/"/>
    <hyperlink ref="C1604" r:id="rId1604" display="https://youtu.be/ktPYMSm-zso"/>
    <hyperlink ref="F1604" r:id="rId2" display="https://files.afu.se/Downloads/Transcripts/0%20-%20Government/USA%20-%20NASA%20Johnson/"/>
    <hyperlink ref="C1605" r:id="rId1605" display="https://youtu.be/xnMMi0dMwy4"/>
    <hyperlink ref="F1605" r:id="rId2" display="https://files.afu.se/Downloads/Transcripts/0%20-%20Government/USA%20-%20NASA%20Johnson/"/>
    <hyperlink ref="C1606" r:id="rId1606" display="https://youtu.be/5nLFNG-Njlo"/>
    <hyperlink ref="F1606" r:id="rId2" display="https://files.afu.se/Downloads/Transcripts/0%20-%20Government/USA%20-%20NASA%20Johnson/"/>
    <hyperlink ref="C1607" r:id="rId1607" display="https://youtu.be/5oxunXFwznw"/>
    <hyperlink ref="F1607" r:id="rId2" display="https://files.afu.se/Downloads/Transcripts/0%20-%20Government/USA%20-%20NASA%20Johnson/"/>
    <hyperlink ref="C1608" r:id="rId1608" display="https://youtu.be/R4nf3_FPUCs"/>
    <hyperlink ref="F1608" r:id="rId2" display="https://files.afu.se/Downloads/Transcripts/0%20-%20Government/USA%20-%20NASA%20Johnson/"/>
    <hyperlink ref="C1609" r:id="rId1609" display="https://youtu.be/WyzTFxVw0ds"/>
    <hyperlink ref="F1609" r:id="rId2" display="https://files.afu.se/Downloads/Transcripts/0%20-%20Government/USA%20-%20NASA%20Johnson/"/>
    <hyperlink ref="C1610" r:id="rId1610" display="https://youtu.be/dXwmxNoCi68"/>
    <hyperlink ref="F1610" r:id="rId2" display="https://files.afu.se/Downloads/Transcripts/0%20-%20Government/USA%20-%20NASA%20Johnson/"/>
    <hyperlink ref="C1611" r:id="rId1611" display="https://youtu.be/fR68TyEUr2I"/>
    <hyperlink ref="F1611" r:id="rId2" display="https://files.afu.se/Downloads/Transcripts/0%20-%20Government/USA%20-%20NASA%20Johnson/"/>
    <hyperlink ref="C1612" r:id="rId1612" display="https://youtu.be/mxTAw0LOj3I"/>
    <hyperlink ref="F1612" r:id="rId2" display="https://files.afu.se/Downloads/Transcripts/0%20-%20Government/USA%20-%20NASA%20Johnson/"/>
    <hyperlink ref="C1613" r:id="rId1613" display="https://youtu.be/xYVF_TD-mKs"/>
    <hyperlink ref="F1613" r:id="rId2" display="https://files.afu.se/Downloads/Transcripts/0%20-%20Government/USA%20-%20NASA%20Johnson/"/>
    <hyperlink ref="C1614" r:id="rId1614" display="https://youtu.be/gux0bynbo-I"/>
    <hyperlink ref="F1614" r:id="rId2" display="https://files.afu.se/Downloads/Transcripts/0%20-%20Government/USA%20-%20NASA%20Johnson/"/>
    <hyperlink ref="C1615" r:id="rId1615" display="https://youtu.be/o0vpGOYLlZ4"/>
    <hyperlink ref="F1615" r:id="rId2" display="https://files.afu.se/Downloads/Transcripts/0%20-%20Government/USA%20-%20NASA%20Johnson/"/>
    <hyperlink ref="C1616" r:id="rId1616" display="https://youtu.be/G0p4-DlYh0s"/>
    <hyperlink ref="F1616" r:id="rId2" display="https://files.afu.se/Downloads/Transcripts/0%20-%20Government/USA%20-%20NASA%20Johnson/"/>
    <hyperlink ref="C1617" r:id="rId1617" display="https://youtu.be/1G82bXHR9Mw"/>
    <hyperlink ref="F1617" r:id="rId2" display="https://files.afu.se/Downloads/Transcripts/0%20-%20Government/USA%20-%20NASA%20Johnson/"/>
    <hyperlink ref="C1618" r:id="rId1618" display="https://youtu.be/1X3C9Riawms"/>
    <hyperlink ref="F1618" r:id="rId2" display="https://files.afu.se/Downloads/Transcripts/0%20-%20Government/USA%20-%20NASA%20Johnson/"/>
    <hyperlink ref="C1619" r:id="rId1619" display="https://youtu.be/l9GD3wcbPyw"/>
    <hyperlink ref="F1619" r:id="rId2" display="https://files.afu.se/Downloads/Transcripts/0%20-%20Government/USA%20-%20NASA%20Johnson/"/>
    <hyperlink ref="C1620" r:id="rId1620" display="https://youtu.be/rgBCcmOha8w"/>
    <hyperlink ref="F1620" r:id="rId2" display="https://files.afu.se/Downloads/Transcripts/0%20-%20Government/USA%20-%20NASA%20Johnson/"/>
    <hyperlink ref="C1621" r:id="rId1621" display="https://youtu.be/isEGcax2YSQ"/>
    <hyperlink ref="F1621" r:id="rId2" display="https://files.afu.se/Downloads/Transcripts/0%20-%20Government/USA%20-%20NASA%20Johnson/"/>
    <hyperlink ref="C1622" r:id="rId1622" display="https://youtu.be/fxKcYPxL6Jw"/>
    <hyperlink ref="F1622" r:id="rId2" display="https://files.afu.se/Downloads/Transcripts/0%20-%20Government/USA%20-%20NASA%20Johnson/"/>
    <hyperlink ref="C1623" r:id="rId1623" display="https://youtu.be/1OHRmzCP6HQ"/>
    <hyperlink ref="F1623" r:id="rId2" display="https://files.afu.se/Downloads/Transcripts/0%20-%20Government/USA%20-%20NASA%20Johnson/"/>
    <hyperlink ref="C1624" r:id="rId1624" display="https://youtu.be/a3oVdB8Jx7c"/>
    <hyperlink ref="F1624" r:id="rId2" display="https://files.afu.se/Downloads/Transcripts/0%20-%20Government/USA%20-%20NASA%20Johnson/"/>
    <hyperlink ref="C1625" r:id="rId1625" display="https://youtu.be/gNAyBekeVyw"/>
    <hyperlink ref="F1625" r:id="rId2" display="https://files.afu.se/Downloads/Transcripts/0%20-%20Government/USA%20-%20NASA%20Johnson/"/>
    <hyperlink ref="C1626" r:id="rId1626" display="https://youtu.be/Cf6fRjgVzyM"/>
    <hyperlink ref="F1626" r:id="rId2" display="https://files.afu.se/Downloads/Transcripts/0%20-%20Government/USA%20-%20NASA%20Johnson/"/>
    <hyperlink ref="C1627" r:id="rId1627" display="https://youtu.be/AIrIhDj96CQ"/>
    <hyperlink ref="F1627" r:id="rId2" display="https://files.afu.se/Downloads/Transcripts/0%20-%20Government/USA%20-%20NASA%20Johnson/"/>
    <hyperlink ref="C1628" r:id="rId1628" display="https://youtu.be/3rQQO6xINnU"/>
    <hyperlink ref="F1628" r:id="rId2" display="https://files.afu.se/Downloads/Transcripts/0%20-%20Government/USA%20-%20NASA%20Johnson/"/>
    <hyperlink ref="C1629" r:id="rId1629" display="https://youtu.be/lzlDaiFHfzk"/>
    <hyperlink ref="F1629" r:id="rId2" display="https://files.afu.se/Downloads/Transcripts/0%20-%20Government/USA%20-%20NASA%20Johnson/"/>
    <hyperlink ref="C1630" r:id="rId1630" display="https://youtu.be/IeA41Uyazdg"/>
    <hyperlink ref="F1630" r:id="rId2" display="https://files.afu.se/Downloads/Transcripts/0%20-%20Government/USA%20-%20NASA%20Johnson/"/>
    <hyperlink ref="C1631" r:id="rId1631" display="https://youtu.be/G5ZiTblKME0"/>
    <hyperlink ref="F1631" r:id="rId2" display="https://files.afu.se/Downloads/Transcripts/0%20-%20Government/USA%20-%20NASA%20Johnson/"/>
    <hyperlink ref="C1632" r:id="rId1632" display="https://youtu.be/KyZqSWWKmHQ"/>
    <hyperlink ref="F1632" r:id="rId2" display="https://files.afu.se/Downloads/Transcripts/0%20-%20Government/USA%20-%20NASA%20Johnson/"/>
    <hyperlink ref="C1633" r:id="rId1633" display="https://youtu.be/qoH0EEP1GTM"/>
    <hyperlink ref="F1633" r:id="rId2" display="https://files.afu.se/Downloads/Transcripts/0%20-%20Government/USA%20-%20NASA%20Johnson/"/>
    <hyperlink ref="C1634" r:id="rId1634" display="https://youtu.be/Cb6z7ThvQL0"/>
    <hyperlink ref="F1634" r:id="rId2" display="https://files.afu.se/Downloads/Transcripts/0%20-%20Government/USA%20-%20NASA%20Johnson/"/>
    <hyperlink ref="C1635" r:id="rId1635" display="https://youtu.be/UpgjEm5aH3U"/>
    <hyperlink ref="F1635" r:id="rId2" display="https://files.afu.se/Downloads/Transcripts/0%20-%20Government/USA%20-%20NASA%20Johnson/"/>
    <hyperlink ref="C1636" r:id="rId1636" display="https://youtu.be/TX0879xb2DU"/>
    <hyperlink ref="F1636" r:id="rId2" display="https://files.afu.se/Downloads/Transcripts/0%20-%20Government/USA%20-%20NASA%20Johnson/"/>
    <hyperlink ref="C1637" r:id="rId1637" display="https://youtu.be/Ebhi5h8uzl8"/>
    <hyperlink ref="F1637" r:id="rId2" display="https://files.afu.se/Downloads/Transcripts/0%20-%20Government/USA%20-%20NASA%20Johnson/"/>
    <hyperlink ref="C1638" r:id="rId1638" display="https://youtu.be/SDgyQSyb2Qo"/>
    <hyperlink ref="F1638" r:id="rId2" display="https://files.afu.se/Downloads/Transcripts/0%20-%20Government/USA%20-%20NASA%20Johnson/"/>
    <hyperlink ref="C1639" r:id="rId1639" display="https://youtu.be/4pNY24rXBCI"/>
    <hyperlink ref="F1639" r:id="rId2" display="https://files.afu.se/Downloads/Transcripts/0%20-%20Government/USA%20-%20NASA%20Johnson/"/>
    <hyperlink ref="C1640" r:id="rId1640" display="https://youtu.be/5AGbFs5ERlI"/>
    <hyperlink ref="F1640" r:id="rId2" display="https://files.afu.se/Downloads/Transcripts/0%20-%20Government/USA%20-%20NASA%20Johnson/"/>
    <hyperlink ref="C1641" r:id="rId1641" display="https://youtu.be/2WHio97W4wE"/>
    <hyperlink ref="F1641" r:id="rId2" display="https://files.afu.se/Downloads/Transcripts/0%20-%20Government/USA%20-%20NASA%20Johnson/"/>
    <hyperlink ref="C1642" r:id="rId1642" display="https://youtu.be/uvUcXwctK7g"/>
    <hyperlink ref="F1642" r:id="rId2" display="https://files.afu.se/Downloads/Transcripts/0%20-%20Government/USA%20-%20NASA%20Johnson/"/>
    <hyperlink ref="C1643" r:id="rId1643" display="https://youtu.be/BYN5RGRa9_E"/>
    <hyperlink ref="F1643" r:id="rId2" display="https://files.afu.se/Downloads/Transcripts/0%20-%20Government/USA%20-%20NASA%20Johnson/"/>
    <hyperlink ref="C1644" r:id="rId1644" display="https://youtu.be/lnVque_-f7U"/>
    <hyperlink ref="F1644" r:id="rId2" display="https://files.afu.se/Downloads/Transcripts/0%20-%20Government/USA%20-%20NASA%20Johnson/"/>
    <hyperlink ref="C1645" r:id="rId1645" display="https://youtu.be/P-ZEMPVBEI0"/>
    <hyperlink ref="F1645" r:id="rId2" display="https://files.afu.se/Downloads/Transcripts/0%20-%20Government/USA%20-%20NASA%20Johnson/"/>
    <hyperlink ref="C1646" r:id="rId1646" display="https://youtu.be/PQYXTaBur34"/>
    <hyperlink ref="F1646" r:id="rId2" display="https://files.afu.se/Downloads/Transcripts/0%20-%20Government/USA%20-%20NASA%20Johnson/"/>
    <hyperlink ref="C1647" r:id="rId1647" display="https://youtu.be/W35gHSMijEA"/>
    <hyperlink ref="F1647" r:id="rId2" display="https://files.afu.se/Downloads/Transcripts/0%20-%20Government/USA%20-%20NASA%20Johnson/"/>
    <hyperlink ref="C1648" r:id="rId1648" display="https://youtu.be/_FoJWCavo9s"/>
    <hyperlink ref="F1648" r:id="rId2" display="https://files.afu.se/Downloads/Transcripts/0%20-%20Government/USA%20-%20NASA%20Johnson/"/>
    <hyperlink ref="C1649" r:id="rId1649" display="https://youtu.be/hnoue1s9H6A"/>
    <hyperlink ref="F1649" r:id="rId2" display="https://files.afu.se/Downloads/Transcripts/0%20-%20Government/USA%20-%20NASA%20Johnson/"/>
    <hyperlink ref="C1650" r:id="rId1650" display="https://youtu.be/qwaH6hJU3rc"/>
    <hyperlink ref="F1650" r:id="rId2" display="https://files.afu.se/Downloads/Transcripts/0%20-%20Government/USA%20-%20NASA%20Johnson/"/>
    <hyperlink ref="C1651" r:id="rId1651" display="https://youtu.be/TyKlyV40vrk"/>
    <hyperlink ref="F1651" r:id="rId2" display="https://files.afu.se/Downloads/Transcripts/0%20-%20Government/USA%20-%20NASA%20Johnson/"/>
    <hyperlink ref="C1652" r:id="rId1652" display="https://youtu.be/JDXHQDuDwsI"/>
    <hyperlink ref="F1652" r:id="rId2" display="https://files.afu.se/Downloads/Transcripts/0%20-%20Government/USA%20-%20NASA%20Johnson/"/>
    <hyperlink ref="C1653" r:id="rId1653" display="https://youtu.be/1C_ol4KZkRU"/>
    <hyperlink ref="F1653" r:id="rId2" display="https://files.afu.se/Downloads/Transcripts/0%20-%20Government/USA%20-%20NASA%20Johnson/"/>
    <hyperlink ref="C1654" r:id="rId1654" display="https://youtu.be/jrNslz6boeg"/>
    <hyperlink ref="F1654" r:id="rId2" display="https://files.afu.se/Downloads/Transcripts/0%20-%20Government/USA%20-%20NASA%20Johnson/"/>
    <hyperlink ref="C1655" r:id="rId1655" display="https://youtu.be/Fxl0QPxEMSU"/>
    <hyperlink ref="F1655" r:id="rId2" display="https://files.afu.se/Downloads/Transcripts/0%20-%20Government/USA%20-%20NASA%20Johnson/"/>
    <hyperlink ref="C1656" r:id="rId1656" display="https://youtu.be/Anf1Ef5rc04"/>
    <hyperlink ref="F1656" r:id="rId2" display="https://files.afu.se/Downloads/Transcripts/0%20-%20Government/USA%20-%20NASA%20Johnson/"/>
    <hyperlink ref="C1657" r:id="rId1657" display="https://youtu.be/D1aFkm_xDoE"/>
    <hyperlink ref="F1657" r:id="rId2" display="https://files.afu.se/Downloads/Transcripts/0%20-%20Government/USA%20-%20NASA%20Johnson/"/>
    <hyperlink ref="C1658" r:id="rId1658" display="https://youtu.be/WhbL1GfpsUs"/>
    <hyperlink ref="F1658" r:id="rId2" display="https://files.afu.se/Downloads/Transcripts/0%20-%20Government/USA%20-%20NASA%20Johnson/"/>
    <hyperlink ref="C1659" r:id="rId1659" display="https://youtu.be/ovD2HZ_H4IU"/>
    <hyperlink ref="F1659" r:id="rId2" display="https://files.afu.se/Downloads/Transcripts/0%20-%20Government/USA%20-%20NASA%20Johnson/"/>
    <hyperlink ref="C1660" r:id="rId1660" display="https://youtu.be/_ji6oPgj2VY"/>
    <hyperlink ref="F1660" r:id="rId2" display="https://files.afu.se/Downloads/Transcripts/0%20-%20Government/USA%20-%20NASA%20Johnson/"/>
    <hyperlink ref="C1661" r:id="rId1661" display="https://youtu.be/hHHfLZ2tqU8"/>
    <hyperlink ref="F1661" r:id="rId2" display="https://files.afu.se/Downloads/Transcripts/0%20-%20Government/USA%20-%20NASA%20Johnson/"/>
    <hyperlink ref="C1662" r:id="rId1662" display="https://youtu.be/KbKPSEli2i0"/>
    <hyperlink ref="F1662" r:id="rId2" display="https://files.afu.se/Downloads/Transcripts/0%20-%20Government/USA%20-%20NASA%20Johnson/"/>
    <hyperlink ref="C1663" r:id="rId1663" display="https://youtu.be/-e8idObe74U"/>
    <hyperlink ref="F1663" r:id="rId2" display="https://files.afu.se/Downloads/Transcripts/0%20-%20Government/USA%20-%20NASA%20Johnson/"/>
    <hyperlink ref="C1664" r:id="rId1664" display="https://youtu.be/WtdRNDiqaXE"/>
    <hyperlink ref="F1664" r:id="rId2" display="https://files.afu.se/Downloads/Transcripts/0%20-%20Government/USA%20-%20NASA%20Johnson/"/>
    <hyperlink ref="C1665" r:id="rId1665" display="https://youtu.be/ih9jPaZct1w"/>
    <hyperlink ref="F1665" r:id="rId2" display="https://files.afu.se/Downloads/Transcripts/0%20-%20Government/USA%20-%20NASA%20Johnson/"/>
    <hyperlink ref="C1666" r:id="rId1666" display="https://youtu.be/HQEIy_6mAo4"/>
    <hyperlink ref="F1666" r:id="rId2" display="https://files.afu.se/Downloads/Transcripts/0%20-%20Government/USA%20-%20NASA%20Johnson/"/>
    <hyperlink ref="C1667" r:id="rId1667" display="https://youtu.be/3lwy8xxJxKo"/>
    <hyperlink ref="F1667" r:id="rId2" display="https://files.afu.se/Downloads/Transcripts/0%20-%20Government/USA%20-%20NASA%20Johnson/"/>
    <hyperlink ref="C1668" r:id="rId1668" display="https://youtu.be/Y-NhhPMTfAc"/>
    <hyperlink ref="F1668" r:id="rId2" display="https://files.afu.se/Downloads/Transcripts/0%20-%20Government/USA%20-%20NASA%20Johnson/"/>
    <hyperlink ref="C1669" r:id="rId1669" display="https://youtu.be/o3_ljJlkkXo"/>
    <hyperlink ref="F1669" r:id="rId2" display="https://files.afu.se/Downloads/Transcripts/0%20-%20Government/USA%20-%20NASA%20Johnson/"/>
    <hyperlink ref="C1670" r:id="rId1670" display="https://youtu.be/xyAwdmUzxus"/>
    <hyperlink ref="F1670" r:id="rId2" display="https://files.afu.se/Downloads/Transcripts/0%20-%20Government/USA%20-%20NASA%20Johnson/"/>
    <hyperlink ref="C1671" r:id="rId1671" display="https://youtu.be/2KAFV-aEAns"/>
    <hyperlink ref="F1671" r:id="rId2" display="https://files.afu.se/Downloads/Transcripts/0%20-%20Government/USA%20-%20NASA%20Johnson/"/>
    <hyperlink ref="C1672" r:id="rId1672" display="https://youtu.be/4XF048cJl6s"/>
    <hyperlink ref="F1672" r:id="rId2" display="https://files.afu.se/Downloads/Transcripts/0%20-%20Government/USA%20-%20NASA%20Johnson/"/>
    <hyperlink ref="C1673" r:id="rId1673" display="https://youtu.be/76jJAbNvUYw"/>
    <hyperlink ref="F1673" r:id="rId2" display="https://files.afu.se/Downloads/Transcripts/0%20-%20Government/USA%20-%20NASA%20Johnson/"/>
    <hyperlink ref="C1674" r:id="rId1674" display="https://youtu.be/AnqBAshgWE0"/>
    <hyperlink ref="F1674" r:id="rId2" display="https://files.afu.se/Downloads/Transcripts/0%20-%20Government/USA%20-%20NASA%20Johnson/"/>
    <hyperlink ref="C1675" r:id="rId1675" display="https://youtu.be/D4UJfh5TASw"/>
    <hyperlink ref="F1675" r:id="rId2" display="https://files.afu.se/Downloads/Transcripts/0%20-%20Government/USA%20-%20NASA%20Johnson/"/>
    <hyperlink ref="C1676" r:id="rId1676" display="https://youtu.be/IjJMm0iWZCE"/>
    <hyperlink ref="F1676" r:id="rId2" display="https://files.afu.se/Downloads/Transcripts/0%20-%20Government/USA%20-%20NASA%20Johnson/"/>
    <hyperlink ref="C1677" r:id="rId1677" display="https://youtu.be/JV9_ZjKML84"/>
    <hyperlink ref="F1677" r:id="rId2" display="https://files.afu.se/Downloads/Transcripts/0%20-%20Government/USA%20-%20NASA%20Johnson/"/>
    <hyperlink ref="C1678" r:id="rId1678" display="https://youtu.be/LGzkzZcWje0"/>
    <hyperlink ref="F1678" r:id="rId2" display="https://files.afu.se/Downloads/Transcripts/0%20-%20Government/USA%20-%20NASA%20Johnson/"/>
    <hyperlink ref="C1679" r:id="rId1679" display="https://youtu.be/TtrM8F_yBkA"/>
    <hyperlink ref="F1679" r:id="rId2" display="https://files.afu.se/Downloads/Transcripts/0%20-%20Government/USA%20-%20NASA%20Johnson/"/>
    <hyperlink ref="C1680" r:id="rId1680" display="https://youtu.be/VpFV-ga3yoU"/>
    <hyperlink ref="F1680" r:id="rId2" display="https://files.afu.se/Downloads/Transcripts/0%20-%20Government/USA%20-%20NASA%20Johnson/"/>
    <hyperlink ref="C1681" r:id="rId1681" display="https://youtu.be/Wuu0uoqtdMk"/>
    <hyperlink ref="F1681" r:id="rId2" display="https://files.afu.se/Downloads/Transcripts/0%20-%20Government/USA%20-%20NASA%20Johnson/"/>
    <hyperlink ref="C1682" r:id="rId1682" display="https://youtu.be/XRB4rFlthpM"/>
    <hyperlink ref="F1682" r:id="rId2" display="https://files.afu.se/Downloads/Transcripts/0%20-%20Government/USA%20-%20NASA%20Johnson/"/>
    <hyperlink ref="C1683" r:id="rId1683" display="https://youtu.be/YA80UJnCj_s"/>
    <hyperlink ref="F1683" r:id="rId2" display="https://files.afu.se/Downloads/Transcripts/0%20-%20Government/USA%20-%20NASA%20Johnson/"/>
    <hyperlink ref="C1684" r:id="rId1684" display="https://youtu.be/dtvn_Es2azY"/>
    <hyperlink ref="F1684" r:id="rId2" display="https://files.afu.se/Downloads/Transcripts/0%20-%20Government/USA%20-%20NASA%20Johnson/"/>
    <hyperlink ref="C1685" r:id="rId1685" display="https://youtu.be/fpRpf7DPi88"/>
    <hyperlink ref="F1685" r:id="rId2" display="https://files.afu.se/Downloads/Transcripts/0%20-%20Government/USA%20-%20NASA%20Johnson/"/>
    <hyperlink ref="C1686" r:id="rId1686" display="https://youtu.be/gzXc2mS-QyM"/>
    <hyperlink ref="F1686" r:id="rId2" display="https://files.afu.se/Downloads/Transcripts/0%20-%20Government/USA%20-%20NASA%20Johnson/"/>
    <hyperlink ref="C1687" r:id="rId1687" display="https://youtu.be/hUfHHeuU6XU"/>
    <hyperlink ref="F1687" r:id="rId2" display="https://files.afu.se/Downloads/Transcripts/0%20-%20Government/USA%20-%20NASA%20Johnson/"/>
    <hyperlink ref="C1688" r:id="rId1688" display="https://youtu.be/hsQC0fCHJRQ"/>
    <hyperlink ref="F1688" r:id="rId2" display="https://files.afu.se/Downloads/Transcripts/0%20-%20Government/USA%20-%20NASA%20Johnson/"/>
    <hyperlink ref="C1689" r:id="rId1689" display="https://youtu.be/kkrADP3KRIc"/>
    <hyperlink ref="F1689" r:id="rId2" display="https://files.afu.se/Downloads/Transcripts/0%20-%20Government/USA%20-%20NASA%20Johnson/"/>
    <hyperlink ref="C1690" r:id="rId1690" display="https://youtu.be/nPWDPj3XI3c"/>
    <hyperlink ref="F1690" r:id="rId2" display="https://files.afu.se/Downloads/Transcripts/0%20-%20Government/USA%20-%20NASA%20Johnson/"/>
    <hyperlink ref="C1691" r:id="rId1691" display="https://youtu.be/pquxJ0Z5JyQ"/>
    <hyperlink ref="F1691" r:id="rId2" display="https://files.afu.se/Downloads/Transcripts/0%20-%20Government/USA%20-%20NASA%20Johnson/"/>
    <hyperlink ref="C1692" r:id="rId1692" display="https://youtu.be/sGDNlCiJnhc"/>
    <hyperlink ref="F1692" r:id="rId2" display="https://files.afu.se/Downloads/Transcripts/0%20-%20Government/USA%20-%20NASA%20Johnson/"/>
    <hyperlink ref="C1693" r:id="rId1693" display="https://youtu.be/tfVGlnXQaxU"/>
    <hyperlink ref="F1693" r:id="rId2" display="https://files.afu.se/Downloads/Transcripts/0%20-%20Government/USA%20-%20NASA%20Johnson/"/>
    <hyperlink ref="C1694" r:id="rId1694" display="https://youtu.be/xCvcvyRqWOc"/>
    <hyperlink ref="F1694" r:id="rId2" display="https://files.afu.se/Downloads/Transcripts/0%20-%20Government/USA%20-%20NASA%20Johnson/"/>
    <hyperlink ref="C1695" r:id="rId1695" display="https://youtu.be/q7p9yXVgeNw"/>
    <hyperlink ref="F1695" r:id="rId2" display="https://files.afu.se/Downloads/Transcripts/0%20-%20Government/USA%20-%20NASA%20Johnson/"/>
    <hyperlink ref="C1696" r:id="rId1696" display="https://youtu.be/QnkCpdofiXI"/>
    <hyperlink ref="F1696" r:id="rId2" display="https://files.afu.se/Downloads/Transcripts/0%20-%20Government/USA%20-%20NASA%20Johnson/"/>
    <hyperlink ref="C1697" r:id="rId1697" display="https://youtu.be/YXLAWlPAnKc"/>
    <hyperlink ref="F1697" r:id="rId2" display="https://files.afu.se/Downloads/Transcripts/0%20-%20Government/USA%20-%20NASA%20Johnson/"/>
    <hyperlink ref="C1698" r:id="rId1698" display="https://youtu.be/-GCnqvLjvZw"/>
    <hyperlink ref="F1698" r:id="rId2" display="https://files.afu.se/Downloads/Transcripts/0%20-%20Government/USA%20-%20NASA%20Johnson/"/>
    <hyperlink ref="C1699" r:id="rId1699" display="https://youtu.be/LZp9LZH-DNA"/>
    <hyperlink ref="F1699" r:id="rId2" display="https://files.afu.se/Downloads/Transcripts/0%20-%20Government/USA%20-%20NASA%20Johnson/"/>
    <hyperlink ref="C1700" r:id="rId1700" display="https://youtu.be/3Lqx5nERAwQ"/>
    <hyperlink ref="F1700" r:id="rId2" display="https://files.afu.se/Downloads/Transcripts/0%20-%20Government/USA%20-%20NASA%20Johnson/"/>
    <hyperlink ref="C1701" r:id="rId1701" display="https://youtu.be/McOy9jSi88o"/>
    <hyperlink ref="F1701" r:id="rId2" display="https://files.afu.se/Downloads/Transcripts/0%20-%20Government/USA%20-%20NASA%20Johnson/"/>
    <hyperlink ref="C1702" r:id="rId1702" display="https://youtu.be/klRFSA_auPg"/>
    <hyperlink ref="F1702" r:id="rId2" display="https://files.afu.se/Downloads/Transcripts/0%20-%20Government/USA%20-%20NASA%20Johnson/"/>
    <hyperlink ref="C1703" r:id="rId1703" display="https://youtu.be/jwQM9IRTAuw"/>
    <hyperlink ref="F1703" r:id="rId2" display="https://files.afu.se/Downloads/Transcripts/0%20-%20Government/USA%20-%20NASA%20Johnson/"/>
    <hyperlink ref="C1704" r:id="rId1704" display="https://youtu.be/TrsKZma-LTk"/>
    <hyperlink ref="F1704" r:id="rId2" display="https://files.afu.se/Downloads/Transcripts/0%20-%20Government/USA%20-%20NASA%20Johnson/"/>
    <hyperlink ref="C1705" r:id="rId1705" display="https://youtu.be/rXD4ldp-W8M"/>
    <hyperlink ref="F1705" r:id="rId2" display="https://files.afu.se/Downloads/Transcripts/0%20-%20Government/USA%20-%20NASA%20Johnson/"/>
    <hyperlink ref="C1706" r:id="rId1706" display="https://youtu.be/bVw8seV9Tfc"/>
    <hyperlink ref="F1706" r:id="rId2" display="https://files.afu.se/Downloads/Transcripts/0%20-%20Government/USA%20-%20NASA%20Johnson/"/>
    <hyperlink ref="C1707" r:id="rId1707" display="https://youtu.be/P1uhTlnGZM0"/>
    <hyperlink ref="F1707" r:id="rId2" display="https://files.afu.se/Downloads/Transcripts/0%20-%20Government/USA%20-%20NASA%20Johnson/"/>
    <hyperlink ref="C1708" r:id="rId1708" display="https://youtu.be/jiDcCrUQmsM"/>
    <hyperlink ref="F1708" r:id="rId2" display="https://files.afu.se/Downloads/Transcripts/0%20-%20Government/USA%20-%20NASA%20Johnson/"/>
    <hyperlink ref="C1709" r:id="rId1709" display="https://youtu.be/XtX1KNOFVMY"/>
    <hyperlink ref="F1709" r:id="rId2" display="https://files.afu.se/Downloads/Transcripts/0%20-%20Government/USA%20-%20NASA%20Johnson/"/>
    <hyperlink ref="C1710" r:id="rId1710" display="https://youtu.be/4E5t-UJtYxM"/>
    <hyperlink ref="F1710" r:id="rId2" display="https://files.afu.se/Downloads/Transcripts/0%20-%20Government/USA%20-%20NASA%20Johnson/"/>
    <hyperlink ref="C1711" r:id="rId1711" display="https://youtu.be/hsFpnT-0Ux0"/>
    <hyperlink ref="F1711" r:id="rId2" display="https://files.afu.se/Downloads/Transcripts/0%20-%20Government/USA%20-%20NASA%20Johnson/"/>
    <hyperlink ref="C1712" r:id="rId1712" display="https://youtu.be/I2_RYliE8uI"/>
    <hyperlink ref="F1712" r:id="rId2" display="https://files.afu.se/Downloads/Transcripts/0%20-%20Government/USA%20-%20NASA%20Johnson/"/>
    <hyperlink ref="C1713" r:id="rId1713" display="https://youtu.be/_SAuno-NmcI"/>
    <hyperlink ref="F1713" r:id="rId2" display="https://files.afu.se/Downloads/Transcripts/0%20-%20Government/USA%20-%20NASA%20Johnson/"/>
    <hyperlink ref="C1714" r:id="rId1714" display="https://youtu.be/haX1erwHkXc"/>
    <hyperlink ref="F1714" r:id="rId2" display="https://files.afu.se/Downloads/Transcripts/0%20-%20Government/USA%20-%20NASA%20Johnson/"/>
    <hyperlink ref="C1715" r:id="rId1715" display="https://youtu.be/qQQ1OHW1_F4"/>
    <hyperlink ref="F1715" r:id="rId2" display="https://files.afu.se/Downloads/Transcripts/0%20-%20Government/USA%20-%20NASA%20Johnson/"/>
    <hyperlink ref="C1716" r:id="rId1716" display="https://youtu.be/1VyPkzP9S-s"/>
    <hyperlink ref="F1716" r:id="rId2" display="https://files.afu.se/Downloads/Transcripts/0%20-%20Government/USA%20-%20NASA%20Johnson/"/>
    <hyperlink ref="C1717" r:id="rId1717" display="https://youtu.be/8EjaBhwZmJ0"/>
    <hyperlink ref="F1717" r:id="rId2" display="https://files.afu.se/Downloads/Transcripts/0%20-%20Government/USA%20-%20NASA%20Johnson/"/>
    <hyperlink ref="C1718" r:id="rId1718" display="https://youtu.be/DVnhSquA9no"/>
    <hyperlink ref="F1718" r:id="rId2" display="https://files.afu.se/Downloads/Transcripts/0%20-%20Government/USA%20-%20NASA%20Johnson/"/>
    <hyperlink ref="C1719" r:id="rId1719" display="https://youtu.be/4q-vzeFwqIw"/>
    <hyperlink ref="F1719" r:id="rId2" display="https://files.afu.se/Downloads/Transcripts/0%20-%20Government/USA%20-%20NASA%20Johnson/"/>
    <hyperlink ref="C1720" r:id="rId1720" display="https://youtu.be/Ln4956Wx65E"/>
    <hyperlink ref="F1720" r:id="rId2" display="https://files.afu.se/Downloads/Transcripts/0%20-%20Government/USA%20-%20NASA%20Johnson/"/>
    <hyperlink ref="C1721" r:id="rId1721" display="https://youtu.be/BbAxZoIeznI"/>
    <hyperlink ref="F1721" r:id="rId2" display="https://files.afu.se/Downloads/Transcripts/0%20-%20Government/USA%20-%20NASA%20Johnson/"/>
    <hyperlink ref="C1722" r:id="rId1722" display="https://youtu.be/lD4DfF7Kjgw"/>
    <hyperlink ref="F1722" r:id="rId2" display="https://files.afu.se/Downloads/Transcripts/0%20-%20Government/USA%20-%20NASA%20Johnson/"/>
    <hyperlink ref="C1723" r:id="rId1723" display="https://youtu.be/bSAtztj37hM"/>
    <hyperlink ref="F1723" r:id="rId2" display="https://files.afu.se/Downloads/Transcripts/0%20-%20Government/USA%20-%20NASA%20Johnson/"/>
    <hyperlink ref="C1724" r:id="rId1724" display="https://youtu.be/S7WJtQYU8i4"/>
    <hyperlink ref="F1724" r:id="rId2" display="https://files.afu.se/Downloads/Transcripts/0%20-%20Government/USA%20-%20NASA%20Johnson/"/>
    <hyperlink ref="C1725" r:id="rId1725" display="https://youtu.be/lLcG7bNvbjA"/>
    <hyperlink ref="F1725" r:id="rId2" display="https://files.afu.se/Downloads/Transcripts/0%20-%20Government/USA%20-%20NASA%20Johnson/"/>
    <hyperlink ref="C1726" r:id="rId1726" display="https://youtu.be/Xzz9bWwcg3g"/>
    <hyperlink ref="F1726" r:id="rId2" display="https://files.afu.se/Downloads/Transcripts/0%20-%20Government/USA%20-%20NASA%20Johnson/"/>
    <hyperlink ref="C1727" r:id="rId1727" display="https://youtu.be/bs2zTC0FoS8"/>
    <hyperlink ref="F1727" r:id="rId2" display="https://files.afu.se/Downloads/Transcripts/0%20-%20Government/USA%20-%20NASA%20Johnson/"/>
    <hyperlink ref="C1728" r:id="rId1728" display="https://youtu.be/Cz8qVeNmcw0"/>
    <hyperlink ref="F1728" r:id="rId2" display="https://files.afu.se/Downloads/Transcripts/0%20-%20Government/USA%20-%20NASA%20Johnson/"/>
    <hyperlink ref="C1729" r:id="rId1729" display="https://youtu.be/raLFLiap4vA"/>
    <hyperlink ref="F1729" r:id="rId2" display="https://files.afu.se/Downloads/Transcripts/0%20-%20Government/USA%20-%20NASA%20Johnson/"/>
    <hyperlink ref="C1730" r:id="rId1730" display="https://youtu.be/GegxWRMH5Zk"/>
    <hyperlink ref="F1730" r:id="rId2" display="https://files.afu.se/Downloads/Transcripts/0%20-%20Government/USA%20-%20NASA%20Johnson/"/>
    <hyperlink ref="C1731" r:id="rId1731" display="https://youtu.be/hftkNNjhVQA"/>
    <hyperlink ref="F1731" r:id="rId2" display="https://files.afu.se/Downloads/Transcripts/0%20-%20Government/USA%20-%20NASA%20Johnson/"/>
    <hyperlink ref="C1732" r:id="rId1732" display="https://youtu.be/Knx4OPUxyQo"/>
    <hyperlink ref="F1732" r:id="rId2" display="https://files.afu.se/Downloads/Transcripts/0%20-%20Government/USA%20-%20NASA%20Johnson/"/>
    <hyperlink ref="C1733" r:id="rId1733" display="https://youtu.be/GmunwLsV9M4"/>
    <hyperlink ref="F1733" r:id="rId2" display="https://files.afu.se/Downloads/Transcripts/0%20-%20Government/USA%20-%20NASA%20Johnson/"/>
    <hyperlink ref="C1734" r:id="rId1734" display="https://youtu.be/gQZYJhSmw7c"/>
    <hyperlink ref="F1734" r:id="rId2" display="https://files.afu.se/Downloads/Transcripts/0%20-%20Government/USA%20-%20NASA%20Johnson/"/>
    <hyperlink ref="C1735" r:id="rId1735" display="https://youtu.be/0frkZPC-c0s"/>
    <hyperlink ref="F1735" r:id="rId2" display="https://files.afu.se/Downloads/Transcripts/0%20-%20Government/USA%20-%20NASA%20Johnson/"/>
    <hyperlink ref="C1736" r:id="rId1736" display="https://youtu.be/UWagc3u6Guw"/>
    <hyperlink ref="F1736" r:id="rId2" display="https://files.afu.se/Downloads/Transcripts/0%20-%20Government/USA%20-%20NASA%20Johnson/"/>
    <hyperlink ref="C1737" r:id="rId1737" display="https://youtu.be/oBwgZPKYNA4"/>
    <hyperlink ref="F1737" r:id="rId2" display="https://files.afu.se/Downloads/Transcripts/0%20-%20Government/USA%20-%20NASA%20Johnson/"/>
    <hyperlink ref="C1738" r:id="rId1738" display="https://youtu.be/zYjtSJVFLlg"/>
    <hyperlink ref="F1738" r:id="rId2" display="https://files.afu.se/Downloads/Transcripts/0%20-%20Government/USA%20-%20NASA%20Johnson/"/>
    <hyperlink ref="C1739" r:id="rId1739" display="https://youtu.be/AAEIp74cyUg"/>
    <hyperlink ref="F1739" r:id="rId2" display="https://files.afu.se/Downloads/Transcripts/0%20-%20Government/USA%20-%20NASA%20Johnson/"/>
    <hyperlink ref="C1740" r:id="rId1740" display="https://youtu.be/TBDXemkdfVM"/>
    <hyperlink ref="F1740" r:id="rId2" display="https://files.afu.se/Downloads/Transcripts/0%20-%20Government/USA%20-%20NASA%20Johnson/"/>
    <hyperlink ref="C1741" r:id="rId1741" display="https://youtu.be/jV4aY0VtOFk"/>
    <hyperlink ref="F1741" r:id="rId2" display="https://files.afu.se/Downloads/Transcripts/0%20-%20Government/USA%20-%20NASA%20Johnson/"/>
    <hyperlink ref="C1742" r:id="rId1742" display="https://youtu.be/TJYMfmRLsLc"/>
    <hyperlink ref="F1742" r:id="rId2" display="https://files.afu.se/Downloads/Transcripts/0%20-%20Government/USA%20-%20NASA%20Johnson/"/>
    <hyperlink ref="C1743" r:id="rId1743" display="https://youtu.be/BEV6PxlIHI4"/>
    <hyperlink ref="F1743" r:id="rId2" display="https://files.afu.se/Downloads/Transcripts/0%20-%20Government/USA%20-%20NASA%20Johnson/"/>
    <hyperlink ref="C1744" r:id="rId1744" display="https://youtu.be/divk-K1l7zM"/>
    <hyperlink ref="F1744" r:id="rId2" display="https://files.afu.se/Downloads/Transcripts/0%20-%20Government/USA%20-%20NASA%20Johnson/"/>
    <hyperlink ref="C1745" r:id="rId1745" display="https://youtu.be/f-8w_U7TwoE"/>
    <hyperlink ref="F1745" r:id="rId2" display="https://files.afu.se/Downloads/Transcripts/0%20-%20Government/USA%20-%20NASA%20Johnson/"/>
    <hyperlink ref="C1746" r:id="rId1746" display="https://youtu.be/rkYIqt1NjfI"/>
    <hyperlink ref="F1746" r:id="rId2" display="https://files.afu.se/Downloads/Transcripts/0%20-%20Government/USA%20-%20NASA%20Johnson/"/>
    <hyperlink ref="C1747" r:id="rId1747" display="https://youtu.be/iVc7WUpB3mc"/>
    <hyperlink ref="F1747" r:id="rId2" display="https://files.afu.se/Downloads/Transcripts/0%20-%20Government/USA%20-%20NASA%20Johnson/"/>
    <hyperlink ref="C1748" r:id="rId1748" display="https://youtu.be/eeQ8L2bu2wc"/>
    <hyperlink ref="F1748" r:id="rId2" display="https://files.afu.se/Downloads/Transcripts/0%20-%20Government/USA%20-%20NASA%20Johnson/"/>
    <hyperlink ref="C1749" r:id="rId1749" display="https://youtu.be/V3HeXYi9Z5Q"/>
    <hyperlink ref="F1749" r:id="rId2" display="https://files.afu.se/Downloads/Transcripts/0%20-%20Government/USA%20-%20NASA%20Johnson/"/>
    <hyperlink ref="C1750" r:id="rId1750" display="https://youtu.be/jLIltGrSGgc"/>
    <hyperlink ref="F1750" r:id="rId2" display="https://files.afu.se/Downloads/Transcripts/0%20-%20Government/USA%20-%20NASA%20Johnson/"/>
    <hyperlink ref="C1751" r:id="rId1751" display="https://youtu.be/zG0WmhUUdcw"/>
    <hyperlink ref="F1751" r:id="rId2" display="https://files.afu.se/Downloads/Transcripts/0%20-%20Government/USA%20-%20NASA%20Johnson/"/>
    <hyperlink ref="C1752" r:id="rId1752" display="https://youtu.be/XnucfSNn1mU"/>
    <hyperlink ref="F1752" r:id="rId2" display="https://files.afu.se/Downloads/Transcripts/0%20-%20Government/USA%20-%20NASA%20Johnson/"/>
    <hyperlink ref="C1753" r:id="rId1753" display="https://youtu.be/KhPExpo7-U0"/>
    <hyperlink ref="F1753" r:id="rId2" display="https://files.afu.se/Downloads/Transcripts/0%20-%20Government/USA%20-%20NASA%20Johnson/"/>
    <hyperlink ref="C1754" r:id="rId1754" display="https://youtu.be/7bw-1-55reY"/>
    <hyperlink ref="F1754" r:id="rId2" display="https://files.afu.se/Downloads/Transcripts/0%20-%20Government/USA%20-%20NASA%20Johnson/"/>
    <hyperlink ref="C1755" r:id="rId1755" display="https://youtu.be/tpaCAmFUYLg"/>
    <hyperlink ref="F1755" r:id="rId2" display="https://files.afu.se/Downloads/Transcripts/0%20-%20Government/USA%20-%20NASA%20Johnson/"/>
    <hyperlink ref="C1756" r:id="rId1756" display="https://youtu.be/i0ATqsNR_xw"/>
    <hyperlink ref="F1756" r:id="rId2" display="https://files.afu.se/Downloads/Transcripts/0%20-%20Government/USA%20-%20NASA%20Johnson/"/>
    <hyperlink ref="C1757" r:id="rId1757" display="https://youtu.be/qulzwuNTr3w"/>
    <hyperlink ref="F1757" r:id="rId2" display="https://files.afu.se/Downloads/Transcripts/0%20-%20Government/USA%20-%20NASA%20Johnson/"/>
    <hyperlink ref="C1758" r:id="rId1758" display="https://youtu.be/VYSNn7YUNU8"/>
    <hyperlink ref="F1758" r:id="rId2" display="https://files.afu.se/Downloads/Transcripts/0%20-%20Government/USA%20-%20NASA%20Johnson/"/>
    <hyperlink ref="C1759" r:id="rId1759" display="https://youtu.be/OFGQoqLY5bc"/>
    <hyperlink ref="F1759" r:id="rId2" display="https://files.afu.se/Downloads/Transcripts/0%20-%20Government/USA%20-%20NASA%20Johnson/"/>
    <hyperlink ref="C1760" r:id="rId1760" display="https://youtu.be/sdwHT2zP6gw"/>
    <hyperlink ref="F1760" r:id="rId2" display="https://files.afu.se/Downloads/Transcripts/0%20-%20Government/USA%20-%20NASA%20Johnson/"/>
    <hyperlink ref="C1761" r:id="rId1761" display="https://youtu.be/BV3FT8lyRTo"/>
    <hyperlink ref="F1761" r:id="rId2" display="https://files.afu.se/Downloads/Transcripts/0%20-%20Government/USA%20-%20NASA%20Johnson/"/>
    <hyperlink ref="C1762" r:id="rId1762" display="https://youtu.be/qBouo5fW758"/>
    <hyperlink ref="F1762" r:id="rId2" display="https://files.afu.se/Downloads/Transcripts/0%20-%20Government/USA%20-%20NASA%20Johnson/"/>
    <hyperlink ref="C1763" r:id="rId1763" display="https://youtu.be/7qxCCz6US9M"/>
    <hyperlink ref="F1763" r:id="rId2" display="https://files.afu.se/Downloads/Transcripts/0%20-%20Government/USA%20-%20NASA%20Johnson/"/>
    <hyperlink ref="C1764" r:id="rId1764" display="https://youtu.be/9fEm0qJoqEo"/>
    <hyperlink ref="F1764" r:id="rId2" display="https://files.afu.se/Downloads/Transcripts/0%20-%20Government/USA%20-%20NASA%20Johnson/"/>
    <hyperlink ref="C1765" r:id="rId1765" display="https://youtu.be/XJoDtzqBXXw"/>
    <hyperlink ref="F1765" r:id="rId2" display="https://files.afu.se/Downloads/Transcripts/0%20-%20Government/USA%20-%20NASA%20Johnson/"/>
    <hyperlink ref="C1766" r:id="rId1766" display="https://youtu.be/Zi2IbWs1vHY"/>
    <hyperlink ref="F1766" r:id="rId2" display="https://files.afu.se/Downloads/Transcripts/0%20-%20Government/USA%20-%20NASA%20Johnson/"/>
    <hyperlink ref="C1767" r:id="rId1767" display="https://youtu.be/xdj_A-3gEY4"/>
    <hyperlink ref="F1767" r:id="rId2" display="https://files.afu.se/Downloads/Transcripts/0%20-%20Government/USA%20-%20NASA%20Johnson/"/>
    <hyperlink ref="C1768" r:id="rId1768" display="https://youtu.be/3bZWL9pTZZU"/>
    <hyperlink ref="F1768" r:id="rId2" display="https://files.afu.se/Downloads/Transcripts/0%20-%20Government/USA%20-%20NASA%20Johnson/"/>
    <hyperlink ref="C1769" r:id="rId1769" display="https://youtu.be/UpBwvPeI5VM"/>
    <hyperlink ref="F1769" r:id="rId2" display="https://files.afu.se/Downloads/Transcripts/0%20-%20Government/USA%20-%20NASA%20Johnson/"/>
    <hyperlink ref="C1770" r:id="rId1770" display="https://youtu.be/Dg2kJXlYabw"/>
    <hyperlink ref="F1770" r:id="rId2" display="https://files.afu.se/Downloads/Transcripts/0%20-%20Government/USA%20-%20NASA%20Johnson/"/>
    <hyperlink ref="C1771" r:id="rId1771" display="https://youtu.be/no69oljyqPA"/>
    <hyperlink ref="F1771" r:id="rId2" display="https://files.afu.se/Downloads/Transcripts/0%20-%20Government/USA%20-%20NASA%20Johnson/"/>
    <hyperlink ref="C1772" r:id="rId1772" display="https://youtu.be/R4mhT0QtZOs"/>
    <hyperlink ref="F1772" r:id="rId2" display="https://files.afu.se/Downloads/Transcripts/0%20-%20Government/USA%20-%20NASA%20Johnson/"/>
    <hyperlink ref="C1773" r:id="rId1773" display="https://youtu.be/ZYUpdG1tKH0"/>
    <hyperlink ref="F1773" r:id="rId2" display="https://files.afu.se/Downloads/Transcripts/0%20-%20Government/USA%20-%20NASA%20Johnson/"/>
    <hyperlink ref="C1774" r:id="rId1774" display="https://youtu.be/lTxb43yiDUo"/>
    <hyperlink ref="F1774" r:id="rId2" display="https://files.afu.se/Downloads/Transcripts/0%20-%20Government/USA%20-%20NASA%20Johnson/"/>
    <hyperlink ref="C1775" r:id="rId1775" display="https://youtu.be/MdJRpMK1J7Y"/>
    <hyperlink ref="F1775" r:id="rId2" display="https://files.afu.se/Downloads/Transcripts/0%20-%20Government/USA%20-%20NASA%20Johnson/"/>
    <hyperlink ref="C1776" r:id="rId1776" display="https://youtu.be/TIZ8V9Hq9H8"/>
    <hyperlink ref="F1776" r:id="rId2" display="https://files.afu.se/Downloads/Transcripts/0%20-%20Government/USA%20-%20NASA%20Johnson/"/>
    <hyperlink ref="C1777" r:id="rId1777" display="https://youtu.be/Gv479VS97Ao"/>
    <hyperlink ref="F1777" r:id="rId2" display="https://files.afu.se/Downloads/Transcripts/0%20-%20Government/USA%20-%20NASA%20Johnson/"/>
    <hyperlink ref="C1778" r:id="rId1778" display="https://youtu.be/tixSKAAfiiw"/>
    <hyperlink ref="F1778" r:id="rId2" display="https://files.afu.se/Downloads/Transcripts/0%20-%20Government/USA%20-%20NASA%20Johnson/"/>
    <hyperlink ref="C1779" r:id="rId1779" display="https://youtu.be/laMmaGFZFZI"/>
    <hyperlink ref="F1779" r:id="rId2" display="https://files.afu.se/Downloads/Transcripts/0%20-%20Government/USA%20-%20NASA%20Johnson/"/>
    <hyperlink ref="C1780" r:id="rId1780" display="https://youtu.be/sLwW3pdXkFo"/>
    <hyperlink ref="F1780" r:id="rId2" display="https://files.afu.se/Downloads/Transcripts/0%20-%20Government/USA%20-%20NASA%20Johnson/"/>
    <hyperlink ref="C1781" r:id="rId1781" display="https://youtu.be/rnskwzPFijs"/>
    <hyperlink ref="F1781" r:id="rId2" display="https://files.afu.se/Downloads/Transcripts/0%20-%20Government/USA%20-%20NASA%20Johnson/"/>
    <hyperlink ref="C1782" r:id="rId1782" display="https://youtu.be/G6ZWuT-LSIQ"/>
    <hyperlink ref="F1782" r:id="rId2" display="https://files.afu.se/Downloads/Transcripts/0%20-%20Government/USA%20-%20NASA%20Johnson/"/>
    <hyperlink ref="C1783" r:id="rId1783" display="https://youtu.be/GehurZjIA0w"/>
    <hyperlink ref="F1783" r:id="rId2" display="https://files.afu.se/Downloads/Transcripts/0%20-%20Government/USA%20-%20NASA%20Johnson/"/>
    <hyperlink ref="C1784" r:id="rId1784" display="https://youtu.be/O5asRmTtfpY"/>
    <hyperlink ref="F1784" r:id="rId2" display="https://files.afu.se/Downloads/Transcripts/0%20-%20Government/USA%20-%20NASA%20Johnson/"/>
    <hyperlink ref="C1785" r:id="rId1785" display="https://youtu.be/6bQCWkrFBS0"/>
    <hyperlink ref="F1785" r:id="rId2" display="https://files.afu.se/Downloads/Transcripts/0%20-%20Government/USA%20-%20NASA%20Johnson/"/>
    <hyperlink ref="C1786" r:id="rId1786" display="https://youtu.be/Qf6ArVwQ120"/>
    <hyperlink ref="F1786" r:id="rId2" display="https://files.afu.se/Downloads/Transcripts/0%20-%20Government/USA%20-%20NASA%20Johnson/"/>
    <hyperlink ref="C1787" r:id="rId1787" display="https://youtu.be/r2GhWt1chYc"/>
    <hyperlink ref="F1787" r:id="rId2" display="https://files.afu.se/Downloads/Transcripts/0%20-%20Government/USA%20-%20NASA%20Johnson/"/>
    <hyperlink ref="C1788" r:id="rId1788" display="https://youtu.be/e8-mITnP2YI"/>
    <hyperlink ref="F1788" r:id="rId2" display="https://files.afu.se/Downloads/Transcripts/0%20-%20Government/USA%20-%20NASA%20Johnson/"/>
    <hyperlink ref="C1789" r:id="rId1789" display="https://youtu.be/coZRUh_O2S8"/>
    <hyperlink ref="F1789" r:id="rId2" display="https://files.afu.se/Downloads/Transcripts/0%20-%20Government/USA%20-%20NASA%20Johnson/"/>
    <hyperlink ref="C1790" r:id="rId1790" display="https://youtu.be/vXvjddJ_Xzk"/>
    <hyperlink ref="F1790" r:id="rId2" display="https://files.afu.se/Downloads/Transcripts/0%20-%20Government/USA%20-%20NASA%20Johnson/"/>
    <hyperlink ref="C1791" r:id="rId1791" display="https://youtu.be/CSsSky_8myg"/>
    <hyperlink ref="F1791" r:id="rId2" display="https://files.afu.se/Downloads/Transcripts/0%20-%20Government/USA%20-%20NASA%20Johnson/"/>
    <hyperlink ref="C1792" r:id="rId1792" display="https://youtu.be/9pRa5X07Vdk"/>
    <hyperlink ref="F1792" r:id="rId2" display="https://files.afu.se/Downloads/Transcripts/0%20-%20Government/USA%20-%20NASA%20Johnson/"/>
    <hyperlink ref="C1793" r:id="rId1793" display="https://youtu.be/OVKubdxYGFk"/>
    <hyperlink ref="F1793" r:id="rId2" display="https://files.afu.se/Downloads/Transcripts/0%20-%20Government/USA%20-%20NASA%20Johnson/"/>
    <hyperlink ref="C1794" r:id="rId1794" display="https://youtu.be/eLYeJXH5n44"/>
    <hyperlink ref="F1794" r:id="rId2" display="https://files.afu.se/Downloads/Transcripts/0%20-%20Government/USA%20-%20NASA%20Johnson/"/>
    <hyperlink ref="C1795" r:id="rId1795" display="https://youtu.be/h1u2kBuPu2c"/>
    <hyperlink ref="F1795" r:id="rId2" display="https://files.afu.se/Downloads/Transcripts/0%20-%20Government/USA%20-%20NASA%20Johnson/"/>
    <hyperlink ref="C1796" r:id="rId1796" display="https://youtu.be/zqhlzn49_q0"/>
    <hyperlink ref="F1796" r:id="rId2" display="https://files.afu.se/Downloads/Transcripts/0%20-%20Government/USA%20-%20NASA%20Johnson/"/>
    <hyperlink ref="C1797" r:id="rId1797" display="https://youtu.be/4yqmhsrfBoQ"/>
    <hyperlink ref="F1797" r:id="rId2" display="https://files.afu.se/Downloads/Transcripts/0%20-%20Government/USA%20-%20NASA%20Johnson/"/>
    <hyperlink ref="C1798" r:id="rId1798" display="https://youtu.be/w0RuyH592S0"/>
    <hyperlink ref="F1798" r:id="rId2" display="https://files.afu.se/Downloads/Transcripts/0%20-%20Government/USA%20-%20NASA%20Johnson/"/>
    <hyperlink ref="C1799" r:id="rId1799" display="https://youtu.be/g-NsdyAYO0g"/>
    <hyperlink ref="F1799" r:id="rId2" display="https://files.afu.se/Downloads/Transcripts/0%20-%20Government/USA%20-%20NASA%20Johnson/"/>
    <hyperlink ref="C1800" r:id="rId1800" display="https://youtu.be/dobPM34aJs8"/>
    <hyperlink ref="F1800" r:id="rId2" display="https://files.afu.se/Downloads/Transcripts/0%20-%20Government/USA%20-%20NASA%20Johnson/"/>
    <hyperlink ref="C1801" r:id="rId1801" display="https://youtu.be/T7OcgHp4Zp4"/>
    <hyperlink ref="F1801" r:id="rId2" display="https://files.afu.se/Downloads/Transcripts/0%20-%20Government/USA%20-%20NASA%20Johnson/"/>
    <hyperlink ref="C1802" r:id="rId1802" display="https://youtu.be/PrOdwo8gU6I"/>
    <hyperlink ref="F1802" r:id="rId2" display="https://files.afu.se/Downloads/Transcripts/0%20-%20Government/USA%20-%20NASA%20Johnson/"/>
    <hyperlink ref="C1803" r:id="rId1803" display="https://youtu.be/0OxoEnzAhFg"/>
    <hyperlink ref="F1803" r:id="rId2" display="https://files.afu.se/Downloads/Transcripts/0%20-%20Government/USA%20-%20NASA%20Johnson/"/>
    <hyperlink ref="C1804" r:id="rId1804" display="https://youtu.be/SSGhP0aOcAQ"/>
    <hyperlink ref="F1804" r:id="rId2" display="https://files.afu.se/Downloads/Transcripts/0%20-%20Government/USA%20-%20NASA%20Johnson/"/>
    <hyperlink ref="C1805" r:id="rId1805" display="https://youtu.be/2v-3Cehq-d4"/>
    <hyperlink ref="F1805" r:id="rId2" display="https://files.afu.se/Downloads/Transcripts/0%20-%20Government/USA%20-%20NASA%20Johnson/"/>
    <hyperlink ref="C1806" r:id="rId1806" display="https://youtu.be/Q9Z6-1Lt00o"/>
    <hyperlink ref="F1806" r:id="rId2" display="https://files.afu.se/Downloads/Transcripts/0%20-%20Government/USA%20-%20NASA%20Johnson/"/>
    <hyperlink ref="C1807" r:id="rId1807" display="https://youtu.be/jywPZvL7Vu0"/>
    <hyperlink ref="F1807" r:id="rId2" display="https://files.afu.se/Downloads/Transcripts/0%20-%20Government/USA%20-%20NASA%20Johnson/"/>
    <hyperlink ref="C1808" r:id="rId1808" display="https://youtu.be/vgZymJC4a-g"/>
    <hyperlink ref="F1808" r:id="rId2" display="https://files.afu.se/Downloads/Transcripts/0%20-%20Government/USA%20-%20NASA%20Johnson/"/>
    <hyperlink ref="C1809" r:id="rId1809" display="https://youtu.be/wUgBiEgF138"/>
    <hyperlink ref="F1809" r:id="rId2" display="https://files.afu.se/Downloads/Transcripts/0%20-%20Government/USA%20-%20NASA%20Johnson/"/>
    <hyperlink ref="C1810" r:id="rId1810" display="https://youtu.be/_Hv3WDLqm3Q"/>
    <hyperlink ref="F1810" r:id="rId2" display="https://files.afu.se/Downloads/Transcripts/0%20-%20Government/USA%20-%20NASA%20Johnson/"/>
    <hyperlink ref="C1811" r:id="rId1811" display="https://youtu.be/EnpPsLf43r4"/>
    <hyperlink ref="F1811" r:id="rId2" display="https://files.afu.se/Downloads/Transcripts/0%20-%20Government/USA%20-%20NASA%20Johnson/"/>
    <hyperlink ref="C1812" r:id="rId1812" display="https://youtu.be/5bqqGcdtLYA"/>
    <hyperlink ref="F1812" r:id="rId2" display="https://files.afu.se/Downloads/Transcripts/0%20-%20Government/USA%20-%20NASA%20Johnson/"/>
    <hyperlink ref="C1813" r:id="rId1813" display="https://youtu.be/zgR5treTe6s"/>
    <hyperlink ref="F1813" r:id="rId2" display="https://files.afu.se/Downloads/Transcripts/0%20-%20Government/USA%20-%20NASA%20Johnson/"/>
    <hyperlink ref="C1814" r:id="rId1814" display="https://youtu.be/WhGWOQr0m6E"/>
    <hyperlink ref="F1814" r:id="rId2" display="https://files.afu.se/Downloads/Transcripts/0%20-%20Government/USA%20-%20NASA%20Johnson/"/>
    <hyperlink ref="C1815" r:id="rId1815" display="https://youtu.be/90MbOj7lD-Q"/>
    <hyperlink ref="F1815" r:id="rId2" display="https://files.afu.se/Downloads/Transcripts/0%20-%20Government/USA%20-%20NASA%20Johnson/"/>
    <hyperlink ref="C1816" r:id="rId1816" display="https://youtu.be/YeaxbbhOnX4"/>
    <hyperlink ref="F1816" r:id="rId2" display="https://files.afu.se/Downloads/Transcripts/0%20-%20Government/USA%20-%20NASA%20Johnson/"/>
    <hyperlink ref="C1817" r:id="rId1817" display="https://youtu.be/y0gy1WqB1n4"/>
    <hyperlink ref="F1817" r:id="rId2" display="https://files.afu.se/Downloads/Transcripts/0%20-%20Government/USA%20-%20NASA%20Johnson/"/>
    <hyperlink ref="C1818" r:id="rId1818" display="https://youtu.be/Tq-mef33XBg"/>
    <hyperlink ref="F1818" r:id="rId2" display="https://files.afu.se/Downloads/Transcripts/0%20-%20Government/USA%20-%20NASA%20Johnson/"/>
    <hyperlink ref="C1819" r:id="rId1819" display="https://youtu.be/rX6lI__Trvw"/>
    <hyperlink ref="F1819" r:id="rId2" display="https://files.afu.se/Downloads/Transcripts/0%20-%20Government/USA%20-%20NASA%20Johnson/"/>
    <hyperlink ref="C1820" r:id="rId1820" display="https://youtu.be/dfa6H1oWgEA"/>
    <hyperlink ref="F1820" r:id="rId2" display="https://files.afu.se/Downloads/Transcripts/0%20-%20Government/USA%20-%20NASA%20Johnson/"/>
    <hyperlink ref="C1821" r:id="rId1821" display="https://youtu.be/hxe4JHOFxM0"/>
    <hyperlink ref="F1821" r:id="rId2" display="https://files.afu.se/Downloads/Transcripts/0%20-%20Government/USA%20-%20NASA%20Johnson/"/>
    <hyperlink ref="C1822" r:id="rId1822" display="https://youtu.be/mDekX5D6428"/>
    <hyperlink ref="F1822" r:id="rId2" display="https://files.afu.se/Downloads/Transcripts/0%20-%20Government/USA%20-%20NASA%20Johnson/"/>
    <hyperlink ref="C1823" r:id="rId1823" display="https://youtu.be/Jsa5Etrx3fs"/>
    <hyperlink ref="F1823" r:id="rId2" display="https://files.afu.se/Downloads/Transcripts/0%20-%20Government/USA%20-%20NASA%20Johnson/"/>
    <hyperlink ref="C1824" r:id="rId1824" display="https://youtu.be/T-3S248Lqxw"/>
    <hyperlink ref="F1824" r:id="rId2" display="https://files.afu.se/Downloads/Transcripts/0%20-%20Government/USA%20-%20NASA%20Johnson/"/>
    <hyperlink ref="C1825" r:id="rId1825" display="https://youtu.be/vJw0cYldD80"/>
    <hyperlink ref="F1825" r:id="rId2" display="https://files.afu.se/Downloads/Transcripts/0%20-%20Government/USA%20-%20NASA%20Johnson/"/>
    <hyperlink ref="C1826" r:id="rId1826" display="https://youtu.be/rvey9CPXdfc"/>
    <hyperlink ref="F1826" r:id="rId2" display="https://files.afu.se/Downloads/Transcripts/0%20-%20Government/USA%20-%20NASA%20Johnson/"/>
    <hyperlink ref="C1827" r:id="rId1827" display="https://youtu.be/PPPn55TBnHc"/>
    <hyperlink ref="F1827" r:id="rId2" display="https://files.afu.se/Downloads/Transcripts/0%20-%20Government/USA%20-%20NASA%20Johnson/"/>
    <hyperlink ref="C1828" r:id="rId1828" display="https://youtu.be/hdEHYRK9Fwo"/>
    <hyperlink ref="F1828" r:id="rId2" display="https://files.afu.se/Downloads/Transcripts/0%20-%20Government/USA%20-%20NASA%20Johnson/"/>
    <hyperlink ref="C1829" r:id="rId1829" display="https://youtu.be/HWeGYVeRxxg"/>
    <hyperlink ref="F1829" r:id="rId2" display="https://files.afu.se/Downloads/Transcripts/0%20-%20Government/USA%20-%20NASA%20Johnson/"/>
    <hyperlink ref="C1830" r:id="rId1830" display="https://youtu.be/EdTl0Lzj93g"/>
    <hyperlink ref="F1830" r:id="rId2" display="https://files.afu.se/Downloads/Transcripts/0%20-%20Government/USA%20-%20NASA%20Johnson/"/>
    <hyperlink ref="C1831" r:id="rId1831" display="https://youtu.be/6_jVQCx7AGc"/>
    <hyperlink ref="F1831" r:id="rId2" display="https://files.afu.se/Downloads/Transcripts/0%20-%20Government/USA%20-%20NASA%20Johnson/"/>
    <hyperlink ref="C1832" r:id="rId1832" display="https://youtu.be/P_eBWWlYgV8"/>
    <hyperlink ref="F1832" r:id="rId2" display="https://files.afu.se/Downloads/Transcripts/0%20-%20Government/USA%20-%20NASA%20Johnson/"/>
    <hyperlink ref="C1833" r:id="rId1833" display="https://youtu.be/0nZ3lytNWiE"/>
    <hyperlink ref="F1833" r:id="rId2" display="https://files.afu.se/Downloads/Transcripts/0%20-%20Government/USA%20-%20NASA%20Johnson/"/>
    <hyperlink ref="C1834" r:id="rId1834" display="https://youtu.be/XGIYrcwcWV4"/>
    <hyperlink ref="F1834" r:id="rId2" display="https://files.afu.se/Downloads/Transcripts/0%20-%20Government/USA%20-%20NASA%20Johnson/"/>
    <hyperlink ref="C1835" r:id="rId1835" display="https://youtu.be/JiMyvj0jsLY"/>
    <hyperlink ref="F1835" r:id="rId2" display="https://files.afu.se/Downloads/Transcripts/0%20-%20Government/USA%20-%20NASA%20Johnson/"/>
    <hyperlink ref="C1836" r:id="rId1836" display="https://youtu.be/mxUgl7Qngxg"/>
    <hyperlink ref="F1836" r:id="rId2" display="https://files.afu.se/Downloads/Transcripts/0%20-%20Government/USA%20-%20NASA%20Johnson/"/>
    <hyperlink ref="C1837" r:id="rId1837" display="https://youtu.be/KlRleRABIdg"/>
    <hyperlink ref="F1837" r:id="rId2" display="https://files.afu.se/Downloads/Transcripts/0%20-%20Government/USA%20-%20NASA%20Johnson/"/>
    <hyperlink ref="C1838" r:id="rId1838" display="https://youtu.be/iDqg74xqZB4"/>
    <hyperlink ref="F1838" r:id="rId2" display="https://files.afu.se/Downloads/Transcripts/0%20-%20Government/USA%20-%20NASA%20Johnson/"/>
    <hyperlink ref="C1839" r:id="rId1839" display="https://youtu.be/-4KWnWx1q3M"/>
    <hyperlink ref="F1839" r:id="rId2" display="https://files.afu.se/Downloads/Transcripts/0%20-%20Government/USA%20-%20NASA%20Johnson/"/>
    <hyperlink ref="C1840" r:id="rId1840" display="https://youtu.be/QEBkes31Z8U"/>
    <hyperlink ref="F1840" r:id="rId2" display="https://files.afu.se/Downloads/Transcripts/0%20-%20Government/USA%20-%20NASA%20Johnson/"/>
    <hyperlink ref="C1841" r:id="rId1841" display="https://youtu.be/Y21wlqIKkb0"/>
    <hyperlink ref="F1841" r:id="rId2" display="https://files.afu.se/Downloads/Transcripts/0%20-%20Government/USA%20-%20NASA%20Johnson/"/>
    <hyperlink ref="C1842" r:id="rId1842" display="https://youtu.be/D1B2fwK4vd0"/>
    <hyperlink ref="F1842" r:id="rId2" display="https://files.afu.se/Downloads/Transcripts/0%20-%20Government/USA%20-%20NASA%20Johnson/"/>
    <hyperlink ref="C1843" r:id="rId1843" display="https://youtu.be/bTNUHsTwq0A"/>
    <hyperlink ref="F1843" r:id="rId2" display="https://files.afu.se/Downloads/Transcripts/0%20-%20Government/USA%20-%20NASA%20Johnson/"/>
    <hyperlink ref="C1844" r:id="rId1844" display="https://youtu.be/ZPATyyn39uM"/>
    <hyperlink ref="F1844" r:id="rId2" display="https://files.afu.se/Downloads/Transcripts/0%20-%20Government/USA%20-%20NASA%20Johnson/"/>
    <hyperlink ref="C1845" r:id="rId1845" display="https://youtu.be/WcI1e4KiDv0"/>
    <hyperlink ref="F1845" r:id="rId2" display="https://files.afu.se/Downloads/Transcripts/0%20-%20Government/USA%20-%20NASA%20Johnson/"/>
    <hyperlink ref="C1846" r:id="rId1846" display="https://youtu.be/ioxNYPrn228"/>
    <hyperlink ref="F1846" r:id="rId2" display="https://files.afu.se/Downloads/Transcripts/0%20-%20Government/USA%20-%20NASA%20Johnson/"/>
    <hyperlink ref="C1847" r:id="rId1847" display="https://youtu.be/0rgshsCRHN0"/>
    <hyperlink ref="F1847" r:id="rId2" display="https://files.afu.se/Downloads/Transcripts/0%20-%20Government/USA%20-%20NASA%20Johnson/"/>
    <hyperlink ref="C1848" r:id="rId1848" display="https://youtu.be/fIQMdNhpPgQ"/>
    <hyperlink ref="F1848" r:id="rId2" display="https://files.afu.se/Downloads/Transcripts/0%20-%20Government/USA%20-%20NASA%20Johnson/"/>
    <hyperlink ref="C1849" r:id="rId1849" display="https://youtu.be/PHlcmLQM9Ug"/>
    <hyperlink ref="F1849" r:id="rId2" display="https://files.afu.se/Downloads/Transcripts/0%20-%20Government/USA%20-%20NASA%20Johnson/"/>
    <hyperlink ref="C1850" r:id="rId1850" display="https://youtu.be/rO4apgo_1e4"/>
    <hyperlink ref="F1850" r:id="rId2" display="https://files.afu.se/Downloads/Transcripts/0%20-%20Government/USA%20-%20NASA%20Johnson/"/>
    <hyperlink ref="C1851" r:id="rId1851" display="https://youtu.be/LPA4HNFURnU"/>
    <hyperlink ref="F1851" r:id="rId2" display="https://files.afu.se/Downloads/Transcripts/0%20-%20Government/USA%20-%20NASA%20Johnson/"/>
    <hyperlink ref="C1852" r:id="rId1852" display="https://youtu.be/xTlaGbsHq9A"/>
    <hyperlink ref="F1852" r:id="rId2" display="https://files.afu.se/Downloads/Transcripts/0%20-%20Government/USA%20-%20NASA%20Johnson/"/>
    <hyperlink ref="C1853" r:id="rId1853" display="https://youtu.be/wAogqm7sxoM"/>
    <hyperlink ref="F1853" r:id="rId2" display="https://files.afu.se/Downloads/Transcripts/0%20-%20Government/USA%20-%20NASA%20Johnson/"/>
    <hyperlink ref="C1854" r:id="rId1854" display="https://youtu.be/BMFB2oudXZc"/>
    <hyperlink ref="F1854" r:id="rId2" display="https://files.afu.se/Downloads/Transcripts/0%20-%20Government/USA%20-%20NASA%20Johnson/"/>
    <hyperlink ref="C1855" r:id="rId1855" display="https://youtu.be/irQHIhwDqGQ"/>
    <hyperlink ref="F1855" r:id="rId2" display="https://files.afu.se/Downloads/Transcripts/0%20-%20Government/USA%20-%20NASA%20Johnson/"/>
    <hyperlink ref="C1856" r:id="rId1856" display="https://youtu.be/Nm2_BwnCL7I"/>
    <hyperlink ref="F1856" r:id="rId2" display="https://files.afu.se/Downloads/Transcripts/0%20-%20Government/USA%20-%20NASA%20Johnson/"/>
    <hyperlink ref="C1857" r:id="rId1857" display="https://youtu.be/KcAvwEKwScM"/>
    <hyperlink ref="F1857" r:id="rId2" display="https://files.afu.se/Downloads/Transcripts/0%20-%20Government/USA%20-%20NASA%20Johnson/"/>
    <hyperlink ref="C1858" r:id="rId1858" display="https://youtu.be/L04fa4JvdAQ"/>
    <hyperlink ref="F1858" r:id="rId2" display="https://files.afu.se/Downloads/Transcripts/0%20-%20Government/USA%20-%20NASA%20Johnson/"/>
    <hyperlink ref="C1859" r:id="rId1859" display="https://youtu.be/iEabhqI0i-0"/>
    <hyperlink ref="F1859" r:id="rId2" display="https://files.afu.se/Downloads/Transcripts/0%20-%20Government/USA%20-%20NASA%20Johnson/"/>
    <hyperlink ref="C1860" r:id="rId1860" display="https://youtu.be/r7wxiT3lDOU"/>
    <hyperlink ref="F1860" r:id="rId2" display="https://files.afu.se/Downloads/Transcripts/0%20-%20Government/USA%20-%20NASA%20Johnson/"/>
    <hyperlink ref="C1861" r:id="rId1861" display="https://youtu.be/-s09OuW8JPo"/>
    <hyperlink ref="F1861" r:id="rId2" display="https://files.afu.se/Downloads/Transcripts/0%20-%20Government/USA%20-%20NASA%20Johnson/"/>
    <hyperlink ref="C1862" r:id="rId1862" display="https://youtu.be/BMmIouNDv6M"/>
    <hyperlink ref="F1862" r:id="rId2" display="https://files.afu.se/Downloads/Transcripts/0%20-%20Government/USA%20-%20NASA%20Johnson/"/>
    <hyperlink ref="C1863" r:id="rId1863" display="https://youtu.be/ygvMe7roCaw"/>
    <hyperlink ref="F1863" r:id="rId2" display="https://files.afu.se/Downloads/Transcripts/0%20-%20Government/USA%20-%20NASA%20Johnson/"/>
    <hyperlink ref="C1864" r:id="rId1864" display="https://youtu.be/xHm075F1yZQ"/>
    <hyperlink ref="F1864" r:id="rId2" display="https://files.afu.se/Downloads/Transcripts/0%20-%20Government/USA%20-%20NASA%20Johnson/"/>
    <hyperlink ref="C1865" r:id="rId1865" display="https://youtu.be/Pr8Aj5rgU_8"/>
    <hyperlink ref="F1865" r:id="rId2" display="https://files.afu.se/Downloads/Transcripts/0%20-%20Government/USA%20-%20NASA%20Johnson/"/>
    <hyperlink ref="C1866" r:id="rId1866" display="https://youtu.be/20uz55rpYAo"/>
    <hyperlink ref="F1866" r:id="rId2" display="https://files.afu.se/Downloads/Transcripts/0%20-%20Government/USA%20-%20NASA%20Johnson/"/>
    <hyperlink ref="C1867" r:id="rId1867" display="https://youtu.be/fsaIJX_DBWs"/>
    <hyperlink ref="F1867" r:id="rId2" display="https://files.afu.se/Downloads/Transcripts/0%20-%20Government/USA%20-%20NASA%20Johnson/"/>
    <hyperlink ref="C1868" r:id="rId1868" display="https://youtu.be/se6_0AeVPGA"/>
    <hyperlink ref="F1868" r:id="rId2" display="https://files.afu.se/Downloads/Transcripts/0%20-%20Government/USA%20-%20NASA%20Johnson/"/>
    <hyperlink ref="C1869" r:id="rId1869" display="https://youtu.be/-D4osuNnrMc"/>
    <hyperlink ref="F1869" r:id="rId2" display="https://files.afu.se/Downloads/Transcripts/0%20-%20Government/USA%20-%20NASA%20Johnson/"/>
    <hyperlink ref="C1870" r:id="rId1870" display="https://youtu.be/4PsY00wNjnQ"/>
    <hyperlink ref="F1870" r:id="rId2" display="https://files.afu.se/Downloads/Transcripts/0%20-%20Government/USA%20-%20NASA%20Johnson/"/>
    <hyperlink ref="C1871" r:id="rId1871" display="https://youtu.be/u0yumDyPS7U"/>
    <hyperlink ref="F1871" r:id="rId2" display="https://files.afu.se/Downloads/Transcripts/0%20-%20Government/USA%20-%20NASA%20Johnson/"/>
    <hyperlink ref="C1872" r:id="rId1872" display="https://youtu.be/7bq_03LEXiA"/>
    <hyperlink ref="F1872" r:id="rId2" display="https://files.afu.se/Downloads/Transcripts/0%20-%20Government/USA%20-%20NASA%20Johnson/"/>
    <hyperlink ref="C1873" r:id="rId1873" display="https://youtu.be/Yn-ZiAxeUBg"/>
    <hyperlink ref="F1873" r:id="rId2" display="https://files.afu.se/Downloads/Transcripts/0%20-%20Government/USA%20-%20NASA%20Johnson/"/>
    <hyperlink ref="C1874" r:id="rId1874" display="https://youtu.be/I-QhM18OQZE"/>
    <hyperlink ref="F1874" r:id="rId2" display="https://files.afu.se/Downloads/Transcripts/0%20-%20Government/USA%20-%20NASA%20Johnson/"/>
    <hyperlink ref="C1875" r:id="rId1875" display="https://youtu.be/IJJk_lYuIGg"/>
    <hyperlink ref="F1875" r:id="rId2" display="https://files.afu.se/Downloads/Transcripts/0%20-%20Government/USA%20-%20NASA%20Johnson/"/>
    <hyperlink ref="C1876" r:id="rId1876" display="https://youtu.be/YWzRCbLvIrc"/>
    <hyperlink ref="F1876" r:id="rId2" display="https://files.afu.se/Downloads/Transcripts/0%20-%20Government/USA%20-%20NASA%20Johnson/"/>
    <hyperlink ref="C1877" r:id="rId1877" display="https://youtu.be/0DUn_N2o9G0"/>
    <hyperlink ref="F1877" r:id="rId2" display="https://files.afu.se/Downloads/Transcripts/0%20-%20Government/USA%20-%20NASA%20Johnson/"/>
    <hyperlink ref="C1878" r:id="rId1878" display="https://youtu.be/E_fZI-Vltrc"/>
    <hyperlink ref="F1878" r:id="rId2" display="https://files.afu.se/Downloads/Transcripts/0%20-%20Government/USA%20-%20NASA%20Johnson/"/>
    <hyperlink ref="C1879" r:id="rId1879" display="https://youtu.be/N1zF4BM50Dk"/>
    <hyperlink ref="F1879" r:id="rId2" display="https://files.afu.se/Downloads/Transcripts/0%20-%20Government/USA%20-%20NASA%20Johnson/"/>
    <hyperlink ref="C1880" r:id="rId1880" display="https://youtu.be/YWnmWGDVsxs"/>
    <hyperlink ref="F1880" r:id="rId2" display="https://files.afu.se/Downloads/Transcripts/0%20-%20Government/USA%20-%20NASA%20Johnson/"/>
    <hyperlink ref="C1881" r:id="rId1881" display="https://youtu.be/Ul3eJ7NT6E8"/>
    <hyperlink ref="F1881" r:id="rId2" display="https://files.afu.se/Downloads/Transcripts/0%20-%20Government/USA%20-%20NASA%20Johnson/"/>
    <hyperlink ref="C1882" r:id="rId1882" display="https://youtu.be/X_mLDfhDxS8"/>
    <hyperlink ref="F1882" r:id="rId2" display="https://files.afu.se/Downloads/Transcripts/0%20-%20Government/USA%20-%20NASA%20Johnson/"/>
    <hyperlink ref="C1883" r:id="rId1883" display="https://youtu.be/womKV58QTHY"/>
    <hyperlink ref="F1883" r:id="rId2" display="https://files.afu.se/Downloads/Transcripts/0%20-%20Government/USA%20-%20NASA%20Johnson/"/>
    <hyperlink ref="C1884" r:id="rId1884" display="https://youtu.be/_6-OhcXD-DQ"/>
    <hyperlink ref="F1884" r:id="rId2" display="https://files.afu.se/Downloads/Transcripts/0%20-%20Government/USA%20-%20NASA%20Johnson/"/>
    <hyperlink ref="C1885" r:id="rId1885" display="https://youtu.be/ffJiiceuwok"/>
    <hyperlink ref="F1885" r:id="rId2" display="https://files.afu.se/Downloads/Transcripts/0%20-%20Government/USA%20-%20NASA%20Johnson/"/>
    <hyperlink ref="C1886" r:id="rId1886" display="https://youtu.be/fGWM7jAPtJI"/>
    <hyperlink ref="F1886" r:id="rId2" display="https://files.afu.se/Downloads/Transcripts/0%20-%20Government/USA%20-%20NASA%20Johnson/"/>
    <hyperlink ref="C1887" r:id="rId1887" display="https://youtu.be/GqurHxFwUcM"/>
    <hyperlink ref="F1887" r:id="rId2" display="https://files.afu.se/Downloads/Transcripts/0%20-%20Government/USA%20-%20NASA%20Johnson/"/>
    <hyperlink ref="C1888" r:id="rId1888" display="https://youtu.be/8jzKD-nWFfQ"/>
    <hyperlink ref="F1888" r:id="rId2" display="https://files.afu.se/Downloads/Transcripts/0%20-%20Government/USA%20-%20NASA%20Johnson/"/>
    <hyperlink ref="C1889" r:id="rId1889" display="https://youtu.be/ZxojSJEntBY"/>
    <hyperlink ref="F1889" r:id="rId2" display="https://files.afu.se/Downloads/Transcripts/0%20-%20Government/USA%20-%20NASA%20Johnson/"/>
    <hyperlink ref="C1890" r:id="rId1890" display="https://youtu.be/Zb46Pv-9feU"/>
    <hyperlink ref="F1890" r:id="rId2" display="https://files.afu.se/Downloads/Transcripts/0%20-%20Government/USA%20-%20NASA%20Johnson/"/>
    <hyperlink ref="C1891" r:id="rId1891" display="https://youtu.be/lJtQNzykPWQ"/>
    <hyperlink ref="F1891" r:id="rId2" display="https://files.afu.se/Downloads/Transcripts/0%20-%20Government/USA%20-%20NASA%20Johnson/"/>
    <hyperlink ref="C1892" r:id="rId1892" display="https://youtu.be/foPpqALlHt4"/>
    <hyperlink ref="F1892" r:id="rId2" display="https://files.afu.se/Downloads/Transcripts/0%20-%20Government/USA%20-%20NASA%20Johnson/"/>
    <hyperlink ref="C1893" r:id="rId1893" display="https://youtu.be/KBNx5RzQAv4"/>
    <hyperlink ref="F1893" r:id="rId2" display="https://files.afu.se/Downloads/Transcripts/0%20-%20Government/USA%20-%20NASA%20Johnson/"/>
    <hyperlink ref="C1894" r:id="rId1894" display="https://youtu.be/P33j8iK6u0I"/>
    <hyperlink ref="F1894" r:id="rId2" display="https://files.afu.se/Downloads/Transcripts/0%20-%20Government/USA%20-%20NASA%20Johnson/"/>
    <hyperlink ref="C1895" r:id="rId1895" display="https://youtu.be/5FCk6zBcpsE"/>
    <hyperlink ref="F1895" r:id="rId2" display="https://files.afu.se/Downloads/Transcripts/0%20-%20Government/USA%20-%20NASA%20Johnson/"/>
    <hyperlink ref="C1896" r:id="rId1896" display="https://youtu.be/9XJ1vZKtXjk"/>
    <hyperlink ref="F1896" r:id="rId2" display="https://files.afu.se/Downloads/Transcripts/0%20-%20Government/USA%20-%20NASA%20Johnson/"/>
    <hyperlink ref="C1897" r:id="rId1897" display="https://youtu.be/sKYGkhwThaw"/>
    <hyperlink ref="F1897" r:id="rId2" display="https://files.afu.se/Downloads/Transcripts/0%20-%20Government/USA%20-%20NASA%20Johnson/"/>
    <hyperlink ref="C1898" r:id="rId1898" display="https://youtu.be/pcj37jkpipU"/>
    <hyperlink ref="F1898" r:id="rId2" display="https://files.afu.se/Downloads/Transcripts/0%20-%20Government/USA%20-%20NASA%20Johnson/"/>
    <hyperlink ref="C1899" r:id="rId1899" display="https://youtu.be/cEpPhTz__4A"/>
    <hyperlink ref="F1899" r:id="rId2" display="https://files.afu.se/Downloads/Transcripts/0%20-%20Government/USA%20-%20NASA%20Johnson/"/>
    <hyperlink ref="C1900" r:id="rId1900" display="https://youtu.be/XKICuB5OdnA"/>
    <hyperlink ref="F1900" r:id="rId2" display="https://files.afu.se/Downloads/Transcripts/0%20-%20Government/USA%20-%20NASA%20Johnson/"/>
    <hyperlink ref="C1901" r:id="rId1901" display="https://youtu.be/KLj0lrfan1g"/>
    <hyperlink ref="F1901" r:id="rId2" display="https://files.afu.se/Downloads/Transcripts/0%20-%20Government/USA%20-%20NASA%20Johnson/"/>
    <hyperlink ref="C1902" r:id="rId1902" display="https://youtu.be/gO6DfhxMfaI"/>
    <hyperlink ref="F1902" r:id="rId2" display="https://files.afu.se/Downloads/Transcripts/0%20-%20Government/USA%20-%20NASA%20Johnson/"/>
    <hyperlink ref="C1903" r:id="rId1903" display="https://youtu.be/eFt69uzMUuw"/>
    <hyperlink ref="F1903" r:id="rId2" display="https://files.afu.se/Downloads/Transcripts/0%20-%20Government/USA%20-%20NASA%20Johnson/"/>
    <hyperlink ref="C1904" r:id="rId1904" display="https://youtu.be/2iV7fElH5h8"/>
    <hyperlink ref="F1904" r:id="rId2" display="https://files.afu.se/Downloads/Transcripts/0%20-%20Government/USA%20-%20NASA%20Johnson/"/>
    <hyperlink ref="C1905" r:id="rId1905" display="https://youtu.be/9p0czSsawVw"/>
    <hyperlink ref="F1905" r:id="rId2" display="https://files.afu.se/Downloads/Transcripts/0%20-%20Government/USA%20-%20NASA%20Johnson/"/>
    <hyperlink ref="C1906" r:id="rId1906" display="https://youtu.be/qBtsKBpEyZE"/>
    <hyperlink ref="F1906" r:id="rId2" display="https://files.afu.se/Downloads/Transcripts/0%20-%20Government/USA%20-%20NASA%20Johnson/"/>
    <hyperlink ref="C1907" r:id="rId1907" display="https://youtu.be/psZ6UAFUOT4"/>
    <hyperlink ref="F1907" r:id="rId2" display="https://files.afu.se/Downloads/Transcripts/0%20-%20Government/USA%20-%20NASA%20Johnson/"/>
    <hyperlink ref="C1908" r:id="rId1908" display="https://youtu.be/KSc_yHCu68o"/>
    <hyperlink ref="F1908" r:id="rId2" display="https://files.afu.se/Downloads/Transcripts/0%20-%20Government/USA%20-%20NASA%20Johnson/"/>
    <hyperlink ref="C1909" r:id="rId1909" display="https://youtu.be/cAaC-fUqS64"/>
    <hyperlink ref="F1909" r:id="rId2" display="https://files.afu.se/Downloads/Transcripts/0%20-%20Government/USA%20-%20NASA%20Johnson/"/>
    <hyperlink ref="C1910" r:id="rId1910" display="https://youtu.be/kIprqsu8C2E"/>
    <hyperlink ref="F1910" r:id="rId2" display="https://files.afu.se/Downloads/Transcripts/0%20-%20Government/USA%20-%20NASA%20Johnson/"/>
    <hyperlink ref="C1911" r:id="rId1911" display="https://youtu.be/DFtLlud0-Mk"/>
    <hyperlink ref="F1911" r:id="rId2" display="https://files.afu.se/Downloads/Transcripts/0%20-%20Government/USA%20-%20NASA%20Johnson/"/>
    <hyperlink ref="C1912" r:id="rId1912" display="https://youtu.be/iht75kq0RrU"/>
    <hyperlink ref="F1912" r:id="rId2" display="https://files.afu.se/Downloads/Transcripts/0%20-%20Government/USA%20-%20NASA%20Johnson/"/>
    <hyperlink ref="C1913" r:id="rId1913" display="https://youtu.be/IW0Ay0rmvWk"/>
    <hyperlink ref="F1913" r:id="rId2" display="https://files.afu.se/Downloads/Transcripts/0%20-%20Government/USA%20-%20NASA%20Johnson/"/>
    <hyperlink ref="C1914" r:id="rId1914" display="https://youtu.be/DayWXWbVW4g"/>
    <hyperlink ref="F1914" r:id="rId2" display="https://files.afu.se/Downloads/Transcripts/0%20-%20Government/USA%20-%20NASA%20Johnson/"/>
    <hyperlink ref="C1915" r:id="rId1915" display="https://youtu.be/GhHe3oiLCo4"/>
    <hyperlink ref="F1915" r:id="rId2" display="https://files.afu.se/Downloads/Transcripts/0%20-%20Government/USA%20-%20NASA%20Johnson/"/>
    <hyperlink ref="C1916" r:id="rId1916" display="https://youtu.be/LIWSyyT3w98"/>
    <hyperlink ref="F1916" r:id="rId2" display="https://files.afu.se/Downloads/Transcripts/0%20-%20Government/USA%20-%20NASA%20Johnson/"/>
    <hyperlink ref="C1917" r:id="rId1917" display="https://youtu.be/yzN9jSDKR8c"/>
    <hyperlink ref="F1917" r:id="rId2" display="https://files.afu.se/Downloads/Transcripts/0%20-%20Government/USA%20-%20NASA%20Johnson/"/>
    <hyperlink ref="C1918" r:id="rId1918" display="https://youtu.be/OHpx2tqA5Qc"/>
    <hyperlink ref="F1918" r:id="rId2" display="https://files.afu.se/Downloads/Transcripts/0%20-%20Government/USA%20-%20NASA%20Johnson/"/>
    <hyperlink ref="C1919" r:id="rId1919" display="https://youtu.be/D9DGEiCrsUo"/>
    <hyperlink ref="F1919" r:id="rId2" display="https://files.afu.se/Downloads/Transcripts/0%20-%20Government/USA%20-%20NASA%20Johnson/"/>
    <hyperlink ref="C1920" r:id="rId1920" display="https://youtu.be/tEDLkWSCyrs"/>
    <hyperlink ref="F1920" r:id="rId2" display="https://files.afu.se/Downloads/Transcripts/0%20-%20Government/USA%20-%20NASA%20Johnson/"/>
    <hyperlink ref="C1921" r:id="rId1921" display="https://youtu.be/1zwYq-Gecds"/>
    <hyperlink ref="F1921" r:id="rId2" display="https://files.afu.se/Downloads/Transcripts/0%20-%20Government/USA%20-%20NASA%20Johnson/"/>
    <hyperlink ref="C1922" r:id="rId1922" display="https://youtu.be/IFZjEQToE9Q"/>
    <hyperlink ref="F1922" r:id="rId2" display="https://files.afu.se/Downloads/Transcripts/0%20-%20Government/USA%20-%20NASA%20Johnson/"/>
    <hyperlink ref="C1923" r:id="rId1923" display="https://youtu.be/k1-eL1ucWPI"/>
    <hyperlink ref="F1923" r:id="rId2" display="https://files.afu.se/Downloads/Transcripts/0%20-%20Government/USA%20-%20NASA%20Johnson/"/>
    <hyperlink ref="C1924" r:id="rId1924" display="https://youtu.be/X1jxUjxWdEQ"/>
    <hyperlink ref="F1924" r:id="rId2" display="https://files.afu.se/Downloads/Transcripts/0%20-%20Government/USA%20-%20NASA%20Johnson/"/>
    <hyperlink ref="C1925" r:id="rId1925" display="https://youtu.be/7-IokHlmul8"/>
    <hyperlink ref="F1925" r:id="rId2" display="https://files.afu.se/Downloads/Transcripts/0%20-%20Government/USA%20-%20NASA%20Johnson/"/>
    <hyperlink ref="C1926" r:id="rId1926" display="https://youtu.be/p7LUrsb7yUY"/>
    <hyperlink ref="F1926" r:id="rId2" display="https://files.afu.se/Downloads/Transcripts/0%20-%20Government/USA%20-%20NASA%20Johnson/"/>
    <hyperlink ref="C1927" r:id="rId1927" display="https://youtu.be/7L2Nq49ORYY"/>
    <hyperlink ref="F1927" r:id="rId2" display="https://files.afu.se/Downloads/Transcripts/0%20-%20Government/USA%20-%20NASA%20Johnson/"/>
    <hyperlink ref="C1928" r:id="rId1928" display="https://youtu.be/0d_Wi6Mz3rA"/>
    <hyperlink ref="F1928" r:id="rId2" display="https://files.afu.se/Downloads/Transcripts/0%20-%20Government/USA%20-%20NASA%20Johnson/"/>
    <hyperlink ref="C1929" r:id="rId1929" display="https://youtu.be/r4rNUBpUPho"/>
    <hyperlink ref="F1929" r:id="rId2" display="https://files.afu.se/Downloads/Transcripts/0%20-%20Government/USA%20-%20NASA%20Johnson/"/>
    <hyperlink ref="C1930" r:id="rId1930" display="https://youtu.be/Ehvimfl-UfI"/>
    <hyperlink ref="F1930" r:id="rId2" display="https://files.afu.se/Downloads/Transcripts/0%20-%20Government/USA%20-%20NASA%20Johnson/"/>
    <hyperlink ref="C1931" r:id="rId1931" display="https://youtu.be/6miv46zeH4Y"/>
    <hyperlink ref="F1931" r:id="rId2" display="https://files.afu.se/Downloads/Transcripts/0%20-%20Government/USA%20-%20NASA%20Johnson/"/>
    <hyperlink ref="C1932" r:id="rId1932" display="https://youtu.be/QKMJVRDtcDM"/>
    <hyperlink ref="F1932" r:id="rId2" display="https://files.afu.se/Downloads/Transcripts/0%20-%20Government/USA%20-%20NASA%20Johnson/"/>
    <hyperlink ref="C1933" r:id="rId1933" display="https://youtu.be/_IKDadtIqqI"/>
    <hyperlink ref="F1933" r:id="rId2" display="https://files.afu.se/Downloads/Transcripts/0%20-%20Government/USA%20-%20NASA%20Johnson/"/>
    <hyperlink ref="C1934" r:id="rId1934" display="https://youtu.be/e3qGy4OXGY4"/>
    <hyperlink ref="F1934" r:id="rId2" display="https://files.afu.se/Downloads/Transcripts/0%20-%20Government/USA%20-%20NASA%20Johnson/"/>
    <hyperlink ref="C1935" r:id="rId1935" display="https://youtu.be/GbIcZqwlNak"/>
    <hyperlink ref="F1935" r:id="rId2" display="https://files.afu.se/Downloads/Transcripts/0%20-%20Government/USA%20-%20NASA%20Johnson/"/>
    <hyperlink ref="C1936" r:id="rId1936" display="https://youtu.be/bM-Ji-pjnk8"/>
    <hyperlink ref="F1936" r:id="rId2" display="https://files.afu.se/Downloads/Transcripts/0%20-%20Government/USA%20-%20NASA%20Johnson/"/>
    <hyperlink ref="C1937" r:id="rId1937" display="https://youtu.be/VT_oc_G6irg"/>
    <hyperlink ref="F1937" r:id="rId2" display="https://files.afu.se/Downloads/Transcripts/0%20-%20Government/USA%20-%20NASA%20Johnson/"/>
    <hyperlink ref="C1938" r:id="rId1938" display="https://youtu.be/QPghbtqKdBg"/>
    <hyperlink ref="F1938" r:id="rId2" display="https://files.afu.se/Downloads/Transcripts/0%20-%20Government/USA%20-%20NASA%20Johnson/"/>
    <hyperlink ref="C1939" r:id="rId1939" display="https://youtu.be/EEQyybh617I"/>
    <hyperlink ref="F1939" r:id="rId2" display="https://files.afu.se/Downloads/Transcripts/0%20-%20Government/USA%20-%20NASA%20Johnson/"/>
    <hyperlink ref="C1940" r:id="rId1940" display="https://youtu.be/y7fFtBqf_B0"/>
    <hyperlink ref="F1940" r:id="rId2" display="https://files.afu.se/Downloads/Transcripts/0%20-%20Government/USA%20-%20NASA%20Johnson/"/>
    <hyperlink ref="C1941" r:id="rId1941" display="https://youtu.be/-qajQWiHBcU"/>
    <hyperlink ref="F1941" r:id="rId2" display="https://files.afu.se/Downloads/Transcripts/0%20-%20Government/USA%20-%20NASA%20Johnson/"/>
    <hyperlink ref="C1942" r:id="rId1942" display="https://youtu.be/uaK-XZfFF7M"/>
    <hyperlink ref="F1942" r:id="rId2" display="https://files.afu.se/Downloads/Transcripts/0%20-%20Government/USA%20-%20NASA%20Johnson/"/>
    <hyperlink ref="C1943" r:id="rId1943" display="https://youtu.be/bKrbMCI4tbM"/>
    <hyperlink ref="F1943" r:id="rId2" display="https://files.afu.se/Downloads/Transcripts/0%20-%20Government/USA%20-%20NASA%20Johnson/"/>
    <hyperlink ref="C1944" r:id="rId1944" display="https://youtu.be/YNVJOG2bK0w"/>
    <hyperlink ref="F1944" r:id="rId2" display="https://files.afu.se/Downloads/Transcripts/0%20-%20Government/USA%20-%20NASA%20Johnson/"/>
    <hyperlink ref="C1945" r:id="rId1945" display="https://youtu.be/d-wMXRPuPhI"/>
    <hyperlink ref="F1945" r:id="rId2" display="https://files.afu.se/Downloads/Transcripts/0%20-%20Government/USA%20-%20NASA%20Johnson/"/>
    <hyperlink ref="C1946" r:id="rId1946" display="https://youtu.be/CE7Nz78rkfQ"/>
    <hyperlink ref="F1946" r:id="rId2" display="https://files.afu.se/Downloads/Transcripts/0%20-%20Government/USA%20-%20NASA%20Johnson/"/>
    <hyperlink ref="C1947" r:id="rId1947" display="https://youtu.be/Q_AGLeemYPg"/>
    <hyperlink ref="F1947" r:id="rId2" display="https://files.afu.se/Downloads/Transcripts/0%20-%20Government/USA%20-%20NASA%20Johnson/"/>
    <hyperlink ref="C1948" r:id="rId1948" display="https://youtu.be/o13ZdnvB8UQ"/>
    <hyperlink ref="F1948" r:id="rId2" display="https://files.afu.se/Downloads/Transcripts/0%20-%20Government/USA%20-%20NASA%20Johnson/"/>
    <hyperlink ref="C1949" r:id="rId1949" display="https://youtu.be/KU53X7O7z7w"/>
    <hyperlink ref="F1949" r:id="rId2" display="https://files.afu.se/Downloads/Transcripts/0%20-%20Government/USA%20-%20NASA%20Johnson/"/>
    <hyperlink ref="C1950" r:id="rId1950" display="https://youtu.be/9gbfL590Fgg"/>
    <hyperlink ref="F1950" r:id="rId2" display="https://files.afu.se/Downloads/Transcripts/0%20-%20Government/USA%20-%20NASA%20Johnson/"/>
    <hyperlink ref="C1951" r:id="rId1951" display="https://youtu.be/TASn98HkJfk"/>
    <hyperlink ref="F1951" r:id="rId2" display="https://files.afu.se/Downloads/Transcripts/0%20-%20Government/USA%20-%20NASA%20Johnson/"/>
    <hyperlink ref="C1952" r:id="rId1952" display="https://youtu.be/hfJ5SI0ee-M"/>
    <hyperlink ref="F1952" r:id="rId2" display="https://files.afu.se/Downloads/Transcripts/0%20-%20Government/USA%20-%20NASA%20Johnson/"/>
    <hyperlink ref="C1953" r:id="rId1953" display="https://youtu.be/B2vAK6qlNaw"/>
    <hyperlink ref="F1953" r:id="rId2" display="https://files.afu.se/Downloads/Transcripts/0%20-%20Government/USA%20-%20NASA%20Johnson/"/>
    <hyperlink ref="C1954" r:id="rId1954" display="https://youtu.be/76KN-AUUd1w"/>
    <hyperlink ref="F1954" r:id="rId2" display="https://files.afu.se/Downloads/Transcripts/0%20-%20Government/USA%20-%20NASA%20Johnson/"/>
    <hyperlink ref="C1955" r:id="rId1955" display="https://youtu.be/qX4M37GKd5A"/>
    <hyperlink ref="F1955" r:id="rId2" display="https://files.afu.se/Downloads/Transcripts/0%20-%20Government/USA%20-%20NASA%20Johnson/"/>
    <hyperlink ref="C1956" r:id="rId1956" display="https://youtu.be/7xdVjbQJowc"/>
    <hyperlink ref="F1956" r:id="rId2" display="https://files.afu.se/Downloads/Transcripts/0%20-%20Government/USA%20-%20NASA%20Johnson/"/>
    <hyperlink ref="C1957" r:id="rId1957" display="https://youtu.be/12iayXdNTdM"/>
    <hyperlink ref="F1957" r:id="rId2" display="https://files.afu.se/Downloads/Transcripts/0%20-%20Government/USA%20-%20NASA%20Johnson/"/>
    <hyperlink ref="C1958" r:id="rId1958" display="https://youtu.be/A_XRPNRySJg"/>
    <hyperlink ref="F1958" r:id="rId2" display="https://files.afu.se/Downloads/Transcripts/0%20-%20Government/USA%20-%20NASA%20Johnson/"/>
    <hyperlink ref="C1959" r:id="rId1959" display="https://youtu.be/JZ7n24CtEFw"/>
    <hyperlink ref="F1959" r:id="rId2" display="https://files.afu.se/Downloads/Transcripts/0%20-%20Government/USA%20-%20NASA%20Johnson/"/>
    <hyperlink ref="C1960" r:id="rId1960" display="https://youtu.be/sMRD5cwW9Mk"/>
    <hyperlink ref="F1960" r:id="rId2" display="https://files.afu.se/Downloads/Transcripts/0%20-%20Government/USA%20-%20NASA%20Johnson/"/>
    <hyperlink ref="C1961" r:id="rId1961" display="https://youtu.be/22I7XzXCTr4"/>
    <hyperlink ref="F1961" r:id="rId2" display="https://files.afu.se/Downloads/Transcripts/0%20-%20Government/USA%20-%20NASA%20Johnson/"/>
    <hyperlink ref="C1962" r:id="rId1962" display="https://youtu.be/zoUEhbEGLiQ"/>
    <hyperlink ref="F1962" r:id="rId2" display="https://files.afu.se/Downloads/Transcripts/0%20-%20Government/USA%20-%20NASA%20Johnson/"/>
    <hyperlink ref="C1963" r:id="rId1963" display="https://youtu.be/HkdpC3ehIpk"/>
    <hyperlink ref="F1963" r:id="rId2" display="https://files.afu.se/Downloads/Transcripts/0%20-%20Government/USA%20-%20NASA%20Johnson/"/>
    <hyperlink ref="C1964" r:id="rId1964" display="https://youtu.be/a9cgSDGlzgA"/>
    <hyperlink ref="F1964" r:id="rId2" display="https://files.afu.se/Downloads/Transcripts/0%20-%20Government/USA%20-%20NASA%20Johnson/"/>
    <hyperlink ref="C1965" r:id="rId1965" display="https://youtu.be/TBPjod1F3M8"/>
    <hyperlink ref="F1965" r:id="rId2" display="https://files.afu.se/Downloads/Transcripts/0%20-%20Government/USA%20-%20NASA%20Johnson/"/>
    <hyperlink ref="C1966" r:id="rId1966" display="https://youtu.be/aVjvhbkYwkA"/>
    <hyperlink ref="F1966" r:id="rId2" display="https://files.afu.se/Downloads/Transcripts/0%20-%20Government/USA%20-%20NASA%20Johnson/"/>
    <hyperlink ref="C1967" r:id="rId1967" display="https://youtu.be/jwMZ43StsTY"/>
    <hyperlink ref="F1967" r:id="rId2" display="https://files.afu.se/Downloads/Transcripts/0%20-%20Government/USA%20-%20NASA%20Johnson/"/>
    <hyperlink ref="C1968" r:id="rId1968" display="https://youtu.be/mbA2j3UwIhc"/>
    <hyperlink ref="F1968" r:id="rId2" display="https://files.afu.se/Downloads/Transcripts/0%20-%20Government/USA%20-%20NASA%20Johnson/"/>
    <hyperlink ref="C1969" r:id="rId1969" display="https://youtu.be/LxLrP8KPfPg"/>
    <hyperlink ref="F1969" r:id="rId2" display="https://files.afu.se/Downloads/Transcripts/0%20-%20Government/USA%20-%20NASA%20Johnson/"/>
    <hyperlink ref="C1970" r:id="rId1970" display="https://youtu.be/8DZ2DS8O4pU"/>
    <hyperlink ref="F1970" r:id="rId2" display="https://files.afu.se/Downloads/Transcripts/0%20-%20Government/USA%20-%20NASA%20Johnson/"/>
    <hyperlink ref="C1971" r:id="rId1971" display="https://youtu.be/8oAW_uDSdFE"/>
    <hyperlink ref="F1971" r:id="rId2" display="https://files.afu.se/Downloads/Transcripts/0%20-%20Government/USA%20-%20NASA%20Johnson/"/>
    <hyperlink ref="C1972" r:id="rId1972" display="https://youtu.be/bgrcF04_2KA"/>
    <hyperlink ref="F1972" r:id="rId2" display="https://files.afu.se/Downloads/Transcripts/0%20-%20Government/USA%20-%20NASA%20Johnson/"/>
    <hyperlink ref="C1973" r:id="rId1973" display="https://youtu.be/E_aXUVrDcnk"/>
    <hyperlink ref="F1973" r:id="rId2" display="https://files.afu.se/Downloads/Transcripts/0%20-%20Government/USA%20-%20NASA%20Johnson/"/>
    <hyperlink ref="C1974" r:id="rId1974" display="https://youtu.be/KDIk4jAkZ9U"/>
    <hyperlink ref="F1974" r:id="rId2" display="https://files.afu.se/Downloads/Transcripts/0%20-%20Government/USA%20-%20NASA%20Johnson/"/>
    <hyperlink ref="C1975" r:id="rId1975" display="https://youtu.be/xKNLLoMHDY4"/>
    <hyperlink ref="F1975" r:id="rId2" display="https://files.afu.se/Downloads/Transcripts/0%20-%20Government/USA%20-%20NASA%20Johnson/"/>
    <hyperlink ref="C1976" r:id="rId1976" display="https://youtu.be/Jk9CuAB8rE0"/>
    <hyperlink ref="E1976" r:id="rId1977" display="https://www.facebook.com/#!/trainastronaut&#10;&#10;The next phase of Astronaut Mike Hopkin's mission is well underway and we have some exciting new downlink footage of his training that we will be sharing in the next few weeks...Curious?  Check out this sneak peak at what's to come!"/>
    <hyperlink ref="F1976" r:id="rId2" display="https://files.afu.se/Downloads/Transcripts/0%20-%20Government/USA%20-%20NASA%20Johnson/"/>
    <hyperlink ref="C1977" r:id="rId1978" display="https://youtu.be/lB4EL8sYNeY"/>
    <hyperlink ref="F1977" r:id="rId2" display="https://files.afu.se/Downloads/Transcripts/0%20-%20Government/USA%20-%20NASA%20Johnson/"/>
    <hyperlink ref="C1978" r:id="rId1979" display="https://youtu.be/RWQGagWEabw"/>
    <hyperlink ref="F1978" r:id="rId2" display="https://files.afu.se/Downloads/Transcripts/0%20-%20Government/USA%20-%20NASA%20Johnson/"/>
    <hyperlink ref="C1979" r:id="rId1980" display="https://youtu.be/KU5iLrv3sHo"/>
    <hyperlink ref="F1979" r:id="rId2" display="https://files.afu.se/Downloads/Transcripts/0%20-%20Government/USA%20-%20NASA%20Johnson/"/>
    <hyperlink ref="C1980" r:id="rId1981" display="https://youtu.be/rsc-v3WoroU"/>
    <hyperlink ref="F1980" r:id="rId2" display="https://files.afu.se/Downloads/Transcripts/0%20-%20Government/USA%20-%20NASA%20Johnson/"/>
    <hyperlink ref="C1981" r:id="rId1982" display="https://youtu.be/BluJ7do0QOI"/>
    <hyperlink ref="F1981" r:id="rId2" display="https://files.afu.se/Downloads/Transcripts/0%20-%20Government/USA%20-%20NASA%20Johnson/"/>
    <hyperlink ref="C1982" r:id="rId1983" display="https://youtu.be/5ukl5ySa6ZA"/>
    <hyperlink ref="F1982" r:id="rId2" display="https://files.afu.se/Downloads/Transcripts/0%20-%20Government/USA%20-%20NASA%20Johnson/"/>
    <hyperlink ref="C1983" r:id="rId1984" display="https://youtu.be/hOkzlV72vUU"/>
    <hyperlink ref="F1983" r:id="rId2" display="https://files.afu.se/Downloads/Transcripts/0%20-%20Government/USA%20-%20NASA%20Johnson/"/>
    <hyperlink ref="C1984" r:id="rId1985" display="https://youtu.be/ix7vHTEdSPg"/>
    <hyperlink ref="F1984" r:id="rId2" display="https://files.afu.se/Downloads/Transcripts/0%20-%20Government/USA%20-%20NASA%20Johnson/"/>
    <hyperlink ref="C1985" r:id="rId1986" display="https://youtu.be/5Z1K8g8Bzz8"/>
    <hyperlink ref="F1985" r:id="rId2" display="https://files.afu.se/Downloads/Transcripts/0%20-%20Government/USA%20-%20NASA%20Johnson/"/>
    <hyperlink ref="C1986" r:id="rId1987" display="https://youtu.be/HEcOjAJ_iyM"/>
    <hyperlink ref="F1986" r:id="rId2" display="https://files.afu.se/Downloads/Transcripts/0%20-%20Government/USA%20-%20NASA%20Johnson/"/>
    <hyperlink ref="C1987" r:id="rId1988" display="https://youtu.be/XiyViTYNyRA"/>
    <hyperlink ref="F1987" r:id="rId2" display="https://files.afu.se/Downloads/Transcripts/0%20-%20Government/USA%20-%20NASA%20Johnson/"/>
    <hyperlink ref="C1988" r:id="rId1989" display="https://youtu.be/Q9EGnxrLXiU"/>
    <hyperlink ref="F1988" r:id="rId2" display="https://files.afu.se/Downloads/Transcripts/0%20-%20Government/USA%20-%20NASA%20Johnson/"/>
    <hyperlink ref="C1989" r:id="rId1990" display="https://youtu.be/Ph9g9Cc6q4Y"/>
    <hyperlink ref="F1989" r:id="rId2" display="https://files.afu.se/Downloads/Transcripts/0%20-%20Government/USA%20-%20NASA%20Johnson/"/>
    <hyperlink ref="C1990" r:id="rId1991" display="https://youtu.be/fnmA35ibSMY"/>
    <hyperlink ref="E1990" r:id="rId1977" display="https://www.facebook.com/#!/trainastronaut&#10;&#10;As we approach Thanksgiving Day, Astronaut Mike Hopkins and Monica Leong from our Space Food Systems Laboratory help explain the importance of the U.S. food menu compliment and how it supports the nutritional and physical needs of our astronauts while living, working and, of course, exercising in space!  They provide an inside look at some of the actual food items that the crew usually has onboard the space station, and special items provided to help create a Thanksgiving feast that's just like home.  Looking to the future of space food nutrition and longer duration missions, Monica Leong shares some of the exciting new research being conducted on meal replacement options for the crew.  Bon Appetite!"/>
    <hyperlink ref="F1990" r:id="rId2" display="https://files.afu.se/Downloads/Transcripts/0%20-%20Government/USA%20-%20NASA%20Johnson/"/>
    <hyperlink ref="C1991" r:id="rId1992" display="https://youtu.be/HhsaKTFz0TM"/>
    <hyperlink ref="F1991" r:id="rId2" display="https://files.afu.se/Downloads/Transcripts/0%20-%20Government/USA%20-%20NASA%20Johnson/"/>
    <hyperlink ref="C1992" r:id="rId1993" display="https://youtu.be/4QZy01o2eZE"/>
    <hyperlink ref="F1992" r:id="rId2" display="https://files.afu.se/Downloads/Transcripts/0%20-%20Government/USA%20-%20NASA%20Johnson/"/>
    <hyperlink ref="C1993" r:id="rId1994" display="https://youtu.be/u-wjWAmp8To"/>
    <hyperlink ref="F1993" r:id="rId2" display="https://files.afu.se/Downloads/Transcripts/0%20-%20Government/USA%20-%20NASA%20Johnson/"/>
    <hyperlink ref="C1994" r:id="rId1995" display="https://youtu.be/1HF9jOpM_wI"/>
    <hyperlink ref="F1994" r:id="rId2" display="https://files.afu.se/Downloads/Transcripts/0%20-%20Government/USA%20-%20NASA%20Johnson/"/>
    <hyperlink ref="C1995" r:id="rId1996" display="https://youtu.be/HuD_tkjiTeQ"/>
    <hyperlink ref="F1995" r:id="rId2" display="https://files.afu.se/Downloads/Transcripts/0%20-%20Government/USA%20-%20NASA%20Johnson/"/>
    <hyperlink ref="C1996" r:id="rId1997" display="https://youtu.be/3dk_RIDsN2w"/>
    <hyperlink ref="F1996" r:id="rId2" display="https://files.afu.se/Downloads/Transcripts/0%20-%20Government/USA%20-%20NASA%20Johnson/"/>
    <hyperlink ref="C1997" r:id="rId1998" display="https://youtu.be/wBtUwBsfy90"/>
    <hyperlink ref="F1997" r:id="rId2" display="https://files.afu.se/Downloads/Transcripts/0%20-%20Government/USA%20-%20NASA%20Johnson/"/>
    <hyperlink ref="C1998" r:id="rId1999" display="https://youtu.be/gTkhNcncVZ8"/>
    <hyperlink ref="F1998" r:id="rId2" display="https://files.afu.se/Downloads/Transcripts/0%20-%20Government/USA%20-%20NASA%20Johnson/"/>
    <hyperlink ref="C1999" r:id="rId2000" display="https://youtu.be/WMnCEnTWVwo"/>
    <hyperlink ref="F1999" r:id="rId2" display="https://files.afu.se/Downloads/Transcripts/0%20-%20Government/USA%20-%20NASA%20Johnson/"/>
    <hyperlink ref="C2000" r:id="rId2001" display="https://youtu.be/njaBLEFSzRM"/>
    <hyperlink ref="F2000" r:id="rId2" display="https://files.afu.se/Downloads/Transcripts/0%20-%20Government/USA%20-%20NASA%20Johnson/"/>
    <hyperlink ref="C2001" r:id="rId2002" display="https://youtu.be/zVzRrPRJQao"/>
    <hyperlink ref="F2001" r:id="rId2" display="https://files.afu.se/Downloads/Transcripts/0%20-%20Government/USA%20-%20NASA%20Johnson/"/>
    <hyperlink ref="C2002" r:id="rId2003" display="https://youtu.be/dk6cQC9QP-g"/>
    <hyperlink ref="F2002" r:id="rId2" display="https://files.afu.se/Downloads/Transcripts/0%20-%20Government/USA%20-%20NASA%20Johnson/"/>
    <hyperlink ref="C2003" r:id="rId2004" display="https://youtu.be/zmULpvofSjA"/>
    <hyperlink ref="F2003" r:id="rId2" display="https://files.afu.se/Downloads/Transcripts/0%20-%20Government/USA%20-%20NASA%20Johnson/"/>
    <hyperlink ref="C2004" r:id="rId2005" display="https://youtu.be/Z8fE-OwpF4E"/>
    <hyperlink ref="F2004" r:id="rId2" display="https://files.afu.se/Downloads/Transcripts/0%20-%20Government/USA%20-%20NASA%20Johnson/"/>
    <hyperlink ref="C2005" r:id="rId2006" display="https://youtu.be/o60k1n2VAHE"/>
    <hyperlink ref="F2005" r:id="rId2" display="https://files.afu.se/Downloads/Transcripts/0%20-%20Government/USA%20-%20NASA%20Johnson/"/>
    <hyperlink ref="C2006" r:id="rId2007" display="https://youtu.be/iBGJi_lk1r8"/>
    <hyperlink ref="F2006" r:id="rId2" display="https://files.afu.se/Downloads/Transcripts/0%20-%20Government/USA%20-%20NASA%20Johnson/"/>
    <hyperlink ref="C2007" r:id="rId2008" display="https://youtu.be/sgJk8_glGxY"/>
    <hyperlink ref="F2007" r:id="rId2" display="https://files.afu.se/Downloads/Transcripts/0%20-%20Government/USA%20-%20NASA%20Johnson/"/>
    <hyperlink ref="C2008" r:id="rId2009" display="https://youtu.be/rmnpRJqWPfc"/>
    <hyperlink ref="F2008" r:id="rId2" display="https://files.afu.se/Downloads/Transcripts/0%20-%20Government/USA%20-%20NASA%20Johnson/"/>
    <hyperlink ref="C2009" r:id="rId2010" display="https://youtu.be/XeBqyV2t190"/>
    <hyperlink ref="F2009" r:id="rId2" display="https://files.afu.se/Downloads/Transcripts/0%20-%20Government/USA%20-%20NASA%20Johnson/"/>
    <hyperlink ref="C2010" r:id="rId2011" display="https://youtu.be/3RW8stH7GhA"/>
    <hyperlink ref="F2010" r:id="rId2" display="https://files.afu.se/Downloads/Transcripts/0%20-%20Government/USA%20-%20NASA%20Johnson/"/>
    <hyperlink ref="C2011" r:id="rId2012" display="https://youtu.be/5Ox3dQN_AO4"/>
    <hyperlink ref="F2011" r:id="rId2" display="https://files.afu.se/Downloads/Transcripts/0%20-%20Government/USA%20-%20NASA%20Johnson/"/>
    <hyperlink ref="C2012" r:id="rId2013" display="https://youtu.be/8PLFVX-tE94"/>
    <hyperlink ref="F2012" r:id="rId2" display="https://files.afu.se/Downloads/Transcripts/0%20-%20Government/USA%20-%20NASA%20Johnson/"/>
    <hyperlink ref="C2013" r:id="rId2014" display="https://youtu.be/BNL8a-nudIQ"/>
    <hyperlink ref="F2013" r:id="rId2" display="https://files.afu.se/Downloads/Transcripts/0%20-%20Government/USA%20-%20NASA%20Johnson/"/>
    <hyperlink ref="C2014" r:id="rId2015" display="https://youtu.be/wjee_JOCn7A"/>
    <hyperlink ref="F2014" r:id="rId2" display="https://files.afu.se/Downloads/Transcripts/0%20-%20Government/USA%20-%20NASA%20Johnson/"/>
    <hyperlink ref="C2015" r:id="rId2016" display="https://youtu.be/aoHwFCObkzo"/>
    <hyperlink ref="F2015" r:id="rId2" display="https://files.afu.se/Downloads/Transcripts/0%20-%20Government/USA%20-%20NASA%20Johnson/"/>
    <hyperlink ref="C2016" r:id="rId2017" display="https://youtu.be/nAxY2v9aOrk"/>
    <hyperlink ref="F2016" r:id="rId2" display="https://files.afu.se/Downloads/Transcripts/0%20-%20Government/USA%20-%20NASA%20Johnson/"/>
    <hyperlink ref="C2017" r:id="rId2018" display="https://youtu.be/4A8kx-EWWBk"/>
    <hyperlink ref="F2017" r:id="rId2" display="https://files.afu.se/Downloads/Transcripts/0%20-%20Government/USA%20-%20NASA%20Johnson/"/>
    <hyperlink ref="C2018" r:id="rId2019" display="https://youtu.be/S-ARsgLWSt4"/>
    <hyperlink ref="F2018" r:id="rId2" display="https://files.afu.se/Downloads/Transcripts/0%20-%20Government/USA%20-%20NASA%20Johnson/"/>
    <hyperlink ref="C2019" r:id="rId2020" display="https://youtu.be/GKwNSLkov6o"/>
    <hyperlink ref="F2019" r:id="rId2" display="https://files.afu.se/Downloads/Transcripts/0%20-%20Government/USA%20-%20NASA%20Johnson/"/>
    <hyperlink ref="C2020" r:id="rId2021" display="https://youtu.be/Z-l3QFEmL5M"/>
    <hyperlink ref="F2020" r:id="rId2" display="https://files.afu.se/Downloads/Transcripts/0%20-%20Government/USA%20-%20NASA%20Johnson/"/>
    <hyperlink ref="C2021" r:id="rId2022" display="https://youtu.be/UOQRIPAE3Ko"/>
    <hyperlink ref="F2021" r:id="rId2" display="https://files.afu.se/Downloads/Transcripts/0%20-%20Government/USA%20-%20NASA%20Johnson/"/>
    <hyperlink ref="C2022" r:id="rId2023" display="https://youtu.be/gvhGjLkNejw"/>
    <hyperlink ref="F2022" r:id="rId2" display="https://files.afu.se/Downloads/Transcripts/0%20-%20Government/USA%20-%20NASA%20Johnson/"/>
    <hyperlink ref="C2023" r:id="rId2024" display="https://youtu.be/ORsUo2eXHtc"/>
    <hyperlink ref="F2023" r:id="rId2" display="https://files.afu.se/Downloads/Transcripts/0%20-%20Government/USA%20-%20NASA%20Johnson/"/>
    <hyperlink ref="C2024" r:id="rId2025" display="https://youtu.be/JDellw1knhk"/>
    <hyperlink ref="F2024" r:id="rId2" display="https://files.afu.se/Downloads/Transcripts/0%20-%20Government/USA%20-%20NASA%20Johnson/"/>
    <hyperlink ref="C2025" r:id="rId2026" display="https://youtu.be/w9G0p4H3bcc"/>
    <hyperlink ref="F2025" r:id="rId2" display="https://files.afu.se/Downloads/Transcripts/0%20-%20Government/USA%20-%20NASA%20Johnson/"/>
    <hyperlink ref="C2026" r:id="rId2027" display="https://youtu.be/5S5kP1K1FgM"/>
    <hyperlink ref="F2026" r:id="rId2" display="https://files.afu.se/Downloads/Transcripts/0%20-%20Government/USA%20-%20NASA%20Johnson/"/>
    <hyperlink ref="C2027" r:id="rId2028" display="https://youtu.be/xVuB5cuwB1w"/>
    <hyperlink ref="F2027" r:id="rId2" display="https://files.afu.se/Downloads/Transcripts/0%20-%20Government/USA%20-%20NASA%20Johnson/"/>
    <hyperlink ref="C2028" r:id="rId2029" display="https://youtu.be/wmx28XW2c7Y"/>
    <hyperlink ref="F2028" r:id="rId2" display="https://files.afu.se/Downloads/Transcripts/0%20-%20Government/USA%20-%20NASA%20Johnson/"/>
    <hyperlink ref="C2029" r:id="rId2030" display="https://youtu.be/v7lsFqSoT2o"/>
    <hyperlink ref="F2029" r:id="rId2" display="https://files.afu.se/Downloads/Transcripts/0%20-%20Government/USA%20-%20NASA%20Johnson/"/>
    <hyperlink ref="C2030" r:id="rId2031" display="https://youtu.be/r3Bf0g56eYM"/>
    <hyperlink ref="F2030" r:id="rId2" display="https://files.afu.se/Downloads/Transcripts/0%20-%20Government/USA%20-%20NASA%20Johnson/"/>
    <hyperlink ref="C2031" r:id="rId2032" display="https://youtu.be/fB9kjLFnjIs"/>
    <hyperlink ref="F2031" r:id="rId2" display="https://files.afu.se/Downloads/Transcripts/0%20-%20Government/USA%20-%20NASA%20Johnson/"/>
    <hyperlink ref="C2032" r:id="rId2033" display="https://youtu.be/rDQpEqAQkgk"/>
    <hyperlink ref="F2032" r:id="rId2" display="https://files.afu.se/Downloads/Transcripts/0%20-%20Government/USA%20-%20NASA%20Johnson/"/>
    <hyperlink ref="C2033" r:id="rId2034" display="https://youtu.be/gq3yuE_de-k"/>
    <hyperlink ref="F2033" r:id="rId2" display="https://files.afu.se/Downloads/Transcripts/0%20-%20Government/USA%20-%20NASA%20Johnson/"/>
    <hyperlink ref="C2034" r:id="rId2035" display="https://youtu.be/9SNKa6JpB00"/>
    <hyperlink ref="F2034" r:id="rId2" display="https://files.afu.se/Downloads/Transcripts/0%20-%20Government/USA%20-%20NASA%20Johnson/"/>
    <hyperlink ref="C2035" r:id="rId2036" display="https://youtu.be/oL6hGWDd2lM"/>
    <hyperlink ref="F2035" r:id="rId2" display="https://files.afu.se/Downloads/Transcripts/0%20-%20Government/USA%20-%20NASA%20Johnson/"/>
    <hyperlink ref="C2036" r:id="rId2037" display="https://youtu.be/1zAtMVncT-c"/>
    <hyperlink ref="F2036" r:id="rId2" display="https://files.afu.se/Downloads/Transcripts/0%20-%20Government/USA%20-%20NASA%20Johnson/"/>
    <hyperlink ref="C2037" r:id="rId2038" display="https://youtu.be/I8Rm49OUe5U"/>
    <hyperlink ref="F2037" r:id="rId2" display="https://files.afu.se/Downloads/Transcripts/0%20-%20Government/USA%20-%20NASA%20Johnson/"/>
    <hyperlink ref="C2038" r:id="rId2039" display="https://youtu.be/tPURHbNzf9Q"/>
    <hyperlink ref="F2038" r:id="rId2" display="https://files.afu.se/Downloads/Transcripts/0%20-%20Government/USA%20-%20NASA%20Johnson/"/>
    <hyperlink ref="C2039" r:id="rId2040" display="https://youtu.be/N0c1CijmH7o"/>
    <hyperlink ref="F2039" r:id="rId2" display="https://files.afu.se/Downloads/Transcripts/0%20-%20Government/USA%20-%20NASA%20Johnson/"/>
    <hyperlink ref="C2040" r:id="rId2041" display="https://youtu.be/Cck1tDv57ig"/>
    <hyperlink ref="F2040" r:id="rId2" display="https://files.afu.se/Downloads/Transcripts/0%20-%20Government/USA%20-%20NASA%20Johnson/"/>
    <hyperlink ref="C2041" r:id="rId2042" display="https://youtu.be/Uy11alCPe60"/>
    <hyperlink ref="F2041" r:id="rId2" display="https://files.afu.se/Downloads/Transcripts/0%20-%20Government/USA%20-%20NASA%20Johnson/"/>
    <hyperlink ref="C2042" r:id="rId2043" display="https://youtu.be/tUsnNx1SINE"/>
    <hyperlink ref="F2042" r:id="rId2" display="https://files.afu.se/Downloads/Transcripts/0%20-%20Government/USA%20-%20NASA%20Johnson/"/>
    <hyperlink ref="C2043" r:id="rId2044" display="https://youtu.be/kwtRgmNetG0"/>
    <hyperlink ref="F2043" r:id="rId2" display="https://files.afu.se/Downloads/Transcripts/0%20-%20Government/USA%20-%20NASA%20Johnson/"/>
    <hyperlink ref="C2044" r:id="rId2045" display="https://youtu.be/qeuvB1WfEd4"/>
    <hyperlink ref="F2044" r:id="rId2" display="https://files.afu.se/Downloads/Transcripts/0%20-%20Government/USA%20-%20NASA%20Johnson/"/>
    <hyperlink ref="C2045" r:id="rId2046" display="https://youtu.be/O3tXqbl95cI"/>
    <hyperlink ref="F2045" r:id="rId2" display="https://files.afu.se/Downloads/Transcripts/0%20-%20Government/USA%20-%20NASA%20Johnson/"/>
    <hyperlink ref="C2046" r:id="rId2047" display="https://youtu.be/pij-M_eAeCg"/>
    <hyperlink ref="F2046" r:id="rId2" display="https://files.afu.se/Downloads/Transcripts/0%20-%20Government/USA%20-%20NASA%20Johnson/"/>
    <hyperlink ref="C2047" r:id="rId2048" display="https://youtu.be/3ZoEIsl852Q"/>
    <hyperlink ref="F2047" r:id="rId2" display="https://files.afu.se/Downloads/Transcripts/0%20-%20Government/USA%20-%20NASA%20Johnson/"/>
    <hyperlink ref="C2048" r:id="rId2049" display="https://youtu.be/HLoGlt-XOMU"/>
    <hyperlink ref="F2048" r:id="rId2" display="https://files.afu.se/Downloads/Transcripts/0%20-%20Government/USA%20-%20NASA%20Johnson/"/>
    <hyperlink ref="C2049" r:id="rId2050" display="https://youtu.be/_rWWFuRXHyI"/>
    <hyperlink ref="F2049" r:id="rId2" display="https://files.afu.se/Downloads/Transcripts/0%20-%20Government/USA%20-%20NASA%20Johnson/"/>
    <hyperlink ref="C2050" r:id="rId2051" display="https://youtu.be/GUkC0FnH9zg"/>
    <hyperlink ref="F2050" r:id="rId2" display="https://files.afu.se/Downloads/Transcripts/0%20-%20Government/USA%20-%20NASA%20Johnson/"/>
    <hyperlink ref="C2051" r:id="rId2052" display="https://youtu.be/-gpwJ-USrpg"/>
    <hyperlink ref="F2051" r:id="rId2" display="https://files.afu.se/Downloads/Transcripts/0%20-%20Government/USA%20-%20NASA%20Johnson/"/>
    <hyperlink ref="C2052" r:id="rId2053" display="https://youtu.be/fmGsYe7Fx-U"/>
    <hyperlink ref="F2052" r:id="rId2" display="https://files.afu.se/Downloads/Transcripts/0%20-%20Government/USA%20-%20NASA%20Johnson/"/>
    <hyperlink ref="C2053" r:id="rId2054" display="https://youtu.be/EPPGQeZ4aw4"/>
    <hyperlink ref="F2053" r:id="rId2" display="https://files.afu.se/Downloads/Transcripts/0%20-%20Government/USA%20-%20NASA%20Johnson/"/>
    <hyperlink ref="C2054" r:id="rId2055" display="https://youtu.be/TD0uHZkfQ-8"/>
    <hyperlink ref="F2054" r:id="rId2" display="https://files.afu.se/Downloads/Transcripts/0%20-%20Government/USA%20-%20NASA%20Johnson/"/>
    <hyperlink ref="C2055" r:id="rId2056" display="https://youtu.be/ab-m1a0TR9s"/>
    <hyperlink ref="F2055" r:id="rId2" display="https://files.afu.se/Downloads/Transcripts/0%20-%20Government/USA%20-%20NASA%20Johnson/"/>
    <hyperlink ref="C2056" r:id="rId2057" display="https://youtu.be/z1BiBDhdPDU"/>
    <hyperlink ref="F2056" r:id="rId2" display="https://files.afu.se/Downloads/Transcripts/0%20-%20Government/USA%20-%20NASA%20Johnson/"/>
    <hyperlink ref="C2057" r:id="rId2058" display="https://youtu.be/s02WQxnkviI"/>
    <hyperlink ref="F2057" r:id="rId2" display="https://files.afu.se/Downloads/Transcripts/0%20-%20Government/USA%20-%20NASA%20Johnson/"/>
    <hyperlink ref="C2058" r:id="rId2059" display="https://youtu.be/tsGcF6sETWQ"/>
    <hyperlink ref="F2058" r:id="rId2" display="https://files.afu.se/Downloads/Transcripts/0%20-%20Government/USA%20-%20NASA%20Johnson/"/>
    <hyperlink ref="C2059" r:id="rId2060" display="https://youtu.be/sg514Mh3ysA"/>
    <hyperlink ref="F2059" r:id="rId2" display="https://files.afu.se/Downloads/Transcripts/0%20-%20Government/USA%20-%20NASA%20Johnson/"/>
    <hyperlink ref="C2060" r:id="rId2061" display="https://youtu.be/Kr5036qjSnw"/>
    <hyperlink ref="F2060" r:id="rId2" display="https://files.afu.se/Downloads/Transcripts/0%20-%20Government/USA%20-%20NASA%20Johnson/"/>
    <hyperlink ref="C2061" r:id="rId2062" display="https://youtu.be/TiAoo-cO4mo"/>
    <hyperlink ref="F2061" r:id="rId2" display="https://files.afu.se/Downloads/Transcripts/0%20-%20Government/USA%20-%20NASA%20Johnson/"/>
    <hyperlink ref="C2062" r:id="rId2063" display="https://youtu.be/s9Er3OOgen8"/>
    <hyperlink ref="F2062" r:id="rId2" display="https://files.afu.se/Downloads/Transcripts/0%20-%20Government/USA%20-%20NASA%20Johnson/"/>
    <hyperlink ref="C2063" r:id="rId2064" display="https://youtu.be/O0KNY63kpS4"/>
    <hyperlink ref="F2063" r:id="rId2" display="https://files.afu.se/Downloads/Transcripts/0%20-%20Government/USA%20-%20NASA%20Johnson/"/>
    <hyperlink ref="C2064" r:id="rId2065" display="https://youtu.be/w7xboBrjcio"/>
    <hyperlink ref="F2064" r:id="rId2" display="https://files.afu.se/Downloads/Transcripts/0%20-%20Government/USA%20-%20NASA%20Johnson/"/>
    <hyperlink ref="C2065" r:id="rId2066" display="https://youtu.be/dKhLb0tlJ-U"/>
    <hyperlink ref="F2065" r:id="rId2" display="https://files.afu.se/Downloads/Transcripts/0%20-%20Government/USA%20-%20NASA%20Johnson/"/>
    <hyperlink ref="C2066" r:id="rId2067" display="https://youtu.be/61E4MKosRdE"/>
    <hyperlink ref="F2066" r:id="rId2" display="https://files.afu.se/Downloads/Transcripts/0%20-%20Government/USA%20-%20NASA%20Johnson/"/>
    <hyperlink ref="C2067" r:id="rId2068" display="https://youtu.be/QONqNwoc9BE"/>
    <hyperlink ref="F2067" r:id="rId2" display="https://files.afu.se/Downloads/Transcripts/0%20-%20Government/USA%20-%20NASA%20Johnson/"/>
    <hyperlink ref="C2068" r:id="rId2069" display="https://youtu.be/2ynFyxTS8B8"/>
    <hyperlink ref="F2068" r:id="rId2" display="https://files.afu.se/Downloads/Transcripts/0%20-%20Government/USA%20-%20NASA%20Johnson/"/>
    <hyperlink ref="C2069" r:id="rId2070" display="https://youtu.be/jtLqjGMMVCo"/>
    <hyperlink ref="F2069" r:id="rId2" display="https://files.afu.se/Downloads/Transcripts/0%20-%20Government/USA%20-%20NASA%20Johnson/"/>
    <hyperlink ref="C2070" r:id="rId2071" display="https://youtu.be/XCeb0CI6eQM"/>
    <hyperlink ref="F2070" r:id="rId2" display="https://files.afu.se/Downloads/Transcripts/0%20-%20Government/USA%20-%20NASA%20Johnson/"/>
    <hyperlink ref="C2071" r:id="rId2072" display="https://youtu.be/GN5LQh3q08s"/>
    <hyperlink ref="F2071" r:id="rId2" display="https://files.afu.se/Downloads/Transcripts/0%20-%20Government/USA%20-%20NASA%20Johnson/"/>
    <hyperlink ref="C2072" r:id="rId2073" display="https://youtu.be/jOJpf-fn_NY"/>
    <hyperlink ref="F2072" r:id="rId2" display="https://files.afu.se/Downloads/Transcripts/0%20-%20Government/USA%20-%20NASA%20Johnson/"/>
    <hyperlink ref="C2073" r:id="rId2074" display="https://youtu.be/Rrt3sgjJ_5s"/>
    <hyperlink ref="F2073" r:id="rId2" display="https://files.afu.se/Downloads/Transcripts/0%20-%20Government/USA%20-%20NASA%20Johnson/"/>
    <hyperlink ref="C2074" r:id="rId2075" display="https://youtu.be/0mKEOlOFoxQ"/>
    <hyperlink ref="F2074" r:id="rId2" display="https://files.afu.se/Downloads/Transcripts/0%20-%20Government/USA%20-%20NASA%20Johnson/"/>
    <hyperlink ref="C2075" r:id="rId2076" display="https://youtu.be/3WCw02GgdNE"/>
    <hyperlink ref="F2075" r:id="rId2" display="https://files.afu.se/Downloads/Transcripts/0%20-%20Government/USA%20-%20NASA%20Johnson/"/>
    <hyperlink ref="C2076" r:id="rId2077" display="https://youtu.be/Axd-YVkZrtg"/>
    <hyperlink ref="F2076" r:id="rId2" display="https://files.afu.se/Downloads/Transcripts/0%20-%20Government/USA%20-%20NASA%20Johnson/"/>
    <hyperlink ref="C2077" r:id="rId2078" display="https://youtu.be/scy4vjm7uTc"/>
    <hyperlink ref="F2077" r:id="rId2" display="https://files.afu.se/Downloads/Transcripts/0%20-%20Government/USA%20-%20NASA%20Johnson/"/>
    <hyperlink ref="C2078" r:id="rId2079" display="https://youtu.be/HnGsd11x2fk"/>
    <hyperlink ref="F2078" r:id="rId2" display="https://files.afu.se/Downloads/Transcripts/0%20-%20Government/USA%20-%20NASA%20Johnson/"/>
    <hyperlink ref="C2079" r:id="rId2080" display="https://youtu.be/_ikouWcXhd0"/>
    <hyperlink ref="F2079" r:id="rId2" display="https://files.afu.se/Downloads/Transcripts/0%20-%20Government/USA%20-%20NASA%20Johnson/"/>
    <hyperlink ref="C2080" r:id="rId2081" display="https://youtu.be/x49QfKZ7_Lg"/>
    <hyperlink ref="F2080" r:id="rId2" display="https://files.afu.se/Downloads/Transcripts/0%20-%20Government/USA%20-%20NASA%20Johnson/"/>
    <hyperlink ref="C2081" r:id="rId2082" display="https://youtu.be/O0AmGqHHo9Y"/>
    <hyperlink ref="F2081" r:id="rId2" display="https://files.afu.se/Downloads/Transcripts/0%20-%20Government/USA%20-%20NASA%20Johnson/"/>
    <hyperlink ref="C2082" r:id="rId2083" display="https://youtu.be/eCULfmZ7bb8"/>
    <hyperlink ref="F2082" r:id="rId2" display="https://files.afu.se/Downloads/Transcripts/0%20-%20Government/USA%20-%20NASA%20Johnson/"/>
    <hyperlink ref="C2083" r:id="rId2084" display="https://youtu.be/R9fGZVCUgW0"/>
    <hyperlink ref="F2083" r:id="rId2" display="https://files.afu.se/Downloads/Transcripts/0%20-%20Government/USA%20-%20NASA%20Johnson/"/>
    <hyperlink ref="C2084" r:id="rId2085" display="https://youtu.be/IZjAvqd2USE"/>
    <hyperlink ref="F2084" r:id="rId2" display="https://files.afu.se/Downloads/Transcripts/0%20-%20Government/USA%20-%20NASA%20Johnson/"/>
    <hyperlink ref="C2085" r:id="rId2086" display="https://youtu.be/0bho96llThE"/>
    <hyperlink ref="F2085" r:id="rId2" display="https://files.afu.se/Downloads/Transcripts/0%20-%20Government/USA%20-%20NASA%20Johnson/"/>
    <hyperlink ref="C2086" r:id="rId2087" display="https://youtu.be/RsN5wbcXED0"/>
    <hyperlink ref="F2086" r:id="rId2" display="https://files.afu.se/Downloads/Transcripts/0%20-%20Government/USA%20-%20NASA%20Johnson/"/>
    <hyperlink ref="C2087" r:id="rId2088" display="https://youtu.be/hyxDrnkHQSs"/>
    <hyperlink ref="F2087" r:id="rId2" display="https://files.afu.se/Downloads/Transcripts/0%20-%20Government/USA%20-%20NASA%20Johnson/"/>
    <hyperlink ref="C2088" r:id="rId2089" display="https://youtu.be/1pZ06OwCu2g"/>
    <hyperlink ref="F2088" r:id="rId2" display="https://files.afu.se/Downloads/Transcripts/0%20-%20Government/USA%20-%20NASA%20Johnson/"/>
    <hyperlink ref="C2089" r:id="rId2090" display="https://youtu.be/MyHYphRAeYw"/>
    <hyperlink ref="F2089" r:id="rId2" display="https://files.afu.se/Downloads/Transcripts/0%20-%20Government/USA%20-%20NASA%20Johnson/"/>
    <hyperlink ref="C2090" r:id="rId2091" display="https://youtu.be/1MSC_52LVOg"/>
    <hyperlink ref="F2090" r:id="rId2" display="https://files.afu.se/Downloads/Transcripts/0%20-%20Government/USA%20-%20NASA%20Johnson/"/>
    <hyperlink ref="C2091" r:id="rId2092" display="https://youtu.be/SgcxhpoDH3Y"/>
    <hyperlink ref="F2091" r:id="rId2" display="https://files.afu.se/Downloads/Transcripts/0%20-%20Government/USA%20-%20NASA%20Johnson/"/>
    <hyperlink ref="C2092" r:id="rId2093" display="https://youtu.be/3PYLbcfXlw8"/>
    <hyperlink ref="F2092" r:id="rId2" display="https://files.afu.se/Downloads/Transcripts/0%20-%20Government/USA%20-%20NASA%20Johnson/"/>
    <hyperlink ref="C2093" r:id="rId2094" display="https://youtu.be/NiHQIpOsL24"/>
    <hyperlink ref="F2093" r:id="rId2" display="https://files.afu.se/Downloads/Transcripts/0%20-%20Government/USA%20-%20NASA%20Johnson/"/>
    <hyperlink ref="C2094" r:id="rId2095" display="https://youtu.be/jPeHX0SAz2M"/>
    <hyperlink ref="F2094" r:id="rId2" display="https://files.afu.se/Downloads/Transcripts/0%20-%20Government/USA%20-%20NASA%20Johnson/"/>
    <hyperlink ref="C2095" r:id="rId2096" display="https://youtu.be/qm-QKtBjSms"/>
    <hyperlink ref="F2095" r:id="rId2" display="https://files.afu.se/Downloads/Transcripts/0%20-%20Government/USA%20-%20NASA%20Johnson/"/>
    <hyperlink ref="C2096" r:id="rId2097" display="https://youtu.be/kOACF9uL4Bc"/>
    <hyperlink ref="F2096" r:id="rId2" display="https://files.afu.se/Downloads/Transcripts/0%20-%20Government/USA%20-%20NASA%20Johnson/"/>
    <hyperlink ref="C2097" r:id="rId2098" display="https://youtu.be/m7-87uOE0xk"/>
    <hyperlink ref="F2097" r:id="rId2" display="https://files.afu.se/Downloads/Transcripts/0%20-%20Government/USA%20-%20NASA%20Johnson/"/>
    <hyperlink ref="C2098" r:id="rId2099" display="https://youtu.be/QKlE7gf3xlw"/>
    <hyperlink ref="E2098" r:id="rId1977" display="https://www.facebook.com/#!/trainastronaut&#10;&#10;Part of an effective mission is ensuring the health and vitality of each Astronaut onboard through multiple methods including but limited to diet and exercise.  Join Astronaut Mike Hopkins as he explains how important muscle strength and conditioning moves are for mitigating bone and muscle loss effects of 0-G."/>
    <hyperlink ref="F2098" r:id="rId2" display="https://files.afu.se/Downloads/Transcripts/0%20-%20Government/USA%20-%20NASA%20Johnson/"/>
    <hyperlink ref="C2099" r:id="rId2100" display="https://youtu.be/p7afh6oujC8"/>
    <hyperlink ref="F2099" r:id="rId2" display="https://files.afu.se/Downloads/Transcripts/0%20-%20Government/USA%20-%20NASA%20Johnson/"/>
    <hyperlink ref="C2100" r:id="rId2101" display="https://youtu.be/3c9eO-aNdJg"/>
    <hyperlink ref="F2100" r:id="rId2" display="https://files.afu.se/Downloads/Transcripts/0%20-%20Government/USA%20-%20NASA%20Johnson/"/>
    <hyperlink ref="C2101" r:id="rId2102" display="https://youtu.be/dqL0VroFS6Y"/>
    <hyperlink ref="F2101" r:id="rId2" display="https://files.afu.se/Downloads/Transcripts/0%20-%20Government/USA%20-%20NASA%20Johnson/"/>
    <hyperlink ref="C2102" r:id="rId2103" display="https://youtu.be/XqSW1xI4oo0"/>
    <hyperlink ref="F2102" r:id="rId2" display="https://files.afu.se/Downloads/Transcripts/0%20-%20Government/USA%20-%20NASA%20Johnson/"/>
    <hyperlink ref="C2103" r:id="rId2104" display="https://youtu.be/-M260qf8bbc"/>
    <hyperlink ref="F2103" r:id="rId2" display="https://files.afu.se/Downloads/Transcripts/0%20-%20Government/USA%20-%20NASA%20Johnson/"/>
    <hyperlink ref="C2104" r:id="rId2105" display="https://youtu.be/cWc6SptEhmg"/>
    <hyperlink ref="F2104" r:id="rId2" display="https://files.afu.se/Downloads/Transcripts/0%20-%20Government/USA%20-%20NASA%20Johnson/"/>
    <hyperlink ref="C2105" r:id="rId2106" display="https://youtu.be/KBP7BSEsQWM"/>
    <hyperlink ref="F2105" r:id="rId2" display="https://files.afu.se/Downloads/Transcripts/0%20-%20Government/USA%20-%20NASA%20Johnson/"/>
    <hyperlink ref="C2106" r:id="rId2107" display="https://youtu.be/vCyNWhimvZE"/>
    <hyperlink ref="F2106" r:id="rId2" display="https://files.afu.se/Downloads/Transcripts/0%20-%20Government/USA%20-%20NASA%20Johnson/"/>
    <hyperlink ref="C2107" r:id="rId2108" display="https://youtu.be/Kq-exVQPGB4"/>
    <hyperlink ref="F2107" r:id="rId2" display="https://files.afu.se/Downloads/Transcripts/0%20-%20Government/USA%20-%20NASA%20Johnson/"/>
    <hyperlink ref="C2108" r:id="rId2109" display="https://youtu.be/QLa6VqrKlD8"/>
    <hyperlink ref="F2108" r:id="rId2" display="https://files.afu.se/Downloads/Transcripts/0%20-%20Government/USA%20-%20NASA%20Johnson/"/>
    <hyperlink ref="C2109" r:id="rId2110" display="https://youtu.be/dBf0tNb_8k4"/>
    <hyperlink ref="F2109" r:id="rId2" display="https://files.afu.se/Downloads/Transcripts/0%20-%20Government/USA%20-%20NASA%20Johnson/"/>
    <hyperlink ref="C2110" r:id="rId2111" display="https://youtu.be/tnLRCgOWGy8"/>
    <hyperlink ref="F2110" r:id="rId2" display="https://files.afu.se/Downloads/Transcripts/0%20-%20Government/USA%20-%20NASA%20Johnson/"/>
    <hyperlink ref="C2111" r:id="rId2112" display="https://youtu.be/nMqe9XEXTEg"/>
    <hyperlink ref="F2111" r:id="rId2" display="https://files.afu.se/Downloads/Transcripts/0%20-%20Government/USA%20-%20NASA%20Johnson/"/>
    <hyperlink ref="C2112" r:id="rId2113" display="https://youtu.be/vfDXzkFHnz0"/>
    <hyperlink ref="F2112" r:id="rId2" display="https://files.afu.se/Downloads/Transcripts/0%20-%20Government/USA%20-%20NASA%20Johnson/"/>
    <hyperlink ref="C2113" r:id="rId2114" display="https://youtu.be/dtKJKfViQUU"/>
    <hyperlink ref="F2113" r:id="rId2" display="https://files.afu.se/Downloads/Transcripts/0%20-%20Government/USA%20-%20NASA%20Johnson/"/>
    <hyperlink ref="C2114" r:id="rId2115" display="https://youtu.be/iyyBbv3wkkI"/>
    <hyperlink ref="F2114" r:id="rId2" display="https://files.afu.se/Downloads/Transcripts/0%20-%20Government/USA%20-%20NASA%20Johnson/"/>
    <hyperlink ref="C2115" r:id="rId2116" display="https://youtu.be/hDnoICrziVI"/>
    <hyperlink ref="F2115" r:id="rId2" display="https://files.afu.se/Downloads/Transcripts/0%20-%20Government/USA%20-%20NASA%20Johnson/"/>
    <hyperlink ref="C2116" r:id="rId2117" display="https://youtu.be/kPYdkTLqm6Q"/>
    <hyperlink ref="F2116" r:id="rId2" display="https://files.afu.se/Downloads/Transcripts/0%20-%20Government/USA%20-%20NASA%20Johnson/"/>
    <hyperlink ref="C2117" r:id="rId2118" display="https://youtu.be/2tIPi8nik3c"/>
    <hyperlink ref="F2117" r:id="rId2" display="https://files.afu.se/Downloads/Transcripts/0%20-%20Government/USA%20-%20NASA%20Johnson/"/>
    <hyperlink ref="C2118" r:id="rId2119" display="https://youtu.be/cfCTb7m_jrA"/>
    <hyperlink ref="F2118" r:id="rId2" display="https://files.afu.se/Downloads/Transcripts/0%20-%20Government/USA%20-%20NASA%20Johnson/"/>
    <hyperlink ref="C2119" r:id="rId2120" display="https://youtu.be/otwdUaIRg_Q"/>
    <hyperlink ref="F2119" r:id="rId2" display="https://files.afu.se/Downloads/Transcripts/0%20-%20Government/USA%20-%20NASA%20Johnson/"/>
    <hyperlink ref="C2120" r:id="rId2121" display="https://youtu.be/qYSPDnlpMeI"/>
    <hyperlink ref="F2120" r:id="rId2" display="https://files.afu.se/Downloads/Transcripts/0%20-%20Government/USA%20-%20NASA%20Johnson/"/>
    <hyperlink ref="C2121" r:id="rId2122" display="https://youtu.be/LkrZJedU7yA"/>
    <hyperlink ref="F2121" r:id="rId2" display="https://files.afu.se/Downloads/Transcripts/0%20-%20Government/USA%20-%20NASA%20Johnson/"/>
    <hyperlink ref="C2122" r:id="rId2123" display="https://youtu.be/haR1PHgnI5U"/>
    <hyperlink ref="F2122" r:id="rId2" display="https://files.afu.se/Downloads/Transcripts/0%20-%20Government/USA%20-%20NASA%20Johnson/"/>
    <hyperlink ref="C2123" r:id="rId2124" display="https://youtu.be/NOVgH-2s2HU"/>
    <hyperlink ref="F2123" r:id="rId2" display="https://files.afu.se/Downloads/Transcripts/0%20-%20Government/USA%20-%20NASA%20Johnson/"/>
    <hyperlink ref="C2124" r:id="rId2125" display="https://youtu.be/CEHE-lQXN60"/>
    <hyperlink ref="F2124" r:id="rId2" display="https://files.afu.se/Downloads/Transcripts/0%20-%20Government/USA%20-%20NASA%20Johnson/"/>
    <hyperlink ref="C2125" r:id="rId2126" display="https://youtu.be/AET08T06Emg"/>
    <hyperlink ref="F2125" r:id="rId2" display="https://files.afu.se/Downloads/Transcripts/0%20-%20Government/USA%20-%20NASA%20Johnson/"/>
    <hyperlink ref="C2126" r:id="rId2127" display="https://youtu.be/42LJE94Ucbk"/>
    <hyperlink ref="F2126" r:id="rId2" display="https://files.afu.se/Downloads/Transcripts/0%20-%20Government/USA%20-%20NASA%20Johnson/"/>
    <hyperlink ref="C2127" r:id="rId2128" display="https://youtu.be/d-OqseqoxJs"/>
    <hyperlink ref="F2127" r:id="rId2" display="https://files.afu.se/Downloads/Transcripts/0%20-%20Government/USA%20-%20NASA%20Johnson/"/>
    <hyperlink ref="C2128" r:id="rId2129" display="https://youtu.be/ilQYJT44Dm8"/>
    <hyperlink ref="F2128" r:id="rId2" display="https://files.afu.se/Downloads/Transcripts/0%20-%20Government/USA%20-%20NASA%20Johnson/"/>
    <hyperlink ref="C2129" r:id="rId2130" display="https://youtu.be/rJxZCaACoFA"/>
    <hyperlink ref="F2129" r:id="rId2" display="https://files.afu.se/Downloads/Transcripts/0%20-%20Government/USA%20-%20NASA%20Johnson/"/>
    <hyperlink ref="C2130" r:id="rId2131" display="https://youtu.be/tl2C_JbPPXE"/>
    <hyperlink ref="F2130" r:id="rId2" display="https://files.afu.se/Downloads/Transcripts/0%20-%20Government/USA%20-%20NASA%20Johnson/"/>
    <hyperlink ref="C2131" r:id="rId2132" display="https://youtu.be/l8DHqM1iTFs"/>
    <hyperlink ref="F2131" r:id="rId2" display="https://files.afu.se/Downloads/Transcripts/0%20-%20Government/USA%20-%20NASA%20Johnson/"/>
    <hyperlink ref="C2132" r:id="rId2133" display="https://youtu.be/9waMolhMTSc"/>
    <hyperlink ref="F2132" r:id="rId2" display="https://files.afu.se/Downloads/Transcripts/0%20-%20Government/USA%20-%20NASA%20Johnson/"/>
    <hyperlink ref="C2133" r:id="rId2134" display="https://youtu.be/sLXs5mL_Hw4"/>
    <hyperlink ref="F2133" r:id="rId2" display="https://files.afu.se/Downloads/Transcripts/0%20-%20Government/USA%20-%20NASA%20Johnson/"/>
    <hyperlink ref="C2134" r:id="rId2135" display="https://youtu.be/xd1kEVo7By0"/>
    <hyperlink ref="F2134" r:id="rId2" display="https://files.afu.se/Downloads/Transcripts/0%20-%20Government/USA%20-%20NASA%20Johnson/"/>
    <hyperlink ref="C2135" r:id="rId2136" display="https://youtu.be/_LU60dA7gLg"/>
    <hyperlink ref="F2135" r:id="rId2" display="https://files.afu.se/Downloads/Transcripts/0%20-%20Government/USA%20-%20NASA%20Johnson/"/>
    <hyperlink ref="C2136" r:id="rId2137" display="https://youtu.be/HyAViCNklSk"/>
    <hyperlink ref="F2136" r:id="rId2" display="https://files.afu.se/Downloads/Transcripts/0%20-%20Government/USA%20-%20NASA%20Johnson/"/>
    <hyperlink ref="C2137" r:id="rId2138" display="https://youtu.be/lCEny-IP-iI"/>
    <hyperlink ref="F2137" r:id="rId2" display="https://files.afu.se/Downloads/Transcripts/0%20-%20Government/USA%20-%20NASA%20Johnson/"/>
    <hyperlink ref="C2138" r:id="rId2139" display="https://youtu.be/0k9E42YWq5g"/>
    <hyperlink ref="F2138" r:id="rId2" display="https://files.afu.se/Downloads/Transcripts/0%20-%20Government/USA%20-%20NASA%20Johnson/"/>
    <hyperlink ref="C2139" r:id="rId2140" display="https://youtu.be/L09oA_8mzY0"/>
    <hyperlink ref="F2139" r:id="rId2" display="https://files.afu.se/Downloads/Transcripts/0%20-%20Government/USA%20-%20NASA%20Johnson/"/>
    <hyperlink ref="C2140" r:id="rId2141" display="https://youtu.be/9Q3UfwiN1dA"/>
    <hyperlink ref="F2140" r:id="rId2" display="https://files.afu.se/Downloads/Transcripts/0%20-%20Government/USA%20-%20NASA%20Johnson/"/>
    <hyperlink ref="C2141" r:id="rId2142" display="https://youtu.be/eYoLlAOEDUo"/>
    <hyperlink ref="F2141" r:id="rId2" display="https://files.afu.se/Downloads/Transcripts/0%20-%20Government/USA%20-%20NASA%20Johnson/"/>
    <hyperlink ref="C2142" r:id="rId2143" display="https://youtu.be/A8tnDRWJNv4"/>
    <hyperlink ref="F2142" r:id="rId2" display="https://files.afu.se/Downloads/Transcripts/0%20-%20Government/USA%20-%20NASA%20Johnson/"/>
    <hyperlink ref="C2143" r:id="rId2144" display="https://youtu.be/9AvAZuo2yw0"/>
    <hyperlink ref="F2143" r:id="rId2" display="https://files.afu.se/Downloads/Transcripts/0%20-%20Government/USA%20-%20NASA%20Johnson/"/>
    <hyperlink ref="C2144" r:id="rId2145" display="https://youtu.be/nlq_jU-yUgs"/>
    <hyperlink ref="F2144" r:id="rId2" display="https://files.afu.se/Downloads/Transcripts/0%20-%20Government/USA%20-%20NASA%20Johnson/"/>
    <hyperlink ref="C2145" r:id="rId2146" display="https://youtu.be/VnB5IkbSUjs"/>
    <hyperlink ref="F2145" r:id="rId2" display="https://files.afu.se/Downloads/Transcripts/0%20-%20Government/USA%20-%20NASA%20Johnson/"/>
    <hyperlink ref="C2146" r:id="rId2147" display="https://youtu.be/wbkVBH6AvSI"/>
    <hyperlink ref="F2146" r:id="rId2" display="https://files.afu.se/Downloads/Transcripts/0%20-%20Government/USA%20-%20NASA%20Johnson/"/>
    <hyperlink ref="C2147" r:id="rId2148" display="https://youtu.be/pfoVLrhkCXc"/>
    <hyperlink ref="F2147" r:id="rId2" display="https://files.afu.se/Downloads/Transcripts/0%20-%20Government/USA%20-%20NASA%20Johnson/"/>
    <hyperlink ref="C2148" r:id="rId2149" display="https://youtu.be/9BPs5r26sUA"/>
    <hyperlink ref="F2148" r:id="rId2" display="https://files.afu.se/Downloads/Transcripts/0%20-%20Government/USA%20-%20NASA%20Johnson/"/>
    <hyperlink ref="C2149" r:id="rId2150" display="https://youtu.be/3Cd6CtgbfZk"/>
    <hyperlink ref="F2149" r:id="rId2" display="https://files.afu.se/Downloads/Transcripts/0%20-%20Government/USA%20-%20NASA%20Johnson/"/>
    <hyperlink ref="C2150" r:id="rId2151" display="https://youtu.be/KEza7pgo7dA"/>
    <hyperlink ref="F2150" r:id="rId2" display="https://files.afu.se/Downloads/Transcripts/0%20-%20Government/USA%20-%20NASA%20Johnson/"/>
    <hyperlink ref="C2151" r:id="rId2152" display="https://youtu.be/PVxaL8CAO4M"/>
    <hyperlink ref="F2151" r:id="rId2" display="https://files.afu.se/Downloads/Transcripts/0%20-%20Government/USA%20-%20NASA%20Johnson/"/>
    <hyperlink ref="C2152" r:id="rId2153" display="https://youtu.be/ObKgzmmUMsc"/>
    <hyperlink ref="F2152" r:id="rId2" display="https://files.afu.se/Downloads/Transcripts/0%20-%20Government/USA%20-%20NASA%20Johnson/"/>
    <hyperlink ref="C2153" r:id="rId2154" display="https://youtu.be/ot4c3p-Yp-Q"/>
    <hyperlink ref="F2153" r:id="rId2" display="https://files.afu.se/Downloads/Transcripts/0%20-%20Government/USA%20-%20NASA%20Johnson/"/>
    <hyperlink ref="C2154" r:id="rId2155" display="https://youtu.be/2ECHJkDUy84"/>
    <hyperlink ref="F2154" r:id="rId2" display="https://files.afu.se/Downloads/Transcripts/0%20-%20Government/USA%20-%20NASA%20Johnson/"/>
    <hyperlink ref="C2155" r:id="rId2156" display="https://youtu.be/-BpXzBzKfPw"/>
    <hyperlink ref="F2155" r:id="rId2" display="https://files.afu.se/Downloads/Transcripts/0%20-%20Government/USA%20-%20NASA%20Johnson/"/>
    <hyperlink ref="C2156" r:id="rId2157" display="https://youtu.be/VzT-OhuZmL4"/>
    <hyperlink ref="F2156" r:id="rId2" display="https://files.afu.se/Downloads/Transcripts/0%20-%20Government/USA%20-%20NASA%20Johnson/"/>
    <hyperlink ref="C2157" r:id="rId2158" display="https://youtu.be/IzeZlntoJHM"/>
    <hyperlink ref="F2157" r:id="rId2" display="https://files.afu.se/Downloads/Transcripts/0%20-%20Government/USA%20-%20NASA%20Johnson/"/>
    <hyperlink ref="C2158" r:id="rId2159" display="https://youtu.be/BU1ePn18vjs"/>
    <hyperlink ref="F2158" r:id="rId2" display="https://files.afu.se/Downloads/Transcripts/0%20-%20Government/USA%20-%20NASA%20Johnson/"/>
    <hyperlink ref="C2159" r:id="rId2160" display="https://youtu.be/iCsPThke73I"/>
    <hyperlink ref="F2159" r:id="rId2" display="https://files.afu.se/Downloads/Transcripts/0%20-%20Government/USA%20-%20NASA%20Johnson/"/>
    <hyperlink ref="C2160" r:id="rId2161" display="https://youtu.be/l_-NyvV96zY"/>
    <hyperlink ref="F2160" r:id="rId2" display="https://files.afu.se/Downloads/Transcripts/0%20-%20Government/USA%20-%20NASA%20Johnson/"/>
    <hyperlink ref="C2161" r:id="rId2162" display="https://youtu.be/U0uh-4Hp1FA"/>
    <hyperlink ref="F2161" r:id="rId2" display="https://files.afu.se/Downloads/Transcripts/0%20-%20Government/USA%20-%20NASA%20Johnson/"/>
    <hyperlink ref="C2162" r:id="rId2163" display="https://youtu.be/pqHVSKduVyM"/>
    <hyperlink ref="F2162" r:id="rId2" display="https://files.afu.se/Downloads/Transcripts/0%20-%20Government/USA%20-%20NASA%20Johnson/"/>
    <hyperlink ref="C2163" r:id="rId2164" display="https://youtu.be/8SKJenRE4KY"/>
    <hyperlink ref="F2163" r:id="rId2" display="https://files.afu.se/Downloads/Transcripts/0%20-%20Government/USA%20-%20NASA%20Johnson/"/>
    <hyperlink ref="C2164" r:id="rId2165" display="https://youtu.be/1SwFkg6wf0w"/>
    <hyperlink ref="F2164" r:id="rId2" display="https://files.afu.se/Downloads/Transcripts/0%20-%20Government/USA%20-%20NASA%20Johnson/"/>
    <hyperlink ref="C2165" r:id="rId2166" display="https://youtu.be/6YF12BCZR3E"/>
    <hyperlink ref="F2165" r:id="rId2" display="https://files.afu.se/Downloads/Transcripts/0%20-%20Government/USA%20-%20NASA%20Johnson/"/>
    <hyperlink ref="C2166" r:id="rId2167" display="https://youtu.be/Uh-G1z8Tqs8"/>
    <hyperlink ref="F2166" r:id="rId2" display="https://files.afu.se/Downloads/Transcripts/0%20-%20Government/USA%20-%20NASA%20Johnson/"/>
    <hyperlink ref="C2167" r:id="rId2168" display="https://youtu.be/OGWpFybh0kk"/>
    <hyperlink ref="F2167" r:id="rId2" display="https://files.afu.se/Downloads/Transcripts/0%20-%20Government/USA%20-%20NASA%20Johnson/"/>
    <hyperlink ref="C2168" r:id="rId2169" display="https://youtu.be/6DuqojOjXfM"/>
    <hyperlink ref="F2168" r:id="rId2" display="https://files.afu.se/Downloads/Transcripts/0%20-%20Government/USA%20-%20NASA%20Johnson/"/>
    <hyperlink ref="C2169" r:id="rId2170" display="https://youtu.be/f_dcbh2r5vI"/>
    <hyperlink ref="F2169" r:id="rId2" display="https://files.afu.se/Downloads/Transcripts/0%20-%20Government/USA%20-%20NASA%20Johnson/"/>
    <hyperlink ref="C2170" r:id="rId2171" display="https://youtu.be/gWaOpDLZmOo"/>
    <hyperlink ref="F2170" r:id="rId2" display="https://files.afu.se/Downloads/Transcripts/0%20-%20Government/USA%20-%20NASA%20Johnson/"/>
    <hyperlink ref="C2171" r:id="rId2172" display="https://youtu.be/uJNpJanM5Iw"/>
    <hyperlink ref="F2171" r:id="rId2" display="https://files.afu.se/Downloads/Transcripts/0%20-%20Government/USA%20-%20NASA%20Johnson/"/>
    <hyperlink ref="C2172" r:id="rId2173" display="https://youtu.be/zc0dyTWa3fU"/>
    <hyperlink ref="F2172" r:id="rId2" display="https://files.afu.se/Downloads/Transcripts/0%20-%20Government/USA%20-%20NASA%20Johnson/"/>
    <hyperlink ref="C2173" r:id="rId2174" display="https://youtu.be/n-Ftq90zXW8"/>
    <hyperlink ref="F2173" r:id="rId2" display="https://files.afu.se/Downloads/Transcripts/0%20-%20Government/USA%20-%20NASA%20Johnson/"/>
    <hyperlink ref="C2174" r:id="rId2175" display="https://youtu.be/ib9z-70mPUg"/>
    <hyperlink ref="F2174" r:id="rId2" display="https://files.afu.se/Downloads/Transcripts/0%20-%20Government/USA%20-%20NASA%20Johnson/"/>
    <hyperlink ref="C2175" r:id="rId2176" display="https://youtu.be/uzXaI0VEINU"/>
    <hyperlink ref="F2175" r:id="rId2" display="https://files.afu.se/Downloads/Transcripts/0%20-%20Government/USA%20-%20NASA%20Johnson/"/>
    <hyperlink ref="C2176" r:id="rId2177" display="https://youtu.be/P6w6hFwH7Rw"/>
    <hyperlink ref="F2176" r:id="rId2" display="https://files.afu.se/Downloads/Transcripts/0%20-%20Government/USA%20-%20NASA%20Johnson/"/>
    <hyperlink ref="C2177" r:id="rId2178" display="https://youtu.be/ZfcAt7hpOls"/>
    <hyperlink ref="F2177" r:id="rId2" display="https://files.afu.se/Downloads/Transcripts/0%20-%20Government/USA%20-%20NASA%20Johnson/"/>
    <hyperlink ref="C2178" r:id="rId2179" display="https://youtu.be/tyt9RwLsJrM"/>
    <hyperlink ref="F2178" r:id="rId2" display="https://files.afu.se/Downloads/Transcripts/0%20-%20Government/USA%20-%20NASA%20Johnson/"/>
    <hyperlink ref="C2179" r:id="rId2180" display="https://youtu.be/UBrxHE9Snp8"/>
    <hyperlink ref="F2179" r:id="rId2" display="https://files.afu.se/Downloads/Transcripts/0%20-%20Government/USA%20-%20NASA%20Johnson/"/>
    <hyperlink ref="C2180" r:id="rId2181" display="https://youtu.be/guPixkNsE6M"/>
    <hyperlink ref="F2180" r:id="rId2" display="https://files.afu.se/Downloads/Transcripts/0%20-%20Government/USA%20-%20NASA%20Johnson/"/>
    <hyperlink ref="C2181" r:id="rId2182" display="https://youtu.be/pJQMf2bsuZ0"/>
    <hyperlink ref="F2181" r:id="rId2" display="https://files.afu.se/Downloads/Transcripts/0%20-%20Government/USA%20-%20NASA%20Johnson/"/>
    <hyperlink ref="C2182" r:id="rId2183" display="https://youtu.be/0DzusB4Dc5w"/>
    <hyperlink ref="F2182" r:id="rId2" display="https://files.afu.se/Downloads/Transcripts/0%20-%20Government/USA%20-%20NASA%20Johnson/"/>
    <hyperlink ref="C2183" r:id="rId2184" display="https://youtu.be/zpJ3HLEPzGo"/>
    <hyperlink ref="F2183" r:id="rId2" display="https://files.afu.se/Downloads/Transcripts/0%20-%20Government/USA%20-%20NASA%20Johnson/"/>
    <hyperlink ref="C2184" r:id="rId2185" display="https://youtu.be/nmWbm9ab4n4"/>
    <hyperlink ref="F2184" r:id="rId2" display="https://files.afu.se/Downloads/Transcripts/0%20-%20Government/USA%20-%20NASA%20Johnson/"/>
    <hyperlink ref="C2185" r:id="rId2186" display="https://youtu.be/QZl0Cpkb514"/>
    <hyperlink ref="F2185" r:id="rId2" display="https://files.afu.se/Downloads/Transcripts/0%20-%20Government/USA%20-%20NASA%20Johnson/"/>
    <hyperlink ref="C2186" r:id="rId2187" display="https://youtu.be/vfw_5NDWWto"/>
    <hyperlink ref="F2186" r:id="rId2" display="https://files.afu.se/Downloads/Transcripts/0%20-%20Government/USA%20-%20NASA%20Johnson/"/>
    <hyperlink ref="C2187" r:id="rId2188" display="https://youtu.be/FVjQlOF1inE"/>
    <hyperlink ref="F2187" r:id="rId2" display="https://files.afu.se/Downloads/Transcripts/0%20-%20Government/USA%20-%20NASA%20Johnson/"/>
    <hyperlink ref="C2188" r:id="rId2189" display="https://youtu.be/tpjnujB2DG4"/>
    <hyperlink ref="F2188" r:id="rId2" display="https://files.afu.se/Downloads/Transcripts/0%20-%20Government/USA%20-%20NASA%20Johnson/"/>
    <hyperlink ref="C2189" r:id="rId2190" display="https://youtu.be/EK6fPDciow8"/>
    <hyperlink ref="F2189" r:id="rId2" display="https://files.afu.se/Downloads/Transcripts/0%20-%20Government/USA%20-%20NASA%20Johnson/"/>
    <hyperlink ref="C2190" r:id="rId2191" display="https://youtu.be/He7jAP_bco8"/>
    <hyperlink ref="F2190" r:id="rId2" display="https://files.afu.se/Downloads/Transcripts/0%20-%20Government/USA%20-%20NASA%20Johnson/"/>
    <hyperlink ref="C2191" r:id="rId2192" display="https://youtu.be/9GeKpr5SQ5E"/>
    <hyperlink ref="F2191" r:id="rId2" display="https://files.afu.se/Downloads/Transcripts/0%20-%20Government/USA%20-%20NASA%20Johnson/"/>
    <hyperlink ref="C2192" r:id="rId2193" display="https://youtu.be/-PMm1ksT9fU"/>
    <hyperlink ref="F2192" r:id="rId2" display="https://files.afu.se/Downloads/Transcripts/0%20-%20Government/USA%20-%20NASA%20Johnson/"/>
    <hyperlink ref="C2193" r:id="rId2194" display="https://youtu.be/7oBvNxbTF28"/>
    <hyperlink ref="F2193" r:id="rId2" display="https://files.afu.se/Downloads/Transcripts/0%20-%20Government/USA%20-%20NASA%20Johnson/"/>
    <hyperlink ref="C2194" r:id="rId2195" display="https://youtu.be/lO-mvyXAZMw"/>
    <hyperlink ref="F2194" r:id="rId2" display="https://files.afu.se/Downloads/Transcripts/0%20-%20Government/USA%20-%20NASA%20Johnson/"/>
    <hyperlink ref="C2195" r:id="rId2196" display="https://youtu.be/k4EX9QI96MI"/>
    <hyperlink ref="F2195" r:id="rId2" display="https://files.afu.se/Downloads/Transcripts/0%20-%20Government/USA%20-%20NASA%20Johnson/"/>
    <hyperlink ref="C2196" r:id="rId2197" display="https://youtu.be/EIFlWph2eF0"/>
    <hyperlink ref="F2196" r:id="rId2" display="https://files.afu.se/Downloads/Transcripts/0%20-%20Government/USA%20-%20NASA%20Johnson/"/>
    <hyperlink ref="C2197" r:id="rId2198" display="https://youtu.be/_D1utxIPNps"/>
    <hyperlink ref="F2197" r:id="rId2" display="https://files.afu.se/Downloads/Transcripts/0%20-%20Government/USA%20-%20NASA%20Johnson/"/>
    <hyperlink ref="C2198" r:id="rId2199" display="https://youtu.be/qVFBNVCU2XU"/>
    <hyperlink ref="F2198" r:id="rId2" display="https://files.afu.se/Downloads/Transcripts/0%20-%20Government/USA%20-%20NASA%20Johnson/"/>
    <hyperlink ref="C2199" r:id="rId2200" display="https://youtu.be/xGUg5h7NrDc"/>
    <hyperlink ref="F2199" r:id="rId2" display="https://files.afu.se/Downloads/Transcripts/0%20-%20Government/USA%20-%20NASA%20Johnson/"/>
    <hyperlink ref="C2200" r:id="rId2201" display="https://youtu.be/G8ljIUCFQHw"/>
    <hyperlink ref="F2200" r:id="rId2" display="https://files.afu.se/Downloads/Transcripts/0%20-%20Government/USA%20-%20NASA%20Johnson/"/>
    <hyperlink ref="C2201" r:id="rId2202" display="https://youtu.be/rc1yrLSYNhM"/>
    <hyperlink ref="F2201" r:id="rId2" display="https://files.afu.se/Downloads/Transcripts/0%20-%20Government/USA%20-%20NASA%20Johnson/"/>
    <hyperlink ref="C2202" r:id="rId2203" display="https://youtu.be/vtRMX3-NQE0"/>
    <hyperlink ref="F2202" r:id="rId2" display="https://files.afu.se/Downloads/Transcripts/0%20-%20Government/USA%20-%20NASA%20Johnson/"/>
    <hyperlink ref="C2203" r:id="rId2204" display="https://youtu.be/F7pqBREyx5w"/>
    <hyperlink ref="F2203" r:id="rId2" display="https://files.afu.se/Downloads/Transcripts/0%20-%20Government/USA%20-%20NASA%20Johnson/"/>
    <hyperlink ref="C2204" r:id="rId2205" display="https://youtu.be/bihEqYeZoVs"/>
    <hyperlink ref="F2204" r:id="rId2" display="https://files.afu.se/Downloads/Transcripts/0%20-%20Government/USA%20-%20NASA%20Johnson/"/>
    <hyperlink ref="C2205" r:id="rId2206" display="https://youtu.be/mFJhg6bioNY"/>
    <hyperlink ref="F2205" r:id="rId2" display="https://files.afu.se/Downloads/Transcripts/0%20-%20Government/USA%20-%20NASA%20Johnson/"/>
    <hyperlink ref="C2206" r:id="rId2207" display="https://youtu.be/D-uwbNFcEX4"/>
    <hyperlink ref="F2206" r:id="rId2" display="https://files.afu.se/Downloads/Transcripts/0%20-%20Government/USA%20-%20NASA%20Johnson/"/>
    <hyperlink ref="C2207" r:id="rId2208" display="https://youtu.be/4ep8WEQ_tRo"/>
    <hyperlink ref="F2207" r:id="rId2" display="https://files.afu.se/Downloads/Transcripts/0%20-%20Government/USA%20-%20NASA%20Johnson/"/>
    <hyperlink ref="C2208" r:id="rId2209" display="https://youtu.be/LfeGXq945CM"/>
    <hyperlink ref="F2208" r:id="rId2" display="https://files.afu.se/Downloads/Transcripts/0%20-%20Government/USA%20-%20NASA%20Johnson/"/>
    <hyperlink ref="C2209" r:id="rId2210" display="https://youtu.be/pRpHY-Ufea0"/>
    <hyperlink ref="F2209" r:id="rId2" display="https://files.afu.se/Downloads/Transcripts/0%20-%20Government/USA%20-%20NASA%20Johnson/"/>
    <hyperlink ref="C2210" r:id="rId2211" display="https://youtu.be/uIjNfZbUYu8"/>
    <hyperlink ref="F2210" r:id="rId2" display="https://files.afu.se/Downloads/Transcripts/0%20-%20Government/USA%20-%20NASA%20Johnson/"/>
    <hyperlink ref="C2211" r:id="rId2212" display="https://youtu.be/hiFFAElkpz0"/>
    <hyperlink ref="F2211" r:id="rId2" display="https://files.afu.se/Downloads/Transcripts/0%20-%20Government/USA%20-%20NASA%20Johnson/"/>
    <hyperlink ref="C2212" r:id="rId2213" display="https://youtu.be/5ab3hnvPzQU"/>
    <hyperlink ref="F2212" r:id="rId2" display="https://files.afu.se/Downloads/Transcripts/0%20-%20Government/USA%20-%20NASA%20Johnson/"/>
    <hyperlink ref="C2213" r:id="rId2214" display="https://youtu.be/BfRHSVGQMO8"/>
    <hyperlink ref="F2213" r:id="rId2" display="https://files.afu.se/Downloads/Transcripts/0%20-%20Government/USA%20-%20NASA%20Johnson/"/>
    <hyperlink ref="C2214" r:id="rId2215" display="https://youtu.be/ln-oW5cbuG8"/>
    <hyperlink ref="F2214" r:id="rId2" display="https://files.afu.se/Downloads/Transcripts/0%20-%20Government/USA%20-%20NASA%20Johnson/"/>
    <hyperlink ref="C2215" r:id="rId2216" display="https://youtu.be/8jGzrshlX5A"/>
    <hyperlink ref="F2215" r:id="rId2" display="https://files.afu.se/Downloads/Transcripts/0%20-%20Government/USA%20-%20NASA%20Johnson/"/>
    <hyperlink ref="C2216" r:id="rId2217" display="https://youtu.be/kx1dHPrBpt0"/>
    <hyperlink ref="F2216" r:id="rId2" display="https://files.afu.se/Downloads/Transcripts/0%20-%20Government/USA%20-%20NASA%20Johnson/"/>
    <hyperlink ref="C2217" r:id="rId2218" display="https://youtu.be/UE0J6oyinf8"/>
    <hyperlink ref="F2217" r:id="rId2" display="https://files.afu.se/Downloads/Transcripts/0%20-%20Government/USA%20-%20NASA%20Johnson/"/>
    <hyperlink ref="C2218" r:id="rId2219" display="https://youtu.be/3lHnD4dBTiQ"/>
    <hyperlink ref="F2218" r:id="rId2" display="https://files.afu.se/Downloads/Transcripts/0%20-%20Government/USA%20-%20NASA%20Johnson/"/>
    <hyperlink ref="C2219" r:id="rId2220" display="https://youtu.be/K82fCFqnLBk"/>
    <hyperlink ref="F2219" r:id="rId2" display="https://files.afu.se/Downloads/Transcripts/0%20-%20Government/USA%20-%20NASA%20Johnson/"/>
    <hyperlink ref="C2220" r:id="rId2221" display="https://youtu.be/Yu-agCGK4AM"/>
    <hyperlink ref="F2220" r:id="rId2" display="https://files.afu.se/Downloads/Transcripts/0%20-%20Government/USA%20-%20NASA%20Johnson/"/>
    <hyperlink ref="C2221" r:id="rId2222" display="https://youtu.be/gE67dysO3Mc"/>
    <hyperlink ref="F2221" r:id="rId2" display="https://files.afu.se/Downloads/Transcripts/0%20-%20Government/USA%20-%20NASA%20Johnson/"/>
    <hyperlink ref="C2222" r:id="rId2223" display="https://youtu.be/TDEXHJSqeao"/>
    <hyperlink ref="F2222" r:id="rId2" display="https://files.afu.se/Downloads/Transcripts/0%20-%20Government/USA%20-%20NASA%20Johnson/"/>
    <hyperlink ref="C2223" r:id="rId2224" display="https://youtu.be/QPrtioA8ENs"/>
    <hyperlink ref="F2223" r:id="rId2" display="https://files.afu.se/Downloads/Transcripts/0%20-%20Government/USA%20-%20NASA%20Johnson/"/>
    <hyperlink ref="C2224" r:id="rId2225" display="https://youtu.be/KOxiZ3FV3v4"/>
    <hyperlink ref="F2224" r:id="rId2" display="https://files.afu.se/Downloads/Transcripts/0%20-%20Government/USA%20-%20NASA%20Johnson/"/>
    <hyperlink ref="C2225" r:id="rId2226" display="https://youtu.be/CbS_P_r6FEs"/>
    <hyperlink ref="F2225" r:id="rId2" display="https://files.afu.se/Downloads/Transcripts/0%20-%20Government/USA%20-%20NASA%20Johnson/"/>
    <hyperlink ref="C2226" r:id="rId2227" display="https://youtu.be/XHyMDv98e5s"/>
    <hyperlink ref="F2226" r:id="rId2" display="https://files.afu.se/Downloads/Transcripts/0%20-%20Government/USA%20-%20NASA%20Johnson/"/>
    <hyperlink ref="C2227" r:id="rId2228" display="https://youtu.be/Uw5jCvDOT6s"/>
    <hyperlink ref="F2227" r:id="rId2" display="https://files.afu.se/Downloads/Transcripts/0%20-%20Government/USA%20-%20NASA%20Johnson/"/>
    <hyperlink ref="C2228" r:id="rId2229" display="https://youtu.be/8hknLY6dHwU"/>
    <hyperlink ref="F2228" r:id="rId2" display="https://files.afu.se/Downloads/Transcripts/0%20-%20Government/USA%20-%20NASA%20Johnson/"/>
    <hyperlink ref="C2229" r:id="rId2230" display="https://youtu.be/PojPkuThNmI"/>
    <hyperlink ref="F2229" r:id="rId2" display="https://files.afu.se/Downloads/Transcripts/0%20-%20Government/USA%20-%20NASA%20Johnson/"/>
    <hyperlink ref="C2230" r:id="rId2231" display="https://youtu.be/BOqkhbD9kaY"/>
    <hyperlink ref="F2230" r:id="rId2" display="https://files.afu.se/Downloads/Transcripts/0%20-%20Government/USA%20-%20NASA%20Johnson/"/>
    <hyperlink ref="C2231" r:id="rId2232" display="https://youtu.be/iNyh2HQ9-RM"/>
    <hyperlink ref="F2231" r:id="rId2" display="https://files.afu.se/Downloads/Transcripts/0%20-%20Government/USA%20-%20NASA%20Johnson/"/>
    <hyperlink ref="C2232" r:id="rId2233" display="https://youtu.be/G7gZ_GEvFcw"/>
    <hyperlink ref="F2232" r:id="rId2" display="https://files.afu.se/Downloads/Transcripts/0%20-%20Government/USA%20-%20NASA%20Johnson/"/>
    <hyperlink ref="C2233" r:id="rId2234" display="https://youtu.be/SfA11ik646w"/>
    <hyperlink ref="F2233" r:id="rId2" display="https://files.afu.se/Downloads/Transcripts/0%20-%20Government/USA%20-%20NASA%20Johnson/"/>
    <hyperlink ref="C2234" r:id="rId2235" display="https://youtu.be/Uvn3BM7aOeY"/>
    <hyperlink ref="F2234" r:id="rId2" display="https://files.afu.se/Downloads/Transcripts/0%20-%20Government/USA%20-%20NASA%20Johnson/"/>
    <hyperlink ref="C2235" r:id="rId2236" display="https://youtu.be/apP0kVLlpGA"/>
    <hyperlink ref="F2235" r:id="rId2" display="https://files.afu.se/Downloads/Transcripts/0%20-%20Government/USA%20-%20NASA%20Johnson/"/>
    <hyperlink ref="C2236" r:id="rId2237" display="https://youtu.be/7mkIOnuFZmI"/>
    <hyperlink ref="F2236" r:id="rId2" display="https://files.afu.se/Downloads/Transcripts/0%20-%20Government/USA%20-%20NASA%20Johnson/"/>
    <hyperlink ref="C2237" r:id="rId2238" display="https://youtu.be/FtrITG6r1us"/>
    <hyperlink ref="F2237" r:id="rId2" display="https://files.afu.se/Downloads/Transcripts/0%20-%20Government/USA%20-%20NASA%20Johnson/"/>
    <hyperlink ref="C2238" r:id="rId2239" display="https://youtu.be/-YdGs3Ar0A4"/>
    <hyperlink ref="F2238" r:id="rId2" display="https://files.afu.se/Downloads/Transcripts/0%20-%20Government/USA%20-%20NASA%20Johnson/"/>
    <hyperlink ref="C2239" r:id="rId2240" display="https://youtu.be/bZavu04AUsQ"/>
    <hyperlink ref="F2239" r:id="rId2" display="https://files.afu.se/Downloads/Transcripts/0%20-%20Government/USA%20-%20NASA%20Johnson/"/>
    <hyperlink ref="C2240" r:id="rId2241" display="https://youtu.be/iw7HMrn4yjQ"/>
    <hyperlink ref="F2240" r:id="rId2" display="https://files.afu.se/Downloads/Transcripts/0%20-%20Government/USA%20-%20NASA%20Johnson/"/>
    <hyperlink ref="C2241" r:id="rId2242" display="https://youtu.be/GjyDhbwLVIw"/>
    <hyperlink ref="F2241" r:id="rId2" display="https://files.afu.se/Downloads/Transcripts/0%20-%20Government/USA%20-%20NASA%20Johnson/"/>
    <hyperlink ref="C2242" r:id="rId2243" display="https://youtu.be/B19-W1oCrlE"/>
    <hyperlink ref="F2242" r:id="rId2" display="https://files.afu.se/Downloads/Transcripts/0%20-%20Government/USA%20-%20NASA%20Johnson/"/>
    <hyperlink ref="C2243" r:id="rId2244" display="https://youtu.be/MvEVkd1T9ss"/>
    <hyperlink ref="F2243" r:id="rId2" display="https://files.afu.se/Downloads/Transcripts/0%20-%20Government/USA%20-%20NASA%20Johnson/"/>
    <hyperlink ref="C2244" r:id="rId2245" display="https://youtu.be/rof6fV7JbqI"/>
    <hyperlink ref="F2244" r:id="rId2" display="https://files.afu.se/Downloads/Transcripts/0%20-%20Government/USA%20-%20NASA%20Johnson/"/>
    <hyperlink ref="C2245" r:id="rId2246" display="https://youtu.be/JyAvVKxR8Ac"/>
    <hyperlink ref="F2245" r:id="rId2" display="https://files.afu.se/Downloads/Transcripts/0%20-%20Government/USA%20-%20NASA%20Johnson/"/>
    <hyperlink ref="C2246" r:id="rId2247" display="https://youtu.be/rqRcPAlc6no"/>
    <hyperlink ref="F2246" r:id="rId2" display="https://files.afu.se/Downloads/Transcripts/0%20-%20Government/USA%20-%20NASA%20Johnson/"/>
    <hyperlink ref="C2247" r:id="rId2248" display="https://youtu.be/13U-3etjMY0"/>
    <hyperlink ref="F2247" r:id="rId2" display="https://files.afu.se/Downloads/Transcripts/0%20-%20Government/USA%20-%20NASA%20Johnson/"/>
    <hyperlink ref="C2248" r:id="rId2249" display="https://youtu.be/-LdHmDXyeQ8"/>
    <hyperlink ref="F2248" r:id="rId2" display="https://files.afu.se/Downloads/Transcripts/0%20-%20Government/USA%20-%20NASA%20Johnson/"/>
    <hyperlink ref="C2249" r:id="rId2250" display="https://youtu.be/B-0uhbDej7M"/>
    <hyperlink ref="F2249" r:id="rId2" display="https://files.afu.se/Downloads/Transcripts/0%20-%20Government/USA%20-%20NASA%20Johnson/"/>
    <hyperlink ref="C2250" r:id="rId2251" display="https://youtu.be/FqePoACqnuA"/>
    <hyperlink ref="F2250" r:id="rId2" display="https://files.afu.se/Downloads/Transcripts/0%20-%20Government/USA%20-%20NASA%20Johnson/"/>
    <hyperlink ref="C2251" r:id="rId2252" display="https://youtu.be/pkWb7tHmm2s"/>
    <hyperlink ref="F2251" r:id="rId2" display="https://files.afu.se/Downloads/Transcripts/0%20-%20Government/USA%20-%20NASA%20Johnson/"/>
    <hyperlink ref="C2252" r:id="rId2253" display="https://youtu.be/_F5LAxgmvGs"/>
    <hyperlink ref="F2252" r:id="rId2" display="https://files.afu.se/Downloads/Transcripts/0%20-%20Government/USA%20-%20NASA%20Johnson/"/>
    <hyperlink ref="C2253" r:id="rId2254" display="https://youtu.be/RI-dNUGNMSY"/>
    <hyperlink ref="F2253" r:id="rId2" display="https://files.afu.se/Downloads/Transcripts/0%20-%20Government/USA%20-%20NASA%20Johnson/"/>
    <hyperlink ref="C2254" r:id="rId2255" display="https://youtu.be/sjuMV7NfZFM"/>
    <hyperlink ref="F2254" r:id="rId2" display="https://files.afu.se/Downloads/Transcripts/0%20-%20Government/USA%20-%20NASA%20Johnson/"/>
    <hyperlink ref="C2255" r:id="rId2256" display="https://youtu.be/iIc8WlhzlS0"/>
    <hyperlink ref="F2255" r:id="rId2" display="https://files.afu.se/Downloads/Transcripts/0%20-%20Government/USA%20-%20NASA%20Johnson/"/>
    <hyperlink ref="C2256" r:id="rId2257" display="https://youtu.be/X2IU9d5Nqtk"/>
    <hyperlink ref="F2256" r:id="rId2" display="https://files.afu.se/Downloads/Transcripts/0%20-%20Government/USA%20-%20NASA%20Johnson/"/>
    <hyperlink ref="C2257" r:id="rId2258" display="https://youtu.be/Aj6HTM33pBY"/>
    <hyperlink ref="F2257" r:id="rId2" display="https://files.afu.se/Downloads/Transcripts/0%20-%20Government/USA%20-%20NASA%20Johnson/"/>
    <hyperlink ref="C2258" r:id="rId2259" display="https://youtu.be/zXEuaFnFCYk"/>
    <hyperlink ref="F2258" r:id="rId2" display="https://files.afu.se/Downloads/Transcripts/0%20-%20Government/USA%20-%20NASA%20Johnson/"/>
    <hyperlink ref="C2259" r:id="rId2260" display="https://youtu.be/YJkvo_kQV5o"/>
    <hyperlink ref="F2259" r:id="rId2" display="https://files.afu.se/Downloads/Transcripts/0%20-%20Government/USA%20-%20NASA%20Johnson/"/>
    <hyperlink ref="C2260" r:id="rId2261" display="https://youtu.be/xKZXgRHXEhs"/>
    <hyperlink ref="F2260" r:id="rId2" display="https://files.afu.se/Downloads/Transcripts/0%20-%20Government/USA%20-%20NASA%20Johnson/"/>
    <hyperlink ref="C2261" r:id="rId2262" display="https://youtu.be/1y-W3H8titY"/>
    <hyperlink ref="F2261" r:id="rId2" display="https://files.afu.se/Downloads/Transcripts/0%20-%20Government/USA%20-%20NASA%20Johnson/"/>
    <hyperlink ref="C2262" r:id="rId2263" display="https://youtu.be/bq76SzR_eEA"/>
    <hyperlink ref="F2262" r:id="rId2" display="https://files.afu.se/Downloads/Transcripts/0%20-%20Government/USA%20-%20NASA%20Johnson/"/>
    <hyperlink ref="C2263" r:id="rId2264" display="https://youtu.be/VLU12e49OZw"/>
    <hyperlink ref="F2263" r:id="rId2" display="https://files.afu.se/Downloads/Transcripts/0%20-%20Government/USA%20-%20NASA%20Johnson/"/>
    <hyperlink ref="C2264" r:id="rId2265" display="https://youtu.be/NN_JUv2wTY8"/>
    <hyperlink ref="F2264" r:id="rId2" display="https://files.afu.se/Downloads/Transcripts/0%20-%20Government/USA%20-%20NASA%20Johnson/"/>
    <hyperlink ref="C2265" r:id="rId2266" display="https://youtu.be/bLiPw-AvPUU"/>
    <hyperlink ref="F2265" r:id="rId2" display="https://files.afu.se/Downloads/Transcripts/0%20-%20Government/USA%20-%20NASA%20Johnson/"/>
    <hyperlink ref="C2266" r:id="rId2267" display="https://youtu.be/LCjdOn2Lw6I"/>
    <hyperlink ref="F2266" r:id="rId2" display="https://files.afu.se/Downloads/Transcripts/0%20-%20Government/USA%20-%20NASA%20Johnson/"/>
    <hyperlink ref="C2267" r:id="rId2268" display="https://youtu.be/qim2Z3SHPTU"/>
    <hyperlink ref="F2267" r:id="rId2" display="https://files.afu.se/Downloads/Transcripts/0%20-%20Government/USA%20-%20NASA%20Johnson/"/>
    <hyperlink ref="C2268" r:id="rId2269" display="https://youtu.be/U29I7sx5wy8"/>
    <hyperlink ref="F2268" r:id="rId2" display="https://files.afu.se/Downloads/Transcripts/0%20-%20Government/USA%20-%20NASA%20Johnson/"/>
    <hyperlink ref="C2269" r:id="rId2270" display="https://youtu.be/yCXRLOWSu-I"/>
    <hyperlink ref="F2269" r:id="rId2" display="https://files.afu.se/Downloads/Transcripts/0%20-%20Government/USA%20-%20NASA%20Johnson/"/>
    <hyperlink ref="C2270" r:id="rId2271" display="https://youtu.be/4XnrWT7rqqI"/>
    <hyperlink ref="F2270" r:id="rId2" display="https://files.afu.se/Downloads/Transcripts/0%20-%20Government/USA%20-%20NASA%20Johnson/"/>
    <hyperlink ref="C2271" r:id="rId2272" display="https://youtu.be/eoZkfI43FPk"/>
    <hyperlink ref="F2271" r:id="rId2" display="https://files.afu.se/Downloads/Transcripts/0%20-%20Government/USA%20-%20NASA%20Johnson/"/>
    <hyperlink ref="C2272" r:id="rId2273" display="https://youtu.be/Gn1IpPbi8T8"/>
    <hyperlink ref="F2272" r:id="rId2" display="https://files.afu.se/Downloads/Transcripts/0%20-%20Government/USA%20-%20NASA%20Johnson/"/>
    <hyperlink ref="C2273" r:id="rId2274" display="https://youtu.be/Z5Bz6L93Gwo"/>
    <hyperlink ref="F2273" r:id="rId2" display="https://files.afu.se/Downloads/Transcripts/0%20-%20Government/USA%20-%20NASA%20Johnson/"/>
    <hyperlink ref="C2274" r:id="rId2275" display="https://youtu.be/vOVghKelWdg"/>
    <hyperlink ref="F2274" r:id="rId2" display="https://files.afu.se/Downloads/Transcripts/0%20-%20Government/USA%20-%20NASA%20Johnson/"/>
    <hyperlink ref="C2275" r:id="rId2276" display="https://youtu.be/qtsEFNnYWAU"/>
    <hyperlink ref="F2275" r:id="rId2" display="https://files.afu.se/Downloads/Transcripts/0%20-%20Government/USA%20-%20NASA%20Johnson/"/>
    <hyperlink ref="C2276" r:id="rId2277" display="https://youtu.be/htu-48N-gzI"/>
    <hyperlink ref="F2276" r:id="rId2" display="https://files.afu.se/Downloads/Transcripts/0%20-%20Government/USA%20-%20NASA%20Johnson/"/>
    <hyperlink ref="C2277" r:id="rId2278" display="https://youtu.be/B4AmwfVHQCw"/>
    <hyperlink ref="F2277" r:id="rId2" display="https://files.afu.se/Downloads/Transcripts/0%20-%20Government/USA%20-%20NASA%20Johnson/"/>
    <hyperlink ref="C2278" r:id="rId2279" display="https://youtu.be/x5ZfDVkjJk8"/>
    <hyperlink ref="F2278" r:id="rId2" display="https://files.afu.se/Downloads/Transcripts/0%20-%20Government/USA%20-%20NASA%20Johnson/"/>
    <hyperlink ref="C2279" r:id="rId2280" display="https://youtu.be/ZN70uC8PVqs"/>
    <hyperlink ref="F2279" r:id="rId2" display="https://files.afu.se/Downloads/Transcripts/0%20-%20Government/USA%20-%20NASA%20Johnson/"/>
    <hyperlink ref="C2280" r:id="rId2281" display="https://youtu.be/Ywh035K0NZc"/>
    <hyperlink ref="F2280" r:id="rId2" display="https://files.afu.se/Downloads/Transcripts/0%20-%20Government/USA%20-%20NASA%20Johnson/"/>
    <hyperlink ref="C2281" r:id="rId2282" display="https://youtu.be/SMgaQXQwV5Y"/>
    <hyperlink ref="F2281" r:id="rId2" display="https://files.afu.se/Downloads/Transcripts/0%20-%20Government/USA%20-%20NASA%20Johnson/"/>
    <hyperlink ref="C2282" r:id="rId2283" display="https://youtu.be/RC31jIF8ru0"/>
    <hyperlink ref="F2282" r:id="rId2" display="https://files.afu.se/Downloads/Transcripts/0%20-%20Government/USA%20-%20NASA%20Johnson/"/>
    <hyperlink ref="C2283" r:id="rId2284" display="https://youtu.be/yiCYoOjCcNw"/>
    <hyperlink ref="F2283" r:id="rId2" display="https://files.afu.se/Downloads/Transcripts/0%20-%20Government/USA%20-%20NASA%20Johnson/"/>
    <hyperlink ref="C2284" r:id="rId2285" display="https://youtu.be/W2eXv3Tr55c"/>
    <hyperlink ref="F2284" r:id="rId2" display="https://files.afu.se/Downloads/Transcripts/0%20-%20Government/USA%20-%20NASA%20Johnson/"/>
    <hyperlink ref="C2285" r:id="rId2286" display="https://youtu.be/LKkI0PxPqaU"/>
    <hyperlink ref="F2285" r:id="rId2" display="https://files.afu.se/Downloads/Transcripts/0%20-%20Government/USA%20-%20NASA%20Johnson/"/>
    <hyperlink ref="C2286" r:id="rId2287" display="https://youtu.be/jgbMvaBdq0M"/>
    <hyperlink ref="F2286" r:id="rId2" display="https://files.afu.se/Downloads/Transcripts/0%20-%20Government/USA%20-%20NASA%20Johnson/"/>
    <hyperlink ref="C2287" r:id="rId2288" display="https://youtu.be/QkdcCU4HKdI"/>
    <hyperlink ref="F2287" r:id="rId2" display="https://files.afu.se/Downloads/Transcripts/0%20-%20Government/USA%20-%20NASA%20Johnson/"/>
    <hyperlink ref="C2288" r:id="rId2289" display="https://youtu.be/RjL8JsJ5lLU"/>
    <hyperlink ref="F2288" r:id="rId2" display="https://files.afu.se/Downloads/Transcripts/0%20-%20Government/USA%20-%20NASA%20Johnson/"/>
    <hyperlink ref="C2289" r:id="rId2290" display="https://youtu.be/DvNQI8VwU5w"/>
    <hyperlink ref="F2289" r:id="rId2" display="https://files.afu.se/Downloads/Transcripts/0%20-%20Government/USA%20-%20NASA%20Johnson/"/>
    <hyperlink ref="C2290" r:id="rId2291" display="https://youtu.be/HzECWKPbCRA"/>
    <hyperlink ref="F2290" r:id="rId2" display="https://files.afu.se/Downloads/Transcripts/0%20-%20Government/USA%20-%20NASA%20Johnson/"/>
    <hyperlink ref="C2291" r:id="rId2292" display="https://youtu.be/D72a_H0FDyA"/>
    <hyperlink ref="F2291" r:id="rId2" display="https://files.afu.se/Downloads/Transcripts/0%20-%20Government/USA%20-%20NASA%20Johnson/"/>
    <hyperlink ref="C2292" r:id="rId2293" display="https://youtu.be/Or4Uj9YEi1E"/>
    <hyperlink ref="F2292" r:id="rId2" display="https://files.afu.se/Downloads/Transcripts/0%20-%20Government/USA%20-%20NASA%20Johnson/"/>
    <hyperlink ref="C2293" r:id="rId2294" display="https://youtu.be/8p5XUu21bqA"/>
    <hyperlink ref="F2293" r:id="rId2" display="https://files.afu.se/Downloads/Transcripts/0%20-%20Government/USA%20-%20NASA%20Johnson/"/>
    <hyperlink ref="C2294" r:id="rId2295" display="https://youtu.be/qYsY1U_pxi4"/>
    <hyperlink ref="F2294" r:id="rId2" display="https://files.afu.se/Downloads/Transcripts/0%20-%20Government/USA%20-%20NASA%20Johnson/"/>
    <hyperlink ref="C2295" r:id="rId2296" display="https://youtu.be/26iLssrNAJA"/>
    <hyperlink ref="F2295" r:id="rId2" display="https://files.afu.se/Downloads/Transcripts/0%20-%20Government/USA%20-%20NASA%20Johnson/"/>
    <hyperlink ref="C2296" r:id="rId2297" display="https://youtu.be/F9NogpiAcV8"/>
    <hyperlink ref="F2296" r:id="rId2" display="https://files.afu.se/Downloads/Transcripts/0%20-%20Government/USA%20-%20NASA%20Johnson/"/>
    <hyperlink ref="C2297" r:id="rId2298" display="https://youtu.be/MISZs91u-lI"/>
    <hyperlink ref="F2297" r:id="rId2" display="https://files.afu.se/Downloads/Transcripts/0%20-%20Government/USA%20-%20NASA%20Johnson/"/>
    <hyperlink ref="C2298" r:id="rId2299" display="https://youtu.be/2yQJ868f2kg"/>
    <hyperlink ref="F2298" r:id="rId2" display="https://files.afu.se/Downloads/Transcripts/0%20-%20Government/USA%20-%20NASA%20Johnson/"/>
    <hyperlink ref="C2299" r:id="rId2300" display="https://youtu.be/eORcSi8YdwA"/>
    <hyperlink ref="F2299" r:id="rId2" display="https://files.afu.se/Downloads/Transcripts/0%20-%20Government/USA%20-%20NASA%20Johnson/"/>
    <hyperlink ref="C2300" r:id="rId2301" display="https://youtu.be/PsbS7ZnDM4Y"/>
    <hyperlink ref="F2300" r:id="rId2" display="https://files.afu.se/Downloads/Transcripts/0%20-%20Government/USA%20-%20NASA%20Johnson/"/>
    <hyperlink ref="C2301" r:id="rId2302" display="https://youtu.be/FbEwIVT4Mh8"/>
    <hyperlink ref="F2301" r:id="rId2" display="https://files.afu.se/Downloads/Transcripts/0%20-%20Government/USA%20-%20NASA%20Johnson/"/>
    <hyperlink ref="C2302" r:id="rId2303" display="https://youtu.be/DXjuaLKKrgI"/>
    <hyperlink ref="F2302" r:id="rId2" display="https://files.afu.se/Downloads/Transcripts/0%20-%20Government/USA%20-%20NASA%20Johnson/"/>
    <hyperlink ref="C2303" r:id="rId2304" display="https://youtu.be/k5Yyc-G5eS8"/>
    <hyperlink ref="F2303" r:id="rId2" display="https://files.afu.se/Downloads/Transcripts/0%20-%20Government/USA%20-%20NASA%20Johnson/"/>
    <hyperlink ref="C2304" r:id="rId2305" display="https://youtu.be/b_Ot7r-nXRw"/>
    <hyperlink ref="F2304" r:id="rId2" display="https://files.afu.se/Downloads/Transcripts/0%20-%20Government/USA%20-%20NASA%20Johnson/"/>
    <hyperlink ref="C2305" r:id="rId2306" display="https://youtu.be/AfI4GSLfQWo"/>
    <hyperlink ref="F2305" r:id="rId2" display="https://files.afu.se/Downloads/Transcripts/0%20-%20Government/USA%20-%20NASA%20Johnson/"/>
    <hyperlink ref="C2306" r:id="rId2307" display="https://youtu.be/GBY2UkRnHPY"/>
    <hyperlink ref="F2306" r:id="rId2" display="https://files.afu.se/Downloads/Transcripts/0%20-%20Government/USA%20-%20NASA%20Johnson/"/>
    <hyperlink ref="C2307" r:id="rId2308" display="https://youtu.be/XZE84IxzQYo"/>
    <hyperlink ref="F2307" r:id="rId2" display="https://files.afu.se/Downloads/Transcripts/0%20-%20Government/USA%20-%20NASA%20Johnson/"/>
    <hyperlink ref="C2308" r:id="rId2309" display="https://youtu.be/kU86gaiA6Rc"/>
    <hyperlink ref="F2308" r:id="rId2" display="https://files.afu.se/Downloads/Transcripts/0%20-%20Government/USA%20-%20NASA%20Johnson/"/>
    <hyperlink ref="C2309" r:id="rId2310" display="https://youtu.be/8vNCp-VTIvE"/>
    <hyperlink ref="F2309" r:id="rId2" display="https://files.afu.se/Downloads/Transcripts/0%20-%20Government/USA%20-%20NASA%20Johnson/"/>
    <hyperlink ref="C2310" r:id="rId2311" display="https://youtu.be/0u5LMNhFl6M"/>
    <hyperlink ref="F2310" r:id="rId2" display="https://files.afu.se/Downloads/Transcripts/0%20-%20Government/USA%20-%20NASA%20Johnson/"/>
    <hyperlink ref="C2311" r:id="rId2312" display="https://youtu.be/cx3Gjjefoy4"/>
    <hyperlink ref="F2311" r:id="rId2" display="https://files.afu.se/Downloads/Transcripts/0%20-%20Government/USA%20-%20NASA%20Johnson/"/>
    <hyperlink ref="C2312" r:id="rId2313" display="https://youtu.be/0KsetzWBv8g"/>
    <hyperlink ref="F2312" r:id="rId2" display="https://files.afu.se/Downloads/Transcripts/0%20-%20Government/USA%20-%20NASA%20Johnson/"/>
    <hyperlink ref="C2313" r:id="rId2314" display="https://youtu.be/E5iaZakqkAQ"/>
    <hyperlink ref="F2313" r:id="rId2" display="https://files.afu.se/Downloads/Transcripts/0%20-%20Government/USA%20-%20NASA%20Johnson/"/>
    <hyperlink ref="C2314" r:id="rId2315" display="https://youtu.be/F0X6sv3zq6Q"/>
    <hyperlink ref="F2314" r:id="rId2" display="https://files.afu.se/Downloads/Transcripts/0%20-%20Government/USA%20-%20NASA%20Johnson/"/>
    <hyperlink ref="C2315" r:id="rId2316" display="https://youtu.be/vKYXSm_5Rcs"/>
    <hyperlink ref="F2315" r:id="rId2" display="https://files.afu.se/Downloads/Transcripts/0%20-%20Government/USA%20-%20NASA%20Johnson/"/>
    <hyperlink ref="C2316" r:id="rId2317" display="https://youtu.be/qZSirA-ODuE"/>
    <hyperlink ref="F2316" r:id="rId2" display="https://files.afu.se/Downloads/Transcripts/0%20-%20Government/USA%20-%20NASA%20Johnson/"/>
    <hyperlink ref="C2317" r:id="rId2318" display="https://youtu.be/kdf8ahuHJ0A"/>
    <hyperlink ref="F2317" r:id="rId2" display="https://files.afu.se/Downloads/Transcripts/0%20-%20Government/USA%20-%20NASA%20Johnson/"/>
    <hyperlink ref="C2318" r:id="rId2319" display="https://youtu.be/eac6SP7z4VQ"/>
    <hyperlink ref="F2318" r:id="rId2" display="https://files.afu.se/Downloads/Transcripts/0%20-%20Government/USA%20-%20NASA%20Johnson/"/>
    <hyperlink ref="C2319" r:id="rId2320" display="https://youtu.be/ZYBfPJbIG_0"/>
    <hyperlink ref="F2319" r:id="rId2" display="https://files.afu.se/Downloads/Transcripts/0%20-%20Government/USA%20-%20NASA%20Johnson/"/>
    <hyperlink ref="C2320" r:id="rId2321" display="https://youtu.be/NDrAnbY0DNE"/>
    <hyperlink ref="F2320" r:id="rId2" display="https://files.afu.se/Downloads/Transcripts/0%20-%20Government/USA%20-%20NASA%20Johnson/"/>
    <hyperlink ref="C2321" r:id="rId2322" display="https://youtu.be/54I_Qk12OEk"/>
    <hyperlink ref="F2321" r:id="rId2" display="https://files.afu.se/Downloads/Transcripts/0%20-%20Government/USA%20-%20NASA%20Johnson/"/>
    <hyperlink ref="C2322" r:id="rId2323" display="https://youtu.be/39jeHBFwW7Y"/>
    <hyperlink ref="F2322" r:id="rId2" display="https://files.afu.se/Downloads/Transcripts/0%20-%20Government/USA%20-%20NASA%20Johnson/"/>
    <hyperlink ref="C2323" r:id="rId2324" display="https://youtu.be/qyIc597iit4"/>
    <hyperlink ref="F2323" r:id="rId2" display="https://files.afu.se/Downloads/Transcripts/0%20-%20Government/USA%20-%20NASA%20Johnson/"/>
    <hyperlink ref="C2324" r:id="rId2325" display="https://youtu.be/9FxyAwD4ERI"/>
    <hyperlink ref="F2324" r:id="rId2" display="https://files.afu.se/Downloads/Transcripts/0%20-%20Government/USA%20-%20NASA%20Johnson/"/>
    <hyperlink ref="C2325" r:id="rId2326" display="https://youtu.be/3A0SWg7dC2c"/>
    <hyperlink ref="F2325" r:id="rId2" display="https://files.afu.se/Downloads/Transcripts/0%20-%20Government/USA%20-%20NASA%20Johnson/"/>
    <hyperlink ref="C2326" r:id="rId2327" display="https://youtu.be/DQREC9-zkY0"/>
    <hyperlink ref="F2326" r:id="rId2" display="https://files.afu.se/Downloads/Transcripts/0%20-%20Government/USA%20-%20NASA%20Johnson/"/>
    <hyperlink ref="C2327" r:id="rId2328" display="https://youtu.be/KgGcBO6aHhs"/>
    <hyperlink ref="F2327" r:id="rId2" display="https://files.afu.se/Downloads/Transcripts/0%20-%20Government/USA%20-%20NASA%20Johnson/"/>
    <hyperlink ref="C2328" r:id="rId2329" display="https://youtu.be/bOYHUfEl45U"/>
    <hyperlink ref="F2328" r:id="rId2" display="https://files.afu.se/Downloads/Transcripts/0%20-%20Government/USA%20-%20NASA%20Johnson/"/>
    <hyperlink ref="C2329" r:id="rId2330" display="https://youtu.be/P-9mJ45Q1Fw"/>
    <hyperlink ref="F2329" r:id="rId2" display="https://files.afu.se/Downloads/Transcripts/0%20-%20Government/USA%20-%20NASA%20Johnson/"/>
    <hyperlink ref="C2330" r:id="rId2331" display="https://youtu.be/4Cqbc-VVzKs"/>
    <hyperlink ref="F2330" r:id="rId2" display="https://files.afu.se/Downloads/Transcripts/0%20-%20Government/USA%20-%20NASA%20Johnson/"/>
    <hyperlink ref="C2331" r:id="rId2332" display="https://youtu.be/As6wf-D-iZo"/>
    <hyperlink ref="F2331" r:id="rId2" display="https://files.afu.se/Downloads/Transcripts/0%20-%20Government/USA%20-%20NASA%20Johnson/"/>
    <hyperlink ref="C2332" r:id="rId2333" display="https://youtu.be/VlkIffycQWA"/>
    <hyperlink ref="F2332" r:id="rId2" display="https://files.afu.se/Downloads/Transcripts/0%20-%20Government/USA%20-%20NASA%20Johnson/"/>
    <hyperlink ref="C2333" r:id="rId2334" display="https://youtu.be/MRakLLNnpUY"/>
    <hyperlink ref="F2333" r:id="rId2" display="https://files.afu.se/Downloads/Transcripts/0%20-%20Government/USA%20-%20NASA%20Johnson/"/>
    <hyperlink ref="C2334" r:id="rId2335" display="https://youtu.be/XNQpJlxMR4E"/>
    <hyperlink ref="F2334" r:id="rId2" display="https://files.afu.se/Downloads/Transcripts/0%20-%20Government/USA%20-%20NASA%20Johnson/"/>
    <hyperlink ref="C2335" r:id="rId2336" display="https://youtu.be/1XCDErtngO4"/>
    <hyperlink ref="F2335" r:id="rId2" display="https://files.afu.se/Downloads/Transcripts/0%20-%20Government/USA%20-%20NASA%20Johnson/"/>
    <hyperlink ref="C2336" r:id="rId2337" display="https://youtu.be/lSGZo2vDbQk"/>
    <hyperlink ref="F2336" r:id="rId2" display="https://files.afu.se/Downloads/Transcripts/0%20-%20Government/USA%20-%20NASA%20Johnson/"/>
    <hyperlink ref="C2337" r:id="rId2338" display="https://youtu.be/842RBYOhTUQ"/>
    <hyperlink ref="F2337" r:id="rId2" display="https://files.afu.se/Downloads/Transcripts/0%20-%20Government/USA%20-%20NASA%20Johnson/"/>
    <hyperlink ref="C2338" r:id="rId2339" display="https://youtu.be/qQhybvzfyJY"/>
    <hyperlink ref="F2338" r:id="rId2" display="https://files.afu.se/Downloads/Transcripts/0%20-%20Government/USA%20-%20NASA%20Johnson/"/>
    <hyperlink ref="C2339" r:id="rId2340" display="https://youtu.be/22Q7TyyRqAE"/>
    <hyperlink ref="F2339" r:id="rId2" display="https://files.afu.se/Downloads/Transcripts/0%20-%20Government/USA%20-%20NASA%20Johnson/"/>
    <hyperlink ref="C2340" r:id="rId2341" display="https://youtu.be/1CucBl5YcI4"/>
    <hyperlink ref="F2340" r:id="rId2" display="https://files.afu.se/Downloads/Transcripts/0%20-%20Government/USA%20-%20NASA%20Johnson/"/>
    <hyperlink ref="C2341" r:id="rId2342" display="https://youtu.be/mscPhtqc8XQ"/>
    <hyperlink ref="F2341" r:id="rId2" display="https://files.afu.se/Downloads/Transcripts/0%20-%20Government/USA%20-%20NASA%20Johnson/"/>
    <hyperlink ref="C2342" r:id="rId2343" display="https://youtu.be/t1-avNrh_uY"/>
    <hyperlink ref="F2342" r:id="rId2" display="https://files.afu.se/Downloads/Transcripts/0%20-%20Government/USA%20-%20NASA%20Johnson/"/>
    <hyperlink ref="C2343" r:id="rId2344" display="https://youtu.be/Mpyr_dm8Pho"/>
    <hyperlink ref="F2343" r:id="rId2" display="https://files.afu.se/Downloads/Transcripts/0%20-%20Government/USA%20-%20NASA%20Johnson/"/>
    <hyperlink ref="C2344" r:id="rId2345" display="https://youtu.be/qUxSLKDzpaI"/>
    <hyperlink ref="F2344" r:id="rId2" display="https://files.afu.se/Downloads/Transcripts/0%20-%20Government/USA%20-%20NASA%20Johnson/"/>
    <hyperlink ref="C2345" r:id="rId2346" display="https://youtu.be/cjGkYp8fv0o"/>
    <hyperlink ref="F2345" r:id="rId2" display="https://files.afu.se/Downloads/Transcripts/0%20-%20Government/USA%20-%20NASA%20Johnson/"/>
    <hyperlink ref="C2346" r:id="rId2347" display="https://youtu.be/w6XBpiaEkvA"/>
    <hyperlink ref="F2346" r:id="rId2" display="https://files.afu.se/Downloads/Transcripts/0%20-%20Government/USA%20-%20NASA%20Johnson/"/>
    <hyperlink ref="C2347" r:id="rId2348" display="https://youtu.be/UKwFEyZp9gI"/>
    <hyperlink ref="F2347" r:id="rId2" display="https://files.afu.se/Downloads/Transcripts/0%20-%20Government/USA%20-%20NASA%20Johnson/"/>
    <hyperlink ref="C2348" r:id="rId2349" display="https://youtu.be/JPGraWV7Z08"/>
    <hyperlink ref="F2348" r:id="rId2" display="https://files.afu.se/Downloads/Transcripts/0%20-%20Government/USA%20-%20NASA%20Johnson/"/>
    <hyperlink ref="C2349" r:id="rId2350" display="https://youtu.be/OGU5Sz1UInE"/>
    <hyperlink ref="F2349" r:id="rId2" display="https://files.afu.se/Downloads/Transcripts/0%20-%20Government/USA%20-%20NASA%20Johnson/"/>
    <hyperlink ref="C2350" r:id="rId2351" display="https://youtu.be/vqJkwhKn-Co"/>
    <hyperlink ref="F2350" r:id="rId2" display="https://files.afu.se/Downloads/Transcripts/0%20-%20Government/USA%20-%20NASA%20Johnson/"/>
    <hyperlink ref="C2351" r:id="rId2352" display="https://youtu.be/SFDQytJWVxQ"/>
    <hyperlink ref="F2351" r:id="rId2" display="https://files.afu.se/Downloads/Transcripts/0%20-%20Government/USA%20-%20NASA%20Johnson/"/>
    <hyperlink ref="C2352" r:id="rId2353" display="https://youtu.be/l1h36bHQMhE"/>
    <hyperlink ref="F2352" r:id="rId2" display="https://files.afu.se/Downloads/Transcripts/0%20-%20Government/USA%20-%20NASA%20Johnson/"/>
    <hyperlink ref="C2353" r:id="rId2354" display="https://youtu.be/KeBA8LJ5Auo"/>
    <hyperlink ref="F2353" r:id="rId2" display="https://files.afu.se/Downloads/Transcripts/0%20-%20Government/USA%20-%20NASA%20Johnson/"/>
    <hyperlink ref="C2354" r:id="rId2355" display="https://youtu.be/geqpkP4L1fw"/>
    <hyperlink ref="F2354" r:id="rId2" display="https://files.afu.se/Downloads/Transcripts/0%20-%20Government/USA%20-%20NASA%20Johnson/"/>
    <hyperlink ref="C2355" r:id="rId2356" display="https://youtu.be/cbum3v8cj7I"/>
    <hyperlink ref="F2355" r:id="rId2" display="https://files.afu.se/Downloads/Transcripts/0%20-%20Government/USA%20-%20NASA%20Johnson/"/>
    <hyperlink ref="C2356" r:id="rId2357" display="https://youtu.be/Gwr6jxxhyjg"/>
    <hyperlink ref="F2356" r:id="rId2" display="https://files.afu.se/Downloads/Transcripts/0%20-%20Government/USA%20-%20NASA%20Johnson/"/>
    <hyperlink ref="C2357" r:id="rId2358" display="https://youtu.be/jxcjj4ukpJw"/>
    <hyperlink ref="F2357" r:id="rId2" display="https://files.afu.se/Downloads/Transcripts/0%20-%20Government/USA%20-%20NASA%20Johnson/"/>
    <hyperlink ref="C2358" r:id="rId2359" display="https://youtu.be/LaiBNI2VvOE"/>
    <hyperlink ref="F2358" r:id="rId2" display="https://files.afu.se/Downloads/Transcripts/0%20-%20Government/USA%20-%20NASA%20Johnson/"/>
    <hyperlink ref="C2359" r:id="rId2360" display="https://youtu.be/0Dph7KLdQgQ"/>
    <hyperlink ref="F2359" r:id="rId2" display="https://files.afu.se/Downloads/Transcripts/0%20-%20Government/USA%20-%20NASA%20Johnson/"/>
    <hyperlink ref="C2360" r:id="rId2361" display="https://youtu.be/pwJXfiohhUo"/>
    <hyperlink ref="F2360" r:id="rId2" display="https://files.afu.se/Downloads/Transcripts/0%20-%20Government/USA%20-%20NASA%20Johnson/"/>
    <hyperlink ref="C2361" r:id="rId2362" display="https://youtu.be/u4BLIX-5Ods"/>
    <hyperlink ref="F2361" r:id="rId2" display="https://files.afu.se/Downloads/Transcripts/0%20-%20Government/USA%20-%20NASA%20Johnson/"/>
    <hyperlink ref="C2362" r:id="rId2363" display="https://youtu.be/ftPwwWHpIRk"/>
    <hyperlink ref="F2362" r:id="rId2" display="https://files.afu.se/Downloads/Transcripts/0%20-%20Government/USA%20-%20NASA%20Johnson/"/>
    <hyperlink ref="C2363" r:id="rId2364" display="https://youtu.be/Am2Sj3zRb88"/>
    <hyperlink ref="F2363" r:id="rId2" display="https://files.afu.se/Downloads/Transcripts/0%20-%20Government/USA%20-%20NASA%20Johnson/"/>
    <hyperlink ref="C2364" r:id="rId2365" display="https://youtu.be/2AlmzF38xz8"/>
    <hyperlink ref="F2364" r:id="rId2" display="https://files.afu.se/Downloads/Transcripts/0%20-%20Government/USA%20-%20NASA%20Johnson/"/>
    <hyperlink ref="C2365" r:id="rId2366" display="https://youtu.be/VZhyp2bGAJE"/>
    <hyperlink ref="F2365" r:id="rId2" display="https://files.afu.se/Downloads/Transcripts/0%20-%20Government/USA%20-%20NASA%20Johnson/"/>
    <hyperlink ref="C2366" r:id="rId2367" display="https://youtu.be/dCESddMJu2U"/>
    <hyperlink ref="F2366" r:id="rId2" display="https://files.afu.se/Downloads/Transcripts/0%20-%20Government/USA%20-%20NASA%20Johnson/"/>
    <hyperlink ref="C2367" r:id="rId2368" display="https://youtu.be/GnA-YbdhjoA"/>
    <hyperlink ref="F2367" r:id="rId2" display="https://files.afu.se/Downloads/Transcripts/0%20-%20Government/USA%20-%20NASA%20Johnson/"/>
    <hyperlink ref="C2368" r:id="rId2369" display="https://youtu.be/h9sDCJXTfbw"/>
    <hyperlink ref="F2368" r:id="rId2" display="https://files.afu.se/Downloads/Transcripts/0%20-%20Government/USA%20-%20NASA%20Johnson/"/>
    <hyperlink ref="C2369" r:id="rId2370" display="https://youtu.be/gMwMfI5X1cw"/>
    <hyperlink ref="F2369" r:id="rId2" display="https://files.afu.se/Downloads/Transcripts/0%20-%20Government/USA%20-%20NASA%20Johnson/"/>
    <hyperlink ref="C2370" r:id="rId2371" display="https://youtu.be/Mu4yWaNWK80"/>
    <hyperlink ref="F2370" r:id="rId2" display="https://files.afu.se/Downloads/Transcripts/0%20-%20Government/USA%20-%20NASA%20Johnson/"/>
    <hyperlink ref="C2371" r:id="rId2372" display="https://youtu.be/xLxDlUdhs6s"/>
    <hyperlink ref="F2371" r:id="rId2" display="https://files.afu.se/Downloads/Transcripts/0%20-%20Government/USA%20-%20NASA%20Johnson/"/>
    <hyperlink ref="C2372" r:id="rId2373" display="https://youtu.be/B2gt6EL9alU"/>
    <hyperlink ref="F2372" r:id="rId2" display="https://files.afu.se/Downloads/Transcripts/0%20-%20Government/USA%20-%20NASA%20Johnson/"/>
    <hyperlink ref="C2373" r:id="rId2374" display="https://youtu.be/9JgZWZOok6I"/>
    <hyperlink ref="F2373" r:id="rId2" display="https://files.afu.se/Downloads/Transcripts/0%20-%20Government/USA%20-%20NASA%20Johnson/"/>
    <hyperlink ref="C2374" r:id="rId2375" display="https://youtu.be/OlQmktfM_7o"/>
    <hyperlink ref="F2374" r:id="rId2" display="https://files.afu.se/Downloads/Transcripts/0%20-%20Government/USA%20-%20NASA%20Johnson/"/>
    <hyperlink ref="C2375" r:id="rId2376" display="https://youtu.be/tpCbJc6oR_0"/>
    <hyperlink ref="F2375" r:id="rId2" display="https://files.afu.se/Downloads/Transcripts/0%20-%20Government/USA%20-%20NASA%20Johnson/"/>
    <hyperlink ref="C2376" r:id="rId2377" display="https://youtu.be/KlsXaubo05E"/>
    <hyperlink ref="F2376" r:id="rId2" display="https://files.afu.se/Downloads/Transcripts/0%20-%20Government/USA%20-%20NASA%20Johnson/"/>
    <hyperlink ref="C2377" r:id="rId2378" display="https://youtu.be/yKiY2AduNJA"/>
    <hyperlink ref="F2377" r:id="rId2" display="https://files.afu.se/Downloads/Transcripts/0%20-%20Government/USA%20-%20NASA%20Johnson/"/>
    <hyperlink ref="C2378" r:id="rId2379" display="https://youtu.be/-ZB3-6uR4nA"/>
    <hyperlink ref="F2378" r:id="rId2" display="https://files.afu.se/Downloads/Transcripts/0%20-%20Government/USA%20-%20NASA%20Johnson/"/>
    <hyperlink ref="C2379" r:id="rId2380" display="https://youtu.be/wjahMmjb1b0"/>
    <hyperlink ref="F2379" r:id="rId2" display="https://files.afu.se/Downloads/Transcripts/0%20-%20Government/USA%20-%20NASA%20Johnson/"/>
    <hyperlink ref="C2380" r:id="rId2381" display="https://youtu.be/wG1z7JRYMSQ"/>
    <hyperlink ref="F2380" r:id="rId2" display="https://files.afu.se/Downloads/Transcripts/0%20-%20Government/USA%20-%20NASA%20Johnson/"/>
    <hyperlink ref="C2381" r:id="rId2382" display="https://youtu.be/hCVJrXVtrnM"/>
    <hyperlink ref="F2381" r:id="rId2" display="https://files.afu.se/Downloads/Transcripts/0%20-%20Government/USA%20-%20NASA%20Johnson/"/>
    <hyperlink ref="C2382" r:id="rId2383" display="https://youtu.be/JS64JfzjtEk"/>
    <hyperlink ref="F2382" r:id="rId2" display="https://files.afu.se/Downloads/Transcripts/0%20-%20Government/USA%20-%20NASA%20Johnson/"/>
    <hyperlink ref="C2383" r:id="rId2384" display="https://youtu.be/LCY3UrxvBkY"/>
    <hyperlink ref="F2383" r:id="rId2" display="https://files.afu.se/Downloads/Transcripts/0%20-%20Government/USA%20-%20NASA%20Johnson/"/>
    <hyperlink ref="C2384" r:id="rId2385" display="https://youtu.be/YFua31-_cVQ"/>
    <hyperlink ref="F2384" r:id="rId2" display="https://files.afu.se/Downloads/Transcripts/0%20-%20Government/USA%20-%20NASA%20Johnson/"/>
    <hyperlink ref="C2385" r:id="rId2386" display="https://youtu.be/cCJsw3INeic"/>
    <hyperlink ref="F2385" r:id="rId2" display="https://files.afu.se/Downloads/Transcripts/0%20-%20Government/USA%20-%20NASA%20Johnson/"/>
    <hyperlink ref="C2386" r:id="rId2387" display="https://youtu.be/tclDxFY5kjU"/>
    <hyperlink ref="F2386" r:id="rId2" display="https://files.afu.se/Downloads/Transcripts/0%20-%20Government/USA%20-%20NASA%20Johnson/"/>
    <hyperlink ref="C2387" r:id="rId2388" display="https://youtu.be/n2cDAxv0NT4"/>
    <hyperlink ref="F2387" r:id="rId2" display="https://files.afu.se/Downloads/Transcripts/0%20-%20Government/USA%20-%20NASA%20Johnson/"/>
    <hyperlink ref="C2388" r:id="rId2389" display="https://youtu.be/zny8BLEfong"/>
    <hyperlink ref="F2388" r:id="rId2" display="https://files.afu.se/Downloads/Transcripts/0%20-%20Government/USA%20-%20NASA%20Johnson/"/>
    <hyperlink ref="C2389" r:id="rId2390" display="https://youtu.be/3UG8mYtSW2I"/>
    <hyperlink ref="F2389" r:id="rId2" display="https://files.afu.se/Downloads/Transcripts/0%20-%20Government/USA%20-%20NASA%20Johnson/"/>
    <hyperlink ref="C2390" r:id="rId2391" display="https://youtu.be/DZLASbCEDKM"/>
    <hyperlink ref="F2390" r:id="rId2" display="https://files.afu.se/Downloads/Transcripts/0%20-%20Government/USA%20-%20NASA%20Johnson/"/>
    <hyperlink ref="C2391" r:id="rId2392" display="https://youtu.be/ro0QTHD_wqc"/>
    <hyperlink ref="F2391" r:id="rId2" display="https://files.afu.se/Downloads/Transcripts/0%20-%20Government/USA%20-%20NASA%20Johnson/"/>
    <hyperlink ref="C2392" r:id="rId2393" display="https://youtu.be/V5K1CKuMH94"/>
    <hyperlink ref="F2392" r:id="rId2" display="https://files.afu.se/Downloads/Transcripts/0%20-%20Government/USA%20-%20NASA%20Johnson/"/>
    <hyperlink ref="C2393" r:id="rId2394" display="https://youtu.be/8PL0vLwjraE"/>
    <hyperlink ref="F2393" r:id="rId2" display="https://files.afu.se/Downloads/Transcripts/0%20-%20Government/USA%20-%20NASA%20Johnson/"/>
    <hyperlink ref="C2394" r:id="rId2395" display="https://youtu.be/aYPvBVVGe9w"/>
    <hyperlink ref="F2394" r:id="rId2" display="https://files.afu.se/Downloads/Transcripts/0%20-%20Government/USA%20-%20NASA%20Johnson/"/>
    <hyperlink ref="C2395" r:id="rId2396" display="https://youtu.be/vVDzGF5Z4AY"/>
    <hyperlink ref="F2395" r:id="rId2" display="https://files.afu.se/Downloads/Transcripts/0%20-%20Government/USA%20-%20NASA%20Johnson/"/>
    <hyperlink ref="C2396" r:id="rId2397" display="https://youtu.be/KjnTZiYYIzg"/>
    <hyperlink ref="F2396" r:id="rId2" display="https://files.afu.se/Downloads/Transcripts/0%20-%20Government/USA%20-%20NASA%20Johnson/"/>
    <hyperlink ref="C2397" r:id="rId2398" display="https://youtu.be/ILG9Xkiv5Y8"/>
    <hyperlink ref="F2397" r:id="rId2" display="https://files.afu.se/Downloads/Transcripts/0%20-%20Government/USA%20-%20NASA%20Johnson/"/>
    <hyperlink ref="C2398" r:id="rId2399" display="https://youtu.be/54pvHhahPxg"/>
    <hyperlink ref="F2398" r:id="rId2" display="https://files.afu.se/Downloads/Transcripts/0%20-%20Government/USA%20-%20NASA%20Johnson/"/>
    <hyperlink ref="C2399" r:id="rId2400" display="https://youtu.be/Rqxt5sQWgDc"/>
    <hyperlink ref="F2399" r:id="rId2" display="https://files.afu.se/Downloads/Transcripts/0%20-%20Government/USA%20-%20NASA%20Johnson/"/>
    <hyperlink ref="C2400" r:id="rId2401" display="https://youtu.be/R588TXrn_nc"/>
    <hyperlink ref="F2400" r:id="rId2" display="https://files.afu.se/Downloads/Transcripts/0%20-%20Government/USA%20-%20NASA%20Johnson/"/>
    <hyperlink ref="C2401" r:id="rId2402" display="https://youtu.be/fvvIg7ttoLA"/>
    <hyperlink ref="F2401" r:id="rId2" display="https://files.afu.se/Downloads/Transcripts/0%20-%20Government/USA%20-%20NASA%20Johnson/"/>
    <hyperlink ref="C2402" r:id="rId2403" display="https://youtu.be/Ky1mQfAmXsc"/>
    <hyperlink ref="F2402" r:id="rId2" display="https://files.afu.se/Downloads/Transcripts/0%20-%20Government/USA%20-%20NASA%20Johnson/"/>
    <hyperlink ref="C2403" r:id="rId2404" display="https://youtu.be/R8J5xfc661w"/>
    <hyperlink ref="F2403" r:id="rId2" display="https://files.afu.se/Downloads/Transcripts/0%20-%20Government/USA%20-%20NASA%20Johnson/"/>
    <hyperlink ref="C2404" r:id="rId2405" display="https://youtu.be/NOwnd2JOuD4"/>
    <hyperlink ref="F2404" r:id="rId2" display="https://files.afu.se/Downloads/Transcripts/0%20-%20Government/USA%20-%20NASA%20Johnson/"/>
    <hyperlink ref="C2405" r:id="rId2406" display="https://youtu.be/8RVfoKS0XCA"/>
    <hyperlink ref="F2405" r:id="rId2" display="https://files.afu.se/Downloads/Transcripts/0%20-%20Government/USA%20-%20NASA%20Johnson/"/>
    <hyperlink ref="C2406" r:id="rId2407" display="https://youtu.be/hy-kKBHkO9s"/>
    <hyperlink ref="F2406" r:id="rId2" display="https://files.afu.se/Downloads/Transcripts/0%20-%20Government/USA%20-%20NASA%20Johnson/"/>
    <hyperlink ref="C2407" r:id="rId2408" display="https://youtu.be/d4fGW2pm3AI"/>
    <hyperlink ref="F2407" r:id="rId2" display="https://files.afu.se/Downloads/Transcripts/0%20-%20Government/USA%20-%20NASA%20Johnson/"/>
    <hyperlink ref="C2408" r:id="rId2409" display="https://youtu.be/enR1xA5VM5w"/>
    <hyperlink ref="F2408" r:id="rId2" display="https://files.afu.se/Downloads/Transcripts/0%20-%20Government/USA%20-%20NASA%20Johnson/"/>
    <hyperlink ref="C2409" r:id="rId2410" display="https://youtu.be/PBZ4a-dvf0w"/>
    <hyperlink ref="F2409" r:id="rId2" display="https://files.afu.se/Downloads/Transcripts/0%20-%20Government/USA%20-%20NASA%20Johnson/"/>
    <hyperlink ref="C2410" r:id="rId2411" display="https://youtu.be/THCL6ByyWzs"/>
    <hyperlink ref="F2410" r:id="rId2" display="https://files.afu.se/Downloads/Transcripts/0%20-%20Government/USA%20-%20NASA%20Johnson/"/>
    <hyperlink ref="C2411" r:id="rId2412" display="https://youtu.be/VyaMw0dmfGM"/>
    <hyperlink ref="F2411" r:id="rId2" display="https://files.afu.se/Downloads/Transcripts/0%20-%20Government/USA%20-%20NASA%20Johnson/"/>
    <hyperlink ref="C2412" r:id="rId2413" display="https://youtu.be/ofbbTf7Ihtc"/>
    <hyperlink ref="F2412" r:id="rId2" display="https://files.afu.se/Downloads/Transcripts/0%20-%20Government/USA%20-%20NASA%20Johnson/"/>
    <hyperlink ref="C2413" r:id="rId2414" display="https://youtu.be/149ij147DCo"/>
    <hyperlink ref="F2413" r:id="rId2" display="https://files.afu.se/Downloads/Transcripts/0%20-%20Government/USA%20-%20NASA%20Johnson/"/>
    <hyperlink ref="C2414" r:id="rId2415" display="https://youtu.be/sr9kMfLQnys"/>
    <hyperlink ref="F2414" r:id="rId2" display="https://files.afu.se/Downloads/Transcripts/0%20-%20Government/USA%20-%20NASA%20Johnson/"/>
    <hyperlink ref="C2415" r:id="rId2416" display="https://youtu.be/K8H6Uk2UDh0"/>
    <hyperlink ref="F2415" r:id="rId2" display="https://files.afu.se/Downloads/Transcripts/0%20-%20Government/USA%20-%20NASA%20Johnson/"/>
    <hyperlink ref="C2416" r:id="rId2417" display="https://youtu.be/ejZmvJQwy0c"/>
    <hyperlink ref="F2416" r:id="rId2" display="https://files.afu.se/Downloads/Transcripts/0%20-%20Government/USA%20-%20NASA%20Johnson/"/>
    <hyperlink ref="C2417" r:id="rId2418" display="https://youtu.be/YdwHrdzRhrk"/>
    <hyperlink ref="F2417" r:id="rId2" display="https://files.afu.se/Downloads/Transcripts/0%20-%20Government/USA%20-%20NASA%20Johnson/"/>
    <hyperlink ref="C2418" r:id="rId2419" display="https://youtu.be/h7P6vL5vIsA"/>
    <hyperlink ref="F2418" r:id="rId2" display="https://files.afu.se/Downloads/Transcripts/0%20-%20Government/USA%20-%20NASA%20Johnson/"/>
    <hyperlink ref="C2419" r:id="rId2420" display="https://youtu.be/bGBSQMTiaa4"/>
    <hyperlink ref="F2419" r:id="rId2" display="https://files.afu.se/Downloads/Transcripts/0%20-%20Government/USA%20-%20NASA%20Johnson/"/>
    <hyperlink ref="C2420" r:id="rId2421" display="https://youtu.be/oNLxqvYkgik"/>
    <hyperlink ref="F2420" r:id="rId2" display="https://files.afu.se/Downloads/Transcripts/0%20-%20Government/USA%20-%20NASA%20Johnson/"/>
    <hyperlink ref="C2421" r:id="rId2422" display="https://youtu.be/PB10DQmRFAE"/>
    <hyperlink ref="F2421" r:id="rId2" display="https://files.afu.se/Downloads/Transcripts/0%20-%20Government/USA%20-%20NASA%20Johnson/"/>
    <hyperlink ref="C2422" r:id="rId2423" display="https://youtu.be/Sv0XiI6qJH4"/>
    <hyperlink ref="F2422" r:id="rId2" display="https://files.afu.se/Downloads/Transcripts/0%20-%20Government/USA%20-%20NASA%20Johnson/"/>
    <hyperlink ref="C2423" r:id="rId2424" display="https://youtu.be/c9qH3c-0vzU"/>
    <hyperlink ref="F2423" r:id="rId2" display="https://files.afu.se/Downloads/Transcripts/0%20-%20Government/USA%20-%20NASA%20Johnson/"/>
    <hyperlink ref="C2424" r:id="rId2425" display="https://youtu.be/_lXuGTJO6C0"/>
    <hyperlink ref="F2424" r:id="rId2" display="https://files.afu.se/Downloads/Transcripts/0%20-%20Government/USA%20-%20NASA%20Johnson/"/>
    <hyperlink ref="C2425" r:id="rId2426" display="https://youtu.be/2jbgzU6n_r0"/>
    <hyperlink ref="F2425" r:id="rId2" display="https://files.afu.se/Downloads/Transcripts/0%20-%20Government/USA%20-%20NASA%20Johnson/"/>
    <hyperlink ref="C2426" r:id="rId2427" display="https://youtu.be/efgtXVjKzuw"/>
    <hyperlink ref="F2426" r:id="rId2" display="https://files.afu.se/Downloads/Transcripts/0%20-%20Government/USA%20-%20NASA%20Johnson/"/>
    <hyperlink ref="C2427" r:id="rId2428" display="https://youtu.be/9yJD1VjtJgc"/>
    <hyperlink ref="F2427" r:id="rId2" display="https://files.afu.se/Downloads/Transcripts/0%20-%20Government/USA%20-%20NASA%20Johnson/"/>
    <hyperlink ref="C2428" r:id="rId2429" display="https://youtu.be/wtG78LgX-NE"/>
    <hyperlink ref="F2428" r:id="rId2" display="https://files.afu.se/Downloads/Transcripts/0%20-%20Government/USA%20-%20NASA%20Johnson/"/>
    <hyperlink ref="C2429" r:id="rId2430" display="https://youtu.be/CZMEMoxrjKY"/>
    <hyperlink ref="F2429" r:id="rId2" display="https://files.afu.se/Downloads/Transcripts/0%20-%20Government/USA%20-%20NASA%20Johnson/"/>
    <hyperlink ref="C2430" r:id="rId2431" display="https://youtu.be/rxE_EkaGbDg"/>
    <hyperlink ref="F2430" r:id="rId2" display="https://files.afu.se/Downloads/Transcripts/0%20-%20Government/USA%20-%20NASA%20Johnson/"/>
    <hyperlink ref="C2431" r:id="rId2432" display="https://youtu.be/0bOC00wkBmY"/>
    <hyperlink ref="F2431" r:id="rId2" display="https://files.afu.se/Downloads/Transcripts/0%20-%20Government/USA%20-%20NASA%20Johnson/"/>
    <hyperlink ref="C2432" r:id="rId2433" display="https://youtu.be/Im2hEma_a1E"/>
    <hyperlink ref="F2432" r:id="rId2" display="https://files.afu.se/Downloads/Transcripts/0%20-%20Government/USA%20-%20NASA%20Johnson/"/>
    <hyperlink ref="C2433" r:id="rId2434" display="https://youtu.be/mscH1UEXsdg"/>
    <hyperlink ref="F2433" r:id="rId2" display="https://files.afu.se/Downloads/Transcripts/0%20-%20Government/USA%20-%20NASA%20Johnson/"/>
    <hyperlink ref="C2434" r:id="rId2435" display="https://youtu.be/FIfrN698g0Y"/>
    <hyperlink ref="F2434" r:id="rId2" display="https://files.afu.se/Downloads/Transcripts/0%20-%20Government/USA%20-%20NASA%20Johnson/"/>
    <hyperlink ref="C2435" r:id="rId2436" display="https://youtu.be/flDAxWxK984"/>
    <hyperlink ref="F2435" r:id="rId2" display="https://files.afu.se/Downloads/Transcripts/0%20-%20Government/USA%20-%20NASA%20Johnson/"/>
    <hyperlink ref="C2436" r:id="rId2437" display="https://youtu.be/gPxEyWFIoj4"/>
    <hyperlink ref="F2436" r:id="rId2" display="https://files.afu.se/Downloads/Transcripts/0%20-%20Government/USA%20-%20NASA%20Johnson/"/>
    <hyperlink ref="C2437" r:id="rId2438" display="https://youtu.be/oES7QpePqMo"/>
    <hyperlink ref="F2437" r:id="rId2" display="https://files.afu.se/Downloads/Transcripts/0%20-%20Government/USA%20-%20NASA%20Johnson/"/>
    <hyperlink ref="C2438" r:id="rId2439" display="https://youtu.be/Y1bDwYWpLPI"/>
    <hyperlink ref="F2438" r:id="rId2" display="https://files.afu.se/Downloads/Transcripts/0%20-%20Government/USA%20-%20NASA%20Johnson/"/>
    <hyperlink ref="C2439" r:id="rId2440" display="https://youtu.be/ZVErKaF6J30"/>
    <hyperlink ref="F2439" r:id="rId2" display="https://files.afu.se/Downloads/Transcripts/0%20-%20Government/USA%20-%20NASA%20Johnson/"/>
    <hyperlink ref="C2440" r:id="rId2441" display="https://youtu.be/nNnDR_sQdsA"/>
    <hyperlink ref="F2440" r:id="rId2" display="https://files.afu.se/Downloads/Transcripts/0%20-%20Government/USA%20-%20NASA%20Johnson/"/>
    <hyperlink ref="C2441" r:id="rId2442" display="https://youtu.be/qsDHbxhufO8"/>
    <hyperlink ref="F2441" r:id="rId2" display="https://files.afu.se/Downloads/Transcripts/0%20-%20Government/USA%20-%20NASA%20Johnson/"/>
    <hyperlink ref="C2442" r:id="rId2443" display="https://youtu.be/ZdMRoMi8F0I"/>
    <hyperlink ref="F2442" r:id="rId2" display="https://files.afu.se/Downloads/Transcripts/0%20-%20Government/USA%20-%20NASA%20Johnson/"/>
    <hyperlink ref="C2443" r:id="rId2444" display="https://youtu.be/sQ0IsRY1XPY"/>
    <hyperlink ref="F2443" r:id="rId2" display="https://files.afu.se/Downloads/Transcripts/0%20-%20Government/USA%20-%20NASA%20Johnson/"/>
    <hyperlink ref="C2444" r:id="rId2445" display="https://youtu.be/eP36uID1_FY"/>
    <hyperlink ref="F2444" r:id="rId2" display="https://files.afu.se/Downloads/Transcripts/0%20-%20Government/USA%20-%20NASA%20Johnson/"/>
    <hyperlink ref="C2445" r:id="rId2446" display="https://youtu.be/fmo_K4Ztq6M"/>
    <hyperlink ref="F2445" r:id="rId2" display="https://files.afu.se/Downloads/Transcripts/0%20-%20Government/USA%20-%20NASA%20Johnson/"/>
    <hyperlink ref="C2446" r:id="rId2447" display="https://youtu.be/Vaa3Qm9PBj8"/>
    <hyperlink ref="F2446" r:id="rId2" display="https://files.afu.se/Downloads/Transcripts/0%20-%20Government/USA%20-%20NASA%20Johnson/"/>
    <hyperlink ref="C2447" r:id="rId2448" display="https://youtu.be/I8xCyURa7K0"/>
    <hyperlink ref="F2447" r:id="rId2" display="https://files.afu.se/Downloads/Transcripts/0%20-%20Government/USA%20-%20NASA%20Johnson/"/>
    <hyperlink ref="C2448" r:id="rId2449" display="https://youtu.be/rkP9n_Me3eY"/>
    <hyperlink ref="F2448" r:id="rId2" display="https://files.afu.se/Downloads/Transcripts/0%20-%20Government/USA%20-%20NASA%20Johnson/"/>
    <hyperlink ref="C2449" r:id="rId2450" display="https://youtu.be/hxSXcIAFymA"/>
    <hyperlink ref="F2449" r:id="rId2" display="https://files.afu.se/Downloads/Transcripts/0%20-%20Government/USA%20-%20NASA%20Johnson/"/>
    <hyperlink ref="C2450" r:id="rId2451" display="https://youtu.be/92uMIgfcs5Q"/>
    <hyperlink ref="F2450" r:id="rId2" display="https://files.afu.se/Downloads/Transcripts/0%20-%20Government/USA%20-%20NASA%20Johnson/"/>
    <hyperlink ref="C2451" r:id="rId2452" display="https://youtu.be/ghR2TxhnDb4"/>
    <hyperlink ref="F2451" r:id="rId2" display="https://files.afu.se/Downloads/Transcripts/0%20-%20Government/USA%20-%20NASA%20Johnson/"/>
    <hyperlink ref="C2452" r:id="rId2453" display="https://youtu.be/6J27cK4-KMY"/>
    <hyperlink ref="F2452" r:id="rId2" display="https://files.afu.se/Downloads/Transcripts/0%20-%20Government/USA%20-%20NASA%20Johnson/"/>
    <hyperlink ref="C2453" r:id="rId2454" display="https://youtu.be/WfOt8EFXO9M"/>
    <hyperlink ref="F2453" r:id="rId2" display="https://files.afu.se/Downloads/Transcripts/0%20-%20Government/USA%20-%20NASA%20Johnson/"/>
    <hyperlink ref="C2454" r:id="rId2455" display="https://youtu.be/gIKb_rT_sV8"/>
    <hyperlink ref="F2454" r:id="rId2" display="https://files.afu.se/Downloads/Transcripts/0%20-%20Government/USA%20-%20NASA%20Johnson/"/>
    <hyperlink ref="C2455" r:id="rId2456" display="https://youtu.be/h-r1cMDhoKc"/>
    <hyperlink ref="F2455" r:id="rId2" display="https://files.afu.se/Downloads/Transcripts/0%20-%20Government/USA%20-%20NASA%20Johnson/"/>
    <hyperlink ref="C2456" r:id="rId2457" display="https://youtu.be/B_R48zlvCwA"/>
    <hyperlink ref="F2456" r:id="rId2" display="https://files.afu.se/Downloads/Transcripts/0%20-%20Government/USA%20-%20NASA%20Johnson/"/>
    <hyperlink ref="C2457" r:id="rId2458" display="https://youtu.be/ta1uPWcFpT0"/>
    <hyperlink ref="F2457" r:id="rId2" display="https://files.afu.se/Downloads/Transcripts/0%20-%20Government/USA%20-%20NASA%20Johnson/"/>
    <hyperlink ref="C2458" r:id="rId2459" display="https://youtu.be/TQEWlZRQQcM"/>
    <hyperlink ref="F2458" r:id="rId2" display="https://files.afu.se/Downloads/Transcripts/0%20-%20Government/USA%20-%20NASA%20Johnson/"/>
    <hyperlink ref="C2459" r:id="rId2460" display="https://youtu.be/wliA3ZGv9Ic"/>
    <hyperlink ref="F2459" r:id="rId2" display="https://files.afu.se/Downloads/Transcripts/0%20-%20Government/USA%20-%20NASA%20Johnson/"/>
    <hyperlink ref="C2460" r:id="rId2461" display="https://youtu.be/qjyGnv8rYrA"/>
    <hyperlink ref="F2460" r:id="rId2" display="https://files.afu.se/Downloads/Transcripts/0%20-%20Government/USA%20-%20NASA%20Johnson/"/>
    <hyperlink ref="C2461" r:id="rId2462" display="https://youtu.be/c1zdm7DipQs"/>
    <hyperlink ref="F2461" r:id="rId2" display="https://files.afu.se/Downloads/Transcripts/0%20-%20Government/USA%20-%20NASA%20Johnson/"/>
    <hyperlink ref="C2462" r:id="rId2463" display="https://youtu.be/UnacW5KV2I4"/>
    <hyperlink ref="F2462" r:id="rId2" display="https://files.afu.se/Downloads/Transcripts/0%20-%20Government/USA%20-%20NASA%20Johnson/"/>
    <hyperlink ref="C2463" r:id="rId2464" display="https://youtu.be/8uy1-26JIj4"/>
    <hyperlink ref="F2463" r:id="rId2" display="https://files.afu.se/Downloads/Transcripts/0%20-%20Government/USA%20-%20NASA%20Johnson/"/>
    <hyperlink ref="C2464" r:id="rId2465" display="https://youtu.be/SgGYBOjlny4"/>
    <hyperlink ref="F2464" r:id="rId2" display="https://files.afu.se/Downloads/Transcripts/0%20-%20Government/USA%20-%20NASA%20Johnson/"/>
    <hyperlink ref="C2465" r:id="rId2466" display="https://youtu.be/yCqh_fc3lQk"/>
    <hyperlink ref="F2465" r:id="rId2" display="https://files.afu.se/Downloads/Transcripts/0%20-%20Government/USA%20-%20NASA%20Johnson/"/>
    <hyperlink ref="C2466" r:id="rId2467" display="https://youtu.be/dWi0Y1lfNBg"/>
    <hyperlink ref="F2466" r:id="rId2" display="https://files.afu.se/Downloads/Transcripts/0%20-%20Government/USA%20-%20NASA%20Johnson/"/>
    <hyperlink ref="C2467" r:id="rId2468" display="https://youtu.be/Sky0FG6jBAM"/>
    <hyperlink ref="F2467" r:id="rId2" display="https://files.afu.se/Downloads/Transcripts/0%20-%20Government/USA%20-%20NASA%20Johnson/"/>
    <hyperlink ref="C2468" r:id="rId2469" display="https://youtu.be/EGX0cNd0ue0"/>
    <hyperlink ref="F2468" r:id="rId2" display="https://files.afu.se/Downloads/Transcripts/0%20-%20Government/USA%20-%20NASA%20Johnson/"/>
    <hyperlink ref="C2469" r:id="rId2470" display="https://youtu.be/nGb-ZW0frGU"/>
    <hyperlink ref="F2469" r:id="rId2" display="https://files.afu.se/Downloads/Transcripts/0%20-%20Government/USA%20-%20NASA%20Johnson/"/>
    <hyperlink ref="C2470" r:id="rId2471" display="https://youtu.be/HeQa8KCC3h8"/>
    <hyperlink ref="F2470" r:id="rId2" display="https://files.afu.se/Downloads/Transcripts/0%20-%20Government/USA%20-%20NASA%20Johnson/"/>
    <hyperlink ref="C2471" r:id="rId2472" display="https://youtu.be/ZDAR4v3VDqw"/>
    <hyperlink ref="F2471" r:id="rId2" display="https://files.afu.se/Downloads/Transcripts/0%20-%20Government/USA%20-%20NASA%20Johnson/"/>
    <hyperlink ref="C2472" r:id="rId2473" display="https://youtu.be/Ybsq1KA274s"/>
    <hyperlink ref="F2472" r:id="rId2" display="https://files.afu.se/Downloads/Transcripts/0%20-%20Government/USA%20-%20NASA%20Johnson/"/>
    <hyperlink ref="C2473" r:id="rId2474" display="https://youtu.be/juVkvcjE10o"/>
    <hyperlink ref="F2473" r:id="rId2" display="https://files.afu.se/Downloads/Transcripts/0%20-%20Government/USA%20-%20NASA%20Johnson/"/>
    <hyperlink ref="C2474" r:id="rId2475" display="https://youtu.be/VuVBXJbgfPY"/>
    <hyperlink ref="F2474" r:id="rId2" display="https://files.afu.se/Downloads/Transcripts/0%20-%20Government/USA%20-%20NASA%20Johnson/"/>
    <hyperlink ref="C2475" r:id="rId2476" display="https://youtu.be/H66DDimfd8o"/>
    <hyperlink ref="F2475" r:id="rId2" display="https://files.afu.se/Downloads/Transcripts/0%20-%20Government/USA%20-%20NASA%20Johnson/"/>
    <hyperlink ref="C2476" r:id="rId2477" display="https://youtu.be/K-PQE-VEdhc"/>
    <hyperlink ref="F2476" r:id="rId2" display="https://files.afu.se/Downloads/Transcripts/0%20-%20Government/USA%20-%20NASA%20Johnson/"/>
    <hyperlink ref="C2477" r:id="rId2478" display="https://youtu.be/re2Uztpr6Hc"/>
    <hyperlink ref="F2477" r:id="rId2" display="https://files.afu.se/Downloads/Transcripts/0%20-%20Government/USA%20-%20NASA%20Johnson/"/>
    <hyperlink ref="C2478" r:id="rId2479" display="https://youtu.be/sLIUV2k57oo"/>
    <hyperlink ref="F2478" r:id="rId2" display="https://files.afu.se/Downloads/Transcripts/0%20-%20Government/USA%20-%20NASA%20Johnson/"/>
    <hyperlink ref="C2479" r:id="rId2480" display="https://youtu.be/8rpjoSlMGYg"/>
    <hyperlink ref="F2479" r:id="rId2" display="https://files.afu.se/Downloads/Transcripts/0%20-%20Government/USA%20-%20NASA%20Johnson/"/>
    <hyperlink ref="C2480" r:id="rId2481" display="https://youtu.be/2X6goDUNoiM"/>
    <hyperlink ref="F2480" r:id="rId2" display="https://files.afu.se/Downloads/Transcripts/0%20-%20Government/USA%20-%20NASA%20Johnson/"/>
    <hyperlink ref="C2481" r:id="rId2482" display="https://youtu.be/d7NiO4PEi2A"/>
    <hyperlink ref="F2481" r:id="rId2" display="https://files.afu.se/Downloads/Transcripts/0%20-%20Government/USA%20-%20NASA%20Johnson/"/>
    <hyperlink ref="C2482" r:id="rId2483" display="https://youtu.be/jABL6bqdVzc"/>
    <hyperlink ref="F2482" r:id="rId2" display="https://files.afu.se/Downloads/Transcripts/0%20-%20Government/USA%20-%20NASA%20Johnson/"/>
    <hyperlink ref="C2483" r:id="rId2484" display="https://youtu.be/_5XOoqxb6g8"/>
    <hyperlink ref="F2483" r:id="rId2" display="https://files.afu.se/Downloads/Transcripts/0%20-%20Government/USA%20-%20NASA%20Johnson/"/>
    <hyperlink ref="C2484" r:id="rId2485" display="https://youtu.be/T9GqT6oZu6Y"/>
    <hyperlink ref="F2484" r:id="rId2" display="https://files.afu.se/Downloads/Transcripts/0%20-%20Government/USA%20-%20NASA%20Johnson/"/>
    <hyperlink ref="C2485" r:id="rId2486" display="https://youtu.be/j7e16ECtZgY"/>
    <hyperlink ref="F2485" r:id="rId2" display="https://files.afu.se/Downloads/Transcripts/0%20-%20Government/USA%20-%20NASA%20Johnson/"/>
    <hyperlink ref="C2486" r:id="rId2487" display="https://youtu.be/JmXZgaMpDPw"/>
    <hyperlink ref="F2486" r:id="rId2" display="https://files.afu.se/Downloads/Transcripts/0%20-%20Government/USA%20-%20NASA%20Johnson/"/>
    <hyperlink ref="C2487" r:id="rId2488" display="https://youtu.be/wPCM623dutM"/>
    <hyperlink ref="F2487" r:id="rId2" display="https://files.afu.se/Downloads/Transcripts/0%20-%20Government/USA%20-%20NASA%20Johnson/"/>
    <hyperlink ref="C2488" r:id="rId2489" display="https://youtu.be/2yM-TIcZ8mo"/>
    <hyperlink ref="F2488" r:id="rId2" display="https://files.afu.se/Downloads/Transcripts/0%20-%20Government/USA%20-%20NASA%20Johnson/"/>
    <hyperlink ref="C2489" r:id="rId2490" display="https://youtu.be/QYv5nhKUBs8"/>
    <hyperlink ref="F2489" r:id="rId2" display="https://files.afu.se/Downloads/Transcripts/0%20-%20Government/USA%20-%20NASA%20Johnson/"/>
    <hyperlink ref="C2490" r:id="rId2491" display="https://youtu.be/YUsdUvER8tM"/>
    <hyperlink ref="F2490" r:id="rId2" display="https://files.afu.se/Downloads/Transcripts/0%20-%20Government/USA%20-%20NASA%20Johnson/"/>
    <hyperlink ref="C2491" r:id="rId2492" display="https://youtu.be/JVp0mY7JNOE"/>
    <hyperlink ref="F2491" r:id="rId2" display="https://files.afu.se/Downloads/Transcripts/0%20-%20Government/USA%20-%20NASA%20Johnson/"/>
    <hyperlink ref="C2492" r:id="rId2493" display="https://youtu.be/ZNhuIedTTqI"/>
    <hyperlink ref="F2492" r:id="rId2" display="https://files.afu.se/Downloads/Transcripts/0%20-%20Government/USA%20-%20NASA%20Johnson/"/>
    <hyperlink ref="C2493" r:id="rId2494" display="https://youtu.be/wjfoDC_6Qsg"/>
    <hyperlink ref="F2493" r:id="rId2" display="https://files.afu.se/Downloads/Transcripts/0%20-%20Government/USA%20-%20NASA%20Johnson/"/>
    <hyperlink ref="C2494" r:id="rId2495" display="https://youtu.be/aPkMf56YXtc"/>
    <hyperlink ref="F2494" r:id="rId2" display="https://files.afu.se/Downloads/Transcripts/0%20-%20Government/USA%20-%20NASA%20Johnson/"/>
    <hyperlink ref="C2495" r:id="rId2496" display="https://youtu.be/iVDpESbzyLQ"/>
    <hyperlink ref="F2495" r:id="rId2" display="https://files.afu.se/Downloads/Transcripts/0%20-%20Government/USA%20-%20NASA%20Johnson/"/>
    <hyperlink ref="C2496" r:id="rId2497" display="https://youtu.be/zkgeELUO_2w"/>
    <hyperlink ref="F2496" r:id="rId2" display="https://files.afu.se/Downloads/Transcripts/0%20-%20Government/USA%20-%20NASA%20Johnson/"/>
    <hyperlink ref="C2497" r:id="rId2498" display="https://youtu.be/87oRyH52q3g"/>
    <hyperlink ref="F2497" r:id="rId2" display="https://files.afu.se/Downloads/Transcripts/0%20-%20Government/USA%20-%20NASA%20Johnson/"/>
    <hyperlink ref="C2498" r:id="rId2499" display="https://youtu.be/4ZdGkeL2rhg"/>
    <hyperlink ref="F2498" r:id="rId2" display="https://files.afu.se/Downloads/Transcripts/0%20-%20Government/USA%20-%20NASA%20Johnson/"/>
    <hyperlink ref="C2499" r:id="rId2500" display="https://youtu.be/z4pg_edw2_A"/>
    <hyperlink ref="F2499" r:id="rId2" display="https://files.afu.se/Downloads/Transcripts/0%20-%20Government/USA%20-%20NASA%20Johnson/"/>
    <hyperlink ref="C2500" r:id="rId2501" display="https://youtu.be/mWr0pUYyODM"/>
    <hyperlink ref="F2500" r:id="rId2" display="https://files.afu.se/Downloads/Transcripts/0%20-%20Government/USA%20-%20NASA%20Johnson/"/>
    <hyperlink ref="C2501" r:id="rId2502" display="https://youtu.be/CYl87KeObYo"/>
    <hyperlink ref="F2501" r:id="rId2" display="https://files.afu.se/Downloads/Transcripts/0%20-%20Government/USA%20-%20NASA%20Johnson/"/>
    <hyperlink ref="C2502" r:id="rId2503" display="https://youtu.be/NBPe-XSSACk"/>
    <hyperlink ref="F2502" r:id="rId2" display="https://files.afu.se/Downloads/Transcripts/0%20-%20Government/USA%20-%20NASA%20Johnson/"/>
    <hyperlink ref="C2503" r:id="rId2504" display="https://youtu.be/lCJilxVH8e4"/>
    <hyperlink ref="F2503" r:id="rId2" display="https://files.afu.se/Downloads/Transcripts/0%20-%20Government/USA%20-%20NASA%20Johnson/"/>
    <hyperlink ref="C2504" r:id="rId2505" display="https://youtu.be/J2286bF4CG0"/>
    <hyperlink ref="F2504" r:id="rId2" display="https://files.afu.se/Downloads/Transcripts/0%20-%20Government/USA%20-%20NASA%20Johnson/"/>
    <hyperlink ref="C2505" r:id="rId2506" display="https://youtu.be/Uy6ScRS3XC0"/>
    <hyperlink ref="F2505" r:id="rId2" display="https://files.afu.se/Downloads/Transcripts/0%20-%20Government/USA%20-%20NASA%20Johnson/"/>
    <hyperlink ref="C2506" r:id="rId2507" display="https://youtu.be/8ZqLNMGSRjY"/>
    <hyperlink ref="F2506" r:id="rId2" display="https://files.afu.se/Downloads/Transcripts/0%20-%20Government/USA%20-%20NASA%20Johnson/"/>
    <hyperlink ref="C2507" r:id="rId2508" display="https://youtu.be/cykQ1vtyPkA"/>
    <hyperlink ref="F2507" r:id="rId2" display="https://files.afu.se/Downloads/Transcripts/0%20-%20Government/USA%20-%20NASA%20Johnson/"/>
    <hyperlink ref="C2508" r:id="rId2509" display="https://youtu.be/UVWLpx5IDcA"/>
    <hyperlink ref="F2508" r:id="rId2" display="https://files.afu.se/Downloads/Transcripts/0%20-%20Government/USA%20-%20NASA%20Johnson/"/>
    <hyperlink ref="C2509" r:id="rId2510" display="https://youtu.be/52ANeHXvKPQ"/>
    <hyperlink ref="F2509" r:id="rId2" display="https://files.afu.se/Downloads/Transcripts/0%20-%20Government/USA%20-%20NASA%20Johnson/"/>
    <hyperlink ref="C2510" r:id="rId2511" display="https://youtu.be/HksVhjBHvI8"/>
    <hyperlink ref="F2510" r:id="rId2" display="https://files.afu.se/Downloads/Transcripts/0%20-%20Government/USA%20-%20NASA%20Johnson/"/>
    <hyperlink ref="C2511" r:id="rId2512" display="https://youtu.be/MI8W0HS2I70"/>
    <hyperlink ref="F2511" r:id="rId2" display="https://files.afu.se/Downloads/Transcripts/0%20-%20Government/USA%20-%20NASA%20Johnson/"/>
    <hyperlink ref="C2512" r:id="rId2513" display="https://youtu.be/yCZew8p9O0Y"/>
    <hyperlink ref="F2512" r:id="rId2" display="https://files.afu.se/Downloads/Transcripts/0%20-%20Government/USA%20-%20NASA%20Johnson/"/>
    <hyperlink ref="C2513" r:id="rId2514" display="https://youtu.be/j-j3RjQmmZ0"/>
    <hyperlink ref="F2513" r:id="rId2" display="https://files.afu.se/Downloads/Transcripts/0%20-%20Government/USA%20-%20NASA%20Johnson/"/>
    <hyperlink ref="C2514" r:id="rId2515" display="https://youtu.be/pzEGn-P-id0"/>
    <hyperlink ref="F2514" r:id="rId2" display="https://files.afu.se/Downloads/Transcripts/0%20-%20Government/USA%20-%20NASA%20Johnson/"/>
    <hyperlink ref="C2515" r:id="rId2516" display="https://youtu.be/7BeyCjpB3_Y"/>
    <hyperlink ref="F2515" r:id="rId2" display="https://files.afu.se/Downloads/Transcripts/0%20-%20Government/USA%20-%20NASA%20Johnson/"/>
    <hyperlink ref="C2516" r:id="rId2517" display="https://youtu.be/PfQsFMRCrBQ"/>
    <hyperlink ref="F2516" r:id="rId2" display="https://files.afu.se/Downloads/Transcripts/0%20-%20Government/USA%20-%20NASA%20Johnson/"/>
    <hyperlink ref="C2517" r:id="rId2518" display="https://youtu.be/eWliKjdsvoU"/>
    <hyperlink ref="F2517" r:id="rId2" display="https://files.afu.se/Downloads/Transcripts/0%20-%20Government/USA%20-%20NASA%20Johnson/"/>
    <hyperlink ref="C2518" r:id="rId2519" display="https://youtu.be/zCgdN-rraFo"/>
    <hyperlink ref="F2518" r:id="rId2" display="https://files.afu.se/Downloads/Transcripts/0%20-%20Government/USA%20-%20NASA%20Johnson/"/>
    <hyperlink ref="C2519" r:id="rId2520" display="https://youtu.be/ll9i9pI1kbg"/>
    <hyperlink ref="F2519" r:id="rId2" display="https://files.afu.se/Downloads/Transcripts/0%20-%20Government/USA%20-%20NASA%20Johnson/"/>
    <hyperlink ref="C2520" r:id="rId2521" display="https://youtu.be/tng5OEkw9mE"/>
    <hyperlink ref="F2520" r:id="rId2" display="https://files.afu.se/Downloads/Transcripts/0%20-%20Government/USA%20-%20NASA%20Johnson/"/>
    <hyperlink ref="C2521" r:id="rId2522" display="https://youtu.be/xLYeZKDv0Ig"/>
    <hyperlink ref="F2521" r:id="rId2" display="https://files.afu.se/Downloads/Transcripts/0%20-%20Government/USA%20-%20NASA%20Johnson/"/>
    <hyperlink ref="C2522" r:id="rId2523" display="https://youtu.be/NIIuweV1JYw"/>
    <hyperlink ref="F2522" r:id="rId2" display="https://files.afu.se/Downloads/Transcripts/0%20-%20Government/USA%20-%20NASA%20Johnson/"/>
    <hyperlink ref="C2523" r:id="rId2524" display="https://youtu.be/gKlL4ohKaDU"/>
    <hyperlink ref="F2523" r:id="rId2" display="https://files.afu.se/Downloads/Transcripts/0%20-%20Government/USA%20-%20NASA%20Johnson/"/>
    <hyperlink ref="C2524" r:id="rId2525" display="https://youtu.be/ROzCgKtsGTQ"/>
    <hyperlink ref="F2524" r:id="rId2" display="https://files.afu.se/Downloads/Transcripts/0%20-%20Government/USA%20-%20NASA%20Johnson/"/>
    <hyperlink ref="C2525" r:id="rId2526" display="https://youtu.be/U_e7lbeAv9Q"/>
    <hyperlink ref="F2525" r:id="rId2" display="https://files.afu.se/Downloads/Transcripts/0%20-%20Government/USA%20-%20NASA%20Johnson/"/>
    <hyperlink ref="C2526" r:id="rId2527" display="https://youtu.be/wxDbL81pW70"/>
    <hyperlink ref="F2526" r:id="rId2" display="https://files.afu.se/Downloads/Transcripts/0%20-%20Government/USA%20-%20NASA%20Johnson/"/>
    <hyperlink ref="C2527" r:id="rId2528" display="https://youtu.be/HfuUFBQIdfg"/>
    <hyperlink ref="F2527" r:id="rId2" display="https://files.afu.se/Downloads/Transcripts/0%20-%20Government/USA%20-%20NASA%20Johnson/"/>
    <hyperlink ref="C2528" r:id="rId2529" display="https://youtu.be/jl2LgoCwypg"/>
    <hyperlink ref="F2528" r:id="rId2" display="https://files.afu.se/Downloads/Transcripts/0%20-%20Government/USA%20-%20NASA%20Johnson/"/>
    <hyperlink ref="C2529" r:id="rId2530" display="https://youtu.be/EbQrLoFiutk"/>
    <hyperlink ref="F2529" r:id="rId2" display="https://files.afu.se/Downloads/Transcripts/0%20-%20Government/USA%20-%20NASA%20Johnson/"/>
    <hyperlink ref="C2530" r:id="rId2531" display="https://youtu.be/uIL9CStXN0c"/>
    <hyperlink ref="F2530" r:id="rId2" display="https://files.afu.se/Downloads/Transcripts/0%20-%20Government/USA%20-%20NASA%20Johnson/"/>
    <hyperlink ref="C2531" r:id="rId2532" display="https://youtu.be/Nzm3aaxTXUs"/>
    <hyperlink ref="F2531" r:id="rId2" display="https://files.afu.se/Downloads/Transcripts/0%20-%20Government/USA%20-%20NASA%20Johnson/"/>
    <hyperlink ref="C2532" r:id="rId2533" display="https://youtu.be/vPHM-rR4wN4"/>
    <hyperlink ref="F2532" r:id="rId2" display="https://files.afu.se/Downloads/Transcripts/0%20-%20Government/USA%20-%20NASA%20Johnson/"/>
    <hyperlink ref="C2533" r:id="rId2534" display="https://youtu.be/scO2FD-Ku2o"/>
    <hyperlink ref="F2533" r:id="rId2" display="https://files.afu.se/Downloads/Transcripts/0%20-%20Government/USA%20-%20NASA%20Johnson/"/>
    <hyperlink ref="C2534" r:id="rId2535" display="https://youtu.be/xEaPpLW_ybY"/>
    <hyperlink ref="F2534" r:id="rId2" display="https://files.afu.se/Downloads/Transcripts/0%20-%20Government/USA%20-%20NASA%20Johnson/"/>
    <hyperlink ref="C2535" r:id="rId2536" display="https://youtu.be/2Sar5WT76kE"/>
    <hyperlink ref="F2535" r:id="rId2" display="https://files.afu.se/Downloads/Transcripts/0%20-%20Government/USA%20-%20NASA%20Johnson/"/>
    <hyperlink ref="C2536" r:id="rId2537" display="https://youtu.be/lD3YK5W_GEE"/>
    <hyperlink ref="F2536" r:id="rId2" display="https://files.afu.se/Downloads/Transcripts/0%20-%20Government/USA%20-%20NASA%20Johnson/"/>
    <hyperlink ref="C2537" r:id="rId2538" display="https://youtu.be/8sWDEmYuiRQ"/>
    <hyperlink ref="F2537" r:id="rId2" display="https://files.afu.se/Downloads/Transcripts/0%20-%20Government/USA%20-%20NASA%20Johnson/"/>
    <hyperlink ref="C2538" r:id="rId2539" display="https://youtu.be/Fsdis4DRxDA"/>
    <hyperlink ref="F2538" r:id="rId2" display="https://files.afu.se/Downloads/Transcripts/0%20-%20Government/USA%20-%20NASA%20Johnson/"/>
    <hyperlink ref="C2539" r:id="rId2540" display="https://youtu.be/7__bPjpgmJA"/>
    <hyperlink ref="F2539" r:id="rId2" display="https://files.afu.se/Downloads/Transcripts/0%20-%20Government/USA%20-%20NASA%20Johnson/"/>
    <hyperlink ref="C2540" r:id="rId2541" display="https://youtu.be/UqCeche3Mqw"/>
    <hyperlink ref="F2540" r:id="rId2" display="https://files.afu.se/Downloads/Transcripts/0%20-%20Government/USA%20-%20NASA%20Johnson/"/>
    <hyperlink ref="C2541" r:id="rId2542" display="https://youtu.be/8-KaQ0TtebI"/>
    <hyperlink ref="F2541" r:id="rId2" display="https://files.afu.se/Downloads/Transcripts/0%20-%20Government/USA%20-%20NASA%20Johnson/"/>
    <hyperlink ref="C2542" r:id="rId2543" display="https://youtu.be/9fYOcspAxPI"/>
    <hyperlink ref="F2542" r:id="rId2" display="https://files.afu.se/Downloads/Transcripts/0%20-%20Government/USA%20-%20NASA%20Johnson/"/>
    <hyperlink ref="C2543" r:id="rId2544" display="https://youtu.be/oU-A5NPZiQw"/>
    <hyperlink ref="F2543" r:id="rId2" display="https://files.afu.se/Downloads/Transcripts/0%20-%20Government/USA%20-%20NASA%20Johnson/"/>
    <hyperlink ref="C2544" r:id="rId2545" display="https://youtu.be/erwprCm_WCE"/>
    <hyperlink ref="F2544" r:id="rId2" display="https://files.afu.se/Downloads/Transcripts/0%20-%20Government/USA%20-%20NASA%20Johnson/"/>
    <hyperlink ref="C2545" r:id="rId2546" display="https://youtu.be/9LbZYdwJ1AQ"/>
    <hyperlink ref="F2545" r:id="rId2" display="https://files.afu.se/Downloads/Transcripts/0%20-%20Government/USA%20-%20NASA%20Johnson/"/>
    <hyperlink ref="C2546" r:id="rId2547" display="https://youtu.be/FuAtgQGSzL8"/>
    <hyperlink ref="F2546" r:id="rId2" display="https://files.afu.se/Downloads/Transcripts/0%20-%20Government/USA%20-%20NASA%20Johnson/"/>
    <hyperlink ref="C2547" r:id="rId2548" display="https://youtu.be/yxgxUOuq9jo"/>
    <hyperlink ref="F2547" r:id="rId2" display="https://files.afu.se/Downloads/Transcripts/0%20-%20Government/USA%20-%20NASA%20Johnson/"/>
    <hyperlink ref="C2548" r:id="rId2549" display="https://youtu.be/kEr08rxpvoo"/>
    <hyperlink ref="F2548" r:id="rId2" display="https://files.afu.se/Downloads/Transcripts/0%20-%20Government/USA%20-%20NASA%20Johnson/"/>
    <hyperlink ref="C2549" r:id="rId2550" display="https://youtu.be/GCLnpUiNUVw"/>
    <hyperlink ref="F2549" r:id="rId2" display="https://files.afu.se/Downloads/Transcripts/0%20-%20Government/USA%20-%20NASA%20Johnson/"/>
    <hyperlink ref="C2550" r:id="rId2551" display="https://youtu.be/HsFzBhIpqII"/>
    <hyperlink ref="F2550" r:id="rId2" display="https://files.afu.se/Downloads/Transcripts/0%20-%20Government/USA%20-%20NASA%20Johnson/"/>
    <hyperlink ref="C2551" r:id="rId2552" display="https://youtu.be/PBA0lIkBhtQ"/>
    <hyperlink ref="F2551" r:id="rId2" display="https://files.afu.se/Downloads/Transcripts/0%20-%20Government/USA%20-%20NASA%20Johnson/"/>
    <hyperlink ref="C2552" r:id="rId2553" display="https://youtu.be/BDJbOkGI3Y8"/>
    <hyperlink ref="F2552" r:id="rId2" display="https://files.afu.se/Downloads/Transcripts/0%20-%20Government/USA%20-%20NASA%20Johnson/"/>
    <hyperlink ref="C2553" r:id="rId2554" display="https://youtu.be/lpQjwlCnw7k"/>
    <hyperlink ref="F2553" r:id="rId2" display="https://files.afu.se/Downloads/Transcripts/0%20-%20Government/USA%20-%20NASA%20Johnson/"/>
    <hyperlink ref="C2554" r:id="rId2555" display="https://youtu.be/H1NRIs7M-DE"/>
    <hyperlink ref="F2554" r:id="rId2" display="https://files.afu.se/Downloads/Transcripts/0%20-%20Government/USA%20-%20NASA%20Johnson/"/>
    <hyperlink ref="C2555" r:id="rId2556" display="https://youtu.be/2oc1avweaeY"/>
    <hyperlink ref="F2555" r:id="rId2" display="https://files.afu.se/Downloads/Transcripts/0%20-%20Government/USA%20-%20NASA%20Johnson/"/>
    <hyperlink ref="C2556" r:id="rId2557" display="https://youtu.be/I8q4ZVg6Nbw"/>
    <hyperlink ref="F2556" r:id="rId2" display="https://files.afu.se/Downloads/Transcripts/0%20-%20Government/USA%20-%20NASA%20Johnson/"/>
    <hyperlink ref="C2557" r:id="rId2558" display="https://youtu.be/FOPZVavOHPo"/>
    <hyperlink ref="F2557" r:id="rId2" display="https://files.afu.se/Downloads/Transcripts/0%20-%20Government/USA%20-%20NASA%20Johnson/"/>
    <hyperlink ref="C2558" r:id="rId2559" display="https://youtu.be/IQZU5BITfj8"/>
    <hyperlink ref="F2558" r:id="rId2" display="https://files.afu.se/Downloads/Transcripts/0%20-%20Government/USA%20-%20NASA%20Johnson/"/>
    <hyperlink ref="C2559" r:id="rId2560" display="https://youtu.be/QVK_TWXgPMA"/>
    <hyperlink ref="F2559" r:id="rId2" display="https://files.afu.se/Downloads/Transcripts/0%20-%20Government/USA%20-%20NASA%20Johnson/"/>
    <hyperlink ref="C2560" r:id="rId2561" display="https://youtu.be/UodoCmLxK7g"/>
    <hyperlink ref="F2560" r:id="rId2" display="https://files.afu.se/Downloads/Transcripts/0%20-%20Government/USA%20-%20NASA%20Johnson/"/>
    <hyperlink ref="C2561" r:id="rId2562" display="https://youtu.be/bzb0r_KHYYo"/>
    <hyperlink ref="F2561" r:id="rId2" display="https://files.afu.se/Downloads/Transcripts/0%20-%20Government/USA%20-%20NASA%20Johnson/"/>
    <hyperlink ref="C2562" r:id="rId2563" display="https://youtu.be/SMJ8wb4-uz8"/>
    <hyperlink ref="F2562" r:id="rId2" display="https://files.afu.se/Downloads/Transcripts/0%20-%20Government/USA%20-%20NASA%20Johnson/"/>
    <hyperlink ref="C2563" r:id="rId2564" display="https://youtu.be/rbnipg_DsJk"/>
    <hyperlink ref="F2563" r:id="rId2" display="https://files.afu.se/Downloads/Transcripts/0%20-%20Government/USA%20-%20NASA%20Johnson/"/>
    <hyperlink ref="C2564" r:id="rId2565" display="https://youtu.be/mRkI2vorhD8"/>
    <hyperlink ref="F2564" r:id="rId2" display="https://files.afu.se/Downloads/Transcripts/0%20-%20Government/USA%20-%20NASA%20Johnson/"/>
    <hyperlink ref="C2565" r:id="rId2566" display="https://youtu.be/jbZ7lDlVeIo"/>
    <hyperlink ref="F2565" r:id="rId2" display="https://files.afu.se/Downloads/Transcripts/0%20-%20Government/USA%20-%20NASA%20Johnson/"/>
    <hyperlink ref="C2566" r:id="rId2567" display="https://youtu.be/IJT0FMN_Ua0"/>
    <hyperlink ref="F2566" r:id="rId2" display="https://files.afu.se/Downloads/Transcripts/0%20-%20Government/USA%20-%20NASA%20Johnson/"/>
    <hyperlink ref="C2567" r:id="rId2568" display="https://youtu.be/ntYP7cRozhk"/>
    <hyperlink ref="F2567" r:id="rId2" display="https://files.afu.se/Downloads/Transcripts/0%20-%20Government/USA%20-%20NASA%20Johnson/"/>
    <hyperlink ref="C2568" r:id="rId2569" display="https://youtu.be/tBVUTFPate0"/>
    <hyperlink ref="F2568" r:id="rId2" display="https://files.afu.se/Downloads/Transcripts/0%20-%20Government/USA%20-%20NASA%20Johnson/"/>
    <hyperlink ref="C2569" r:id="rId2570" display="https://youtu.be/ofTSZR3dC4g"/>
    <hyperlink ref="F2569" r:id="rId2" display="https://files.afu.se/Downloads/Transcripts/0%20-%20Government/USA%20-%20NASA%20Johnson/"/>
    <hyperlink ref="C2570" r:id="rId2571" display="https://youtu.be/K758hr-hxGw"/>
    <hyperlink ref="F2570" r:id="rId2" display="https://files.afu.se/Downloads/Transcripts/0%20-%20Government/USA%20-%20NASA%20Johnson/"/>
    <hyperlink ref="C2571" r:id="rId2572" display="https://youtu.be/xZCpL50SyIE"/>
    <hyperlink ref="F2571" r:id="rId2" display="https://files.afu.se/Downloads/Transcripts/0%20-%20Government/USA%20-%20NASA%20Johnson/"/>
    <hyperlink ref="C2572" r:id="rId2573" display="https://youtu.be/aY84PEAZETE"/>
    <hyperlink ref="F2572" r:id="rId2" display="https://files.afu.se/Downloads/Transcripts/0%20-%20Government/USA%20-%20NASA%20Johnson/"/>
    <hyperlink ref="C2573" r:id="rId2574" display="https://youtu.be/TVFy0OTPsuQ"/>
    <hyperlink ref="F2573" r:id="rId2" display="https://files.afu.se/Downloads/Transcripts/0%20-%20Government/USA%20-%20NASA%20Johnson/"/>
    <hyperlink ref="C2574" r:id="rId2575" display="https://youtu.be/15hN0cmoaYU"/>
    <hyperlink ref="F2574" r:id="rId2" display="https://files.afu.se/Downloads/Transcripts/0%20-%20Government/USA%20-%20NASA%20Johnson/"/>
    <hyperlink ref="C2575" r:id="rId2576" display="https://youtu.be/d777X1E1ga8"/>
    <hyperlink ref="F2575" r:id="rId2" display="https://files.afu.se/Downloads/Transcripts/0%20-%20Government/USA%20-%20NASA%20Johnson/"/>
    <hyperlink ref="C2576" r:id="rId2577" display="https://youtu.be/esbzReqv4ts"/>
    <hyperlink ref="F2576" r:id="rId2" display="https://files.afu.se/Downloads/Transcripts/0%20-%20Government/USA%20-%20NASA%20Johnson/"/>
    <hyperlink ref="C2577" r:id="rId2578" display="https://youtu.be/L2Wx5w9-KnQ"/>
    <hyperlink ref="F2577" r:id="rId2" display="https://files.afu.se/Downloads/Transcripts/0%20-%20Government/USA%20-%20NASA%20Johnson/"/>
    <hyperlink ref="C2578" r:id="rId2579" display="https://youtu.be/HX9l_DtrhIQ"/>
    <hyperlink ref="F2578" r:id="rId2" display="https://files.afu.se/Downloads/Transcripts/0%20-%20Government/USA%20-%20NASA%20Johnson/"/>
    <hyperlink ref="C2579" r:id="rId2580" display="https://youtu.be/CpLvIxrBEx0"/>
    <hyperlink ref="F2579" r:id="rId2" display="https://files.afu.se/Downloads/Transcripts/0%20-%20Government/USA%20-%20NASA%20Johnson/"/>
    <hyperlink ref="C2580" r:id="rId2581" display="https://youtu.be/9J-xkMH558E"/>
    <hyperlink ref="F2580" r:id="rId2" display="https://files.afu.se/Downloads/Transcripts/0%20-%20Government/USA%20-%20NASA%20Johnson/"/>
    <hyperlink ref="C2581" r:id="rId2582" display="https://youtu.be/z5yxS7Wqd7A"/>
    <hyperlink ref="F2581" r:id="rId2" display="https://files.afu.se/Downloads/Transcripts/0%20-%20Government/USA%20-%20NASA%20Johnson/"/>
    <hyperlink ref="C2582" r:id="rId2583" display="https://youtu.be/KfAluCg8Qb4"/>
    <hyperlink ref="F2582" r:id="rId2" display="https://files.afu.se/Downloads/Transcripts/0%20-%20Government/USA%20-%20NASA%20Johnson/"/>
    <hyperlink ref="C2583" r:id="rId2584" display="https://youtu.be/ECwir9-jhoI"/>
    <hyperlink ref="F2583" r:id="rId2" display="https://files.afu.se/Downloads/Transcripts/0%20-%20Government/USA%20-%20NASA%20Johnson/"/>
    <hyperlink ref="C2584" r:id="rId2585" display="https://youtu.be/mpXcdOQeSHg"/>
    <hyperlink ref="F2584" r:id="rId2" display="https://files.afu.se/Downloads/Transcripts/0%20-%20Government/USA%20-%20NASA%20Johnson/"/>
    <hyperlink ref="C2585" r:id="rId2586" display="https://youtu.be/BHuh4xoCziY"/>
    <hyperlink ref="F2585" r:id="rId2" display="https://files.afu.se/Downloads/Transcripts/0%20-%20Government/USA%20-%20NASA%20Johnson/"/>
    <hyperlink ref="C2586" r:id="rId2587" display="https://youtu.be/EHf9Gy-hVAw"/>
    <hyperlink ref="F2586" r:id="rId2" display="https://files.afu.se/Downloads/Transcripts/0%20-%20Government/USA%20-%20NASA%20Johnson/"/>
    <hyperlink ref="C2587" r:id="rId2588" display="https://youtu.be/BhU2a4RydlQ"/>
    <hyperlink ref="F2587" r:id="rId2" display="https://files.afu.se/Downloads/Transcripts/0%20-%20Government/USA%20-%20NASA%20Johnson/"/>
    <hyperlink ref="C2588" r:id="rId2589" display="https://youtu.be/nP2M7HtnAKk"/>
    <hyperlink ref="F2588" r:id="rId2" display="https://files.afu.se/Downloads/Transcripts/0%20-%20Government/USA%20-%20NASA%20Johnson/"/>
    <hyperlink ref="C2589" r:id="rId2590" display="https://youtu.be/Gi9JaLp0iSc"/>
    <hyperlink ref="F2589" r:id="rId2" display="https://files.afu.se/Downloads/Transcripts/0%20-%20Government/USA%20-%20NASA%20Johnson/"/>
    <hyperlink ref="C2590" r:id="rId2591" display="https://youtu.be/mCd1wFp-1Sk"/>
    <hyperlink ref="F2590" r:id="rId2" display="https://files.afu.se/Downloads/Transcripts/0%20-%20Government/USA%20-%20NASA%20Johnson/"/>
    <hyperlink ref="C2591" r:id="rId2592" display="https://youtu.be/s5WslVtLo1U"/>
    <hyperlink ref="F2591" r:id="rId2" display="https://files.afu.se/Downloads/Transcripts/0%20-%20Government/USA%20-%20NASA%20Johnson/"/>
    <hyperlink ref="C2592" r:id="rId2593" display="https://youtu.be/IUS-WCbnULQ"/>
    <hyperlink ref="F2592" r:id="rId2" display="https://files.afu.se/Downloads/Transcripts/0%20-%20Government/USA%20-%20NASA%20Johnson/"/>
    <hyperlink ref="C2593" r:id="rId2594" display="https://youtu.be/BqrfsdGENgA"/>
    <hyperlink ref="F2593" r:id="rId2" display="https://files.afu.se/Downloads/Transcripts/0%20-%20Government/USA%20-%20NASA%20Johnson/"/>
    <hyperlink ref="C2594" r:id="rId2595" display="https://youtu.be/Atxa1LKyZAc"/>
    <hyperlink ref="F2594" r:id="rId2" display="https://files.afu.se/Downloads/Transcripts/0%20-%20Government/USA%20-%20NASA%20Johnson/"/>
    <hyperlink ref="C2595" r:id="rId2596" display="https://youtu.be/aLYn0vAwRVs"/>
    <hyperlink ref="F2595" r:id="rId2" display="https://files.afu.se/Downloads/Transcripts/0%20-%20Government/USA%20-%20NASA%20Johnson/"/>
    <hyperlink ref="C2596" r:id="rId2597" display="https://youtu.be/b8OTeh80Er0"/>
    <hyperlink ref="F2596" r:id="rId2" display="https://files.afu.se/Downloads/Transcripts/0%20-%20Government/USA%20-%20NASA%20Johnson/"/>
    <hyperlink ref="C2597" r:id="rId2598" display="https://youtu.be/surnSwajScc"/>
    <hyperlink ref="F2597" r:id="rId2" display="https://files.afu.se/Downloads/Transcripts/0%20-%20Government/USA%20-%20NASA%20Johnson/"/>
    <hyperlink ref="C2598" r:id="rId2599" display="https://youtu.be/h5EckrNyGFk"/>
    <hyperlink ref="F2598" r:id="rId2" display="https://files.afu.se/Downloads/Transcripts/0%20-%20Government/USA%20-%20NASA%20Johnson/"/>
    <hyperlink ref="C2599" r:id="rId2600" display="https://youtu.be/FRyHrvkhkJo"/>
    <hyperlink ref="F2599" r:id="rId2" display="https://files.afu.se/Downloads/Transcripts/0%20-%20Government/USA%20-%20NASA%20Johnson/"/>
    <hyperlink ref="C2600" r:id="rId2601" display="https://youtu.be/pczVqGr-A3Y"/>
    <hyperlink ref="F2600" r:id="rId2" display="https://files.afu.se/Downloads/Transcripts/0%20-%20Government/USA%20-%20NASA%20Johnson/"/>
    <hyperlink ref="C2601" r:id="rId2602" display="https://youtu.be/uDWYr1q51x4"/>
    <hyperlink ref="F2601" r:id="rId2" display="https://files.afu.se/Downloads/Transcripts/0%20-%20Government/USA%20-%20NASA%20Johnson/"/>
    <hyperlink ref="C2602" r:id="rId2603" display="https://youtu.be/R46sj822Xvo"/>
    <hyperlink ref="F2602" r:id="rId2" display="https://files.afu.se/Downloads/Transcripts/0%20-%20Government/USA%20-%20NASA%20Johnson/"/>
    <hyperlink ref="C2603" r:id="rId2604" display="https://youtu.be/uk-a4LeUEZc"/>
    <hyperlink ref="F2603" r:id="rId2" display="https://files.afu.se/Downloads/Transcripts/0%20-%20Government/USA%20-%20NASA%20Johnson/"/>
    <hyperlink ref="C2604" r:id="rId2605" display="https://youtu.be/3g934mXdK8c"/>
    <hyperlink ref="F2604" r:id="rId2" display="https://files.afu.se/Downloads/Transcripts/0%20-%20Government/USA%20-%20NASA%20Johnson/"/>
    <hyperlink ref="C2605" r:id="rId2606" display="https://youtu.be/Z_h6kCG3-zk"/>
    <hyperlink ref="F2605" r:id="rId2" display="https://files.afu.se/Downloads/Transcripts/0%20-%20Government/USA%20-%20NASA%20Johnson/"/>
    <hyperlink ref="C2606" r:id="rId2607" display="https://youtu.be/QT-fyF-aSkI"/>
    <hyperlink ref="F2606" r:id="rId2" display="https://files.afu.se/Downloads/Transcripts/0%20-%20Government/USA%20-%20NASA%20Johnson/"/>
    <hyperlink ref="C2607" r:id="rId2608" display="https://youtu.be/Rmpcr8cWdKk"/>
    <hyperlink ref="F2607" r:id="rId2" display="https://files.afu.se/Downloads/Transcripts/0%20-%20Government/USA%20-%20NASA%20Johnson/"/>
    <hyperlink ref="C2608" r:id="rId2609" display="https://youtu.be/bNiM2oLLAqI"/>
    <hyperlink ref="F2608" r:id="rId2" display="https://files.afu.se/Downloads/Transcripts/0%20-%20Government/USA%20-%20NASA%20Johnson/"/>
    <hyperlink ref="C2609" r:id="rId2610" display="https://youtu.be/FxAR1cZprZc"/>
    <hyperlink ref="F2609" r:id="rId2" display="https://files.afu.se/Downloads/Transcripts/0%20-%20Government/USA%20-%20NASA%20Johnson/"/>
    <hyperlink ref="C2610" r:id="rId2611" display="https://youtu.be/-o7KoAVHvqs"/>
    <hyperlink ref="F2610" r:id="rId2" display="https://files.afu.se/Downloads/Transcripts/0%20-%20Government/USA%20-%20NASA%20Johnson/"/>
    <hyperlink ref="C2611" r:id="rId2612" display="https://youtu.be/WacisRqYiCM"/>
    <hyperlink ref="F2611" r:id="rId2" display="https://files.afu.se/Downloads/Transcripts/0%20-%20Government/USA%20-%20NASA%20Johnson/"/>
    <hyperlink ref="C2612" r:id="rId2613" display="https://youtu.be/hsT_U3B5DHg"/>
    <hyperlink ref="F2612" r:id="rId2" display="https://files.afu.se/Downloads/Transcripts/0%20-%20Government/USA%20-%20NASA%20Johnson/"/>
    <hyperlink ref="C2613" r:id="rId2614" display="https://youtu.be/eHIpTCbmk8A"/>
    <hyperlink ref="F2613" r:id="rId2" display="https://files.afu.se/Downloads/Transcripts/0%20-%20Government/USA%20-%20NASA%20Johnson/"/>
    <hyperlink ref="C2614" r:id="rId2615" display="https://youtu.be/k9CWIh81Umo"/>
    <hyperlink ref="F2614" r:id="rId2" display="https://files.afu.se/Downloads/Transcripts/0%20-%20Government/USA%20-%20NASA%20Johnson/"/>
    <hyperlink ref="C2615" r:id="rId2616" display="https://youtu.be/fx05H-wPizE"/>
    <hyperlink ref="F2615" r:id="rId2" display="https://files.afu.se/Downloads/Transcripts/0%20-%20Government/USA%20-%20NASA%20Johnson/"/>
    <hyperlink ref="C2616" r:id="rId2617" display="https://youtu.be/FKBmO4Qsrv4"/>
    <hyperlink ref="F2616" r:id="rId2" display="https://files.afu.se/Downloads/Transcripts/0%20-%20Government/USA%20-%20NASA%20Johnson/"/>
    <hyperlink ref="C2617" r:id="rId2618" display="https://youtu.be/Hi-fBxxBmek"/>
    <hyperlink ref="F2617" r:id="rId2" display="https://files.afu.se/Downloads/Transcripts/0%20-%20Government/USA%20-%20NASA%20Johnson/"/>
    <hyperlink ref="C2618" r:id="rId2619" display="https://youtu.be/lGvxVKr04VY"/>
    <hyperlink ref="F2618" r:id="rId2" display="https://files.afu.se/Downloads/Transcripts/0%20-%20Government/USA%20-%20NASA%20Johnson/"/>
    <hyperlink ref="C2619" r:id="rId2620" display="https://youtu.be/im-XGJB2ygw"/>
    <hyperlink ref="F2619" r:id="rId2" display="https://files.afu.se/Downloads/Transcripts/0%20-%20Government/USA%20-%20NASA%20Johnson/"/>
    <hyperlink ref="C2620" r:id="rId2621" display="https://youtu.be/9vZCz_90n3g"/>
    <hyperlink ref="F2620" r:id="rId2" display="https://files.afu.se/Downloads/Transcripts/0%20-%20Government/USA%20-%20NASA%20Johnson/"/>
    <hyperlink ref="C2621" r:id="rId2622" display="https://youtu.be/IWWtvzaKRXw"/>
    <hyperlink ref="F2621" r:id="rId2" display="https://files.afu.se/Downloads/Transcripts/0%20-%20Government/USA%20-%20NASA%20Johnson/"/>
    <hyperlink ref="C2622" r:id="rId2623" display="https://youtu.be/kI21JD_x-cA"/>
    <hyperlink ref="F2622" r:id="rId2" display="https://files.afu.se/Downloads/Transcripts/0%20-%20Government/USA%20-%20NASA%20Johnson/"/>
    <hyperlink ref="C2623" r:id="rId2624" display="https://youtu.be/fyLNkzc79Z8"/>
    <hyperlink ref="F2623" r:id="rId2" display="https://files.afu.se/Downloads/Transcripts/0%20-%20Government/USA%20-%20NASA%20Johnson/"/>
    <hyperlink ref="C2624" r:id="rId2625" display="https://youtu.be/7FdYeNIzJr0"/>
    <hyperlink ref="F2624" r:id="rId2" display="https://files.afu.se/Downloads/Transcripts/0%20-%20Government/USA%20-%20NASA%20Johnson/"/>
    <hyperlink ref="C2625" r:id="rId2626" display="https://youtu.be/h8n0_w5CnTw"/>
    <hyperlink ref="F2625" r:id="rId2" display="https://files.afu.se/Downloads/Transcripts/0%20-%20Government/USA%20-%20NASA%20Johnson/"/>
    <hyperlink ref="C2626" r:id="rId2627" display="https://youtu.be/1CO5sgMxbGI"/>
    <hyperlink ref="F2626" r:id="rId2" display="https://files.afu.se/Downloads/Transcripts/0%20-%20Government/USA%20-%20NASA%20Johnson/"/>
    <hyperlink ref="C2627" r:id="rId2628" display="https://youtu.be/hYtOWxu4UFo"/>
    <hyperlink ref="F2627" r:id="rId2" display="https://files.afu.se/Downloads/Transcripts/0%20-%20Government/USA%20-%20NASA%20Johnson/"/>
    <hyperlink ref="C2628" r:id="rId2629" display="https://youtu.be/3WdXNaYszys"/>
    <hyperlink ref="F2628" r:id="rId2" display="https://files.afu.se/Downloads/Transcripts/0%20-%20Government/USA%20-%20NASA%20Johnson/"/>
    <hyperlink ref="C2629" r:id="rId2630" display="https://youtu.be/hIDeOJNVzjE"/>
    <hyperlink ref="F2629" r:id="rId2" display="https://files.afu.se/Downloads/Transcripts/0%20-%20Government/USA%20-%20NASA%20Johnson/"/>
    <hyperlink ref="C2630" r:id="rId2631" display="https://youtu.be/LOqI32AhNs4"/>
    <hyperlink ref="F2630" r:id="rId2" display="https://files.afu.se/Downloads/Transcripts/0%20-%20Government/USA%20-%20NASA%20Johnson/"/>
    <hyperlink ref="C2631" r:id="rId2632" display="https://youtu.be/QNli_cJt6YY"/>
    <hyperlink ref="F2631" r:id="rId2" display="https://files.afu.se/Downloads/Transcripts/0%20-%20Government/USA%20-%20NASA%20Johnson/"/>
    <hyperlink ref="C2632" r:id="rId2633" display="https://youtu.be/rLwW4o5vacs"/>
    <hyperlink ref="F2632" r:id="rId2" display="https://files.afu.se/Downloads/Transcripts/0%20-%20Government/USA%20-%20NASA%20Johnson/"/>
    <hyperlink ref="C2633" r:id="rId2634" display="https://youtu.be/Nq6-OZyV4wE"/>
    <hyperlink ref="F2633" r:id="rId2" display="https://files.afu.se/Downloads/Transcripts/0%20-%20Government/USA%20-%20NASA%20Johnson/"/>
    <hyperlink ref="C2634" r:id="rId2635" display="https://youtu.be/IoNSlxWgnuU"/>
    <hyperlink ref="F2634" r:id="rId2" display="https://files.afu.se/Downloads/Transcripts/0%20-%20Government/USA%20-%20NASA%20Johnson/"/>
    <hyperlink ref="C2635" r:id="rId2636" display="https://youtu.be/ywPn7MMr4Yo"/>
    <hyperlink ref="F2635" r:id="rId2" display="https://files.afu.se/Downloads/Transcripts/0%20-%20Government/USA%20-%20NASA%20Johnson/"/>
    <hyperlink ref="C2636" r:id="rId2637" display="https://youtu.be/Kh9j4cXbWLE"/>
    <hyperlink ref="F2636" r:id="rId2" display="https://files.afu.se/Downloads/Transcripts/0%20-%20Government/USA%20-%20NASA%20Johnson/"/>
    <hyperlink ref="C2637" r:id="rId2638" display="https://youtu.be/9UaHd89lQnk"/>
    <hyperlink ref="F2637" r:id="rId2" display="https://files.afu.se/Downloads/Transcripts/0%20-%20Government/USA%20-%20NASA%20Johnson/"/>
    <hyperlink ref="C2638" r:id="rId2639" display="https://youtu.be/I03AFoafmV4"/>
    <hyperlink ref="F2638" r:id="rId2" display="https://files.afu.se/Downloads/Transcripts/0%20-%20Government/USA%20-%20NASA%20Johnson/"/>
    <hyperlink ref="C2639" r:id="rId2640" display="https://youtu.be/nt3sAAUQk9g"/>
    <hyperlink ref="F2639" r:id="rId2" display="https://files.afu.se/Downloads/Transcripts/0%20-%20Government/USA%20-%20NASA%20Johnson/"/>
    <hyperlink ref="C2640" r:id="rId2641" display="https://youtu.be/P0_6XEx0_kA"/>
    <hyperlink ref="F2640" r:id="rId2" display="https://files.afu.se/Downloads/Transcripts/0%20-%20Government/USA%20-%20NASA%20Johnson/"/>
    <hyperlink ref="C2641" r:id="rId2642" display="https://youtu.be/kYRKf_JBe3k"/>
    <hyperlink ref="F2641" r:id="rId2" display="https://files.afu.se/Downloads/Transcripts/0%20-%20Government/USA%20-%20NASA%20Johnson/"/>
    <hyperlink ref="C2642" r:id="rId2643" display="https://youtu.be/GWh35PwTdOo"/>
    <hyperlink ref="F2642" r:id="rId2" display="https://files.afu.se/Downloads/Transcripts/0%20-%20Government/USA%20-%20NASA%20Johnson/"/>
    <hyperlink ref="C2643" r:id="rId2644" display="https://youtu.be/L4-RL4HwrKE"/>
    <hyperlink ref="F2643" r:id="rId2" display="https://files.afu.se/Downloads/Transcripts/0%20-%20Government/USA%20-%20NASA%20Johnson/"/>
    <hyperlink ref="C2644" r:id="rId2645" display="https://youtu.be/4lABhbdKBVY"/>
    <hyperlink ref="F2644" r:id="rId2" display="https://files.afu.se/Downloads/Transcripts/0%20-%20Government/USA%20-%20NASA%20Johnson/"/>
    <hyperlink ref="C2645" r:id="rId2646" display="https://youtu.be/a6LvSTZEvys"/>
    <hyperlink ref="F2645" r:id="rId2" display="https://files.afu.se/Downloads/Transcripts/0%20-%20Government/USA%20-%20NASA%20Johnson/"/>
    <hyperlink ref="C2646" r:id="rId2647" display="https://youtu.be/yFxecbe8XA8"/>
    <hyperlink ref="F2646" r:id="rId2" display="https://files.afu.se/Downloads/Transcripts/0%20-%20Government/USA%20-%20NASA%20Johnson/"/>
    <hyperlink ref="C2647" r:id="rId2648" display="https://youtu.be/AHaDrVvokNo"/>
    <hyperlink ref="F2647" r:id="rId2" display="https://files.afu.se/Downloads/Transcripts/0%20-%20Government/USA%20-%20NASA%20Johnson/"/>
    <hyperlink ref="C2648" r:id="rId2649" display="https://youtu.be/X_TPpCReclc"/>
    <hyperlink ref="F2648" r:id="rId2" display="https://files.afu.se/Downloads/Transcripts/0%20-%20Government/USA%20-%20NASA%20Johnson/"/>
    <hyperlink ref="C2649" r:id="rId2650" display="https://youtu.be/-tDuwIu_b9g"/>
    <hyperlink ref="F2649" r:id="rId2" display="https://files.afu.se/Downloads/Transcripts/0%20-%20Government/USA%20-%20NASA%20Johnson/"/>
    <hyperlink ref="C2650" r:id="rId2651" display="https://youtu.be/jBSdHCvpl1k"/>
    <hyperlink ref="F2650" r:id="rId2" display="https://files.afu.se/Downloads/Transcripts/0%20-%20Government/USA%20-%20NASA%20Johnson/"/>
    <hyperlink ref="C2651" r:id="rId2652" display="https://youtu.be/gW-gOleCuLQ"/>
    <hyperlink ref="F2651" r:id="rId2" display="https://files.afu.se/Downloads/Transcripts/0%20-%20Government/USA%20-%20NASA%20Johnson/"/>
    <hyperlink ref="C2652" r:id="rId2653" display="https://youtu.be/TB9Q0K-1B8E"/>
    <hyperlink ref="F2652" r:id="rId2" display="https://files.afu.se/Downloads/Transcripts/0%20-%20Government/USA%20-%20NASA%20Johnson/"/>
    <hyperlink ref="C2653" r:id="rId2654" display="https://youtu.be/M2NHU_R8ngk"/>
    <hyperlink ref="F2653" r:id="rId2" display="https://files.afu.se/Downloads/Transcripts/0%20-%20Government/USA%20-%20NASA%20Johnson/"/>
    <hyperlink ref="C2654" r:id="rId2655" display="https://youtu.be/oBegeMCqPtY"/>
    <hyperlink ref="F2654" r:id="rId2" display="https://files.afu.se/Downloads/Transcripts/0%20-%20Government/USA%20-%20NASA%20Johnson/"/>
    <hyperlink ref="C2655" r:id="rId2656" display="https://youtu.be/UrnNS9zCk2g"/>
    <hyperlink ref="F2655" r:id="rId2" display="https://files.afu.se/Downloads/Transcripts/0%20-%20Government/USA%20-%20NASA%20Johnson/"/>
    <hyperlink ref="C2656" r:id="rId2657" display="https://youtu.be/eKrFowKvWao"/>
    <hyperlink ref="F2656" r:id="rId2" display="https://files.afu.se/Downloads/Transcripts/0%20-%20Government/USA%20-%20NASA%20Johnson/"/>
    <hyperlink ref="C2657" r:id="rId2658" display="https://youtu.be/MlvKG5X7ARU"/>
    <hyperlink ref="F2657" r:id="rId2" display="https://files.afu.se/Downloads/Transcripts/0%20-%20Government/USA%20-%20NASA%20Johnson/"/>
    <hyperlink ref="C2658" r:id="rId2659" display="https://youtu.be/4xqPCa-Y6xo"/>
    <hyperlink ref="F2658" r:id="rId2" display="https://files.afu.se/Downloads/Transcripts/0%20-%20Government/USA%20-%20NASA%20Johnson/"/>
    <hyperlink ref="C2659" r:id="rId2660" display="https://youtu.be/PP2-NCe9EmQ"/>
    <hyperlink ref="F2659" r:id="rId2" display="https://files.afu.se/Downloads/Transcripts/0%20-%20Government/USA%20-%20NASA%20Johnson/"/>
    <hyperlink ref="C2660" r:id="rId2661" display="https://youtu.be/0fj-pZauThs"/>
    <hyperlink ref="F2660" r:id="rId2" display="https://files.afu.se/Downloads/Transcripts/0%20-%20Government/USA%20-%20NASA%20Johnson/"/>
    <hyperlink ref="C2661" r:id="rId2662" display="https://youtu.be/_7pxJs5Td2s"/>
    <hyperlink ref="F2661" r:id="rId2" display="https://files.afu.se/Downloads/Transcripts/0%20-%20Government/USA%20-%20NASA%20Johnson/"/>
    <hyperlink ref="C2662" r:id="rId2663" display="https://youtu.be/Ov_FPngIn64"/>
    <hyperlink ref="F2662" r:id="rId2" display="https://files.afu.se/Downloads/Transcripts/0%20-%20Government/USA%20-%20NASA%20Johnson/"/>
    <hyperlink ref="C2663" r:id="rId2664" display="https://youtu.be/d37yEa-L2eM"/>
    <hyperlink ref="F2663" r:id="rId2" display="https://files.afu.se/Downloads/Transcripts/0%20-%20Government/USA%20-%20NASA%20Johnson/"/>
    <hyperlink ref="C2664" r:id="rId2665" display="https://youtu.be/khivVK2_QCk"/>
    <hyperlink ref="F2664" r:id="rId2" display="https://files.afu.se/Downloads/Transcripts/0%20-%20Government/USA%20-%20NASA%20Johnson/"/>
    <hyperlink ref="C2665" r:id="rId2666" display="https://youtu.be/iYJ7RwxhBCQ"/>
    <hyperlink ref="F2665" r:id="rId2" display="https://files.afu.se/Downloads/Transcripts/0%20-%20Government/USA%20-%20NASA%20Johnson/"/>
    <hyperlink ref="C2666" r:id="rId2667" display="https://youtu.be/VOMiCIU45JA"/>
    <hyperlink ref="F2666" r:id="rId2" display="https://files.afu.se/Downloads/Transcripts/0%20-%20Government/USA%20-%20NASA%20Johnson/"/>
    <hyperlink ref="C2667" r:id="rId2668" display="https://youtu.be/D-l_YrEY2Kk"/>
    <hyperlink ref="F2667" r:id="rId2" display="https://files.afu.se/Downloads/Transcripts/0%20-%20Government/USA%20-%20NASA%20Johnson/"/>
    <hyperlink ref="C2668" r:id="rId2669" display="https://youtu.be/okLa9oIgk0U"/>
    <hyperlink ref="F2668" r:id="rId2" display="https://files.afu.se/Downloads/Transcripts/0%20-%20Government/USA%20-%20NASA%20Johnson/"/>
    <hyperlink ref="C2669" r:id="rId2670" display="https://youtu.be/53jq03WCpkQ"/>
    <hyperlink ref="F2669" r:id="rId2" display="https://files.afu.se/Downloads/Transcripts/0%20-%20Government/USA%20-%20NASA%20Johnson/"/>
    <hyperlink ref="C2670" r:id="rId2671" display="https://youtu.be/jUAAWx28r9I"/>
    <hyperlink ref="F2670" r:id="rId2" display="https://files.afu.se/Downloads/Transcripts/0%20-%20Government/USA%20-%20NASA%20Johnson/"/>
    <hyperlink ref="C2671" r:id="rId2672" display="https://youtu.be/AMXLDfQLENc"/>
    <hyperlink ref="F2671" r:id="rId2" display="https://files.afu.se/Downloads/Transcripts/0%20-%20Government/USA%20-%20NASA%20Johnson/"/>
    <hyperlink ref="C2672" r:id="rId2673" display="https://youtu.be/GTZjdETqvVQ"/>
    <hyperlink ref="F2672" r:id="rId2" display="https://files.afu.se/Downloads/Transcripts/0%20-%20Government/USA%20-%20NASA%20Johnson/"/>
    <hyperlink ref="C2673" r:id="rId2674" display="https://youtu.be/9KQ52MgLloQ"/>
    <hyperlink ref="F2673" r:id="rId2" display="https://files.afu.se/Downloads/Transcripts/0%20-%20Government/USA%20-%20NASA%20Johnson/"/>
    <hyperlink ref="C2674" r:id="rId2675" display="https://youtu.be/EXRiblU54E8"/>
    <hyperlink ref="F2674" r:id="rId2" display="https://files.afu.se/Downloads/Transcripts/0%20-%20Government/USA%20-%20NASA%20Johnson/"/>
    <hyperlink ref="C2675" r:id="rId2676" display="https://youtu.be/SmoNDJObvkw"/>
    <hyperlink ref="F2675" r:id="rId2" display="https://files.afu.se/Downloads/Transcripts/0%20-%20Government/USA%20-%20NASA%20Johnson/"/>
    <hyperlink ref="C2676" r:id="rId2677" display="https://youtu.be/jG5snBinOKQ"/>
    <hyperlink ref="F2676" r:id="rId2" display="https://files.afu.se/Downloads/Transcripts/0%20-%20Government/USA%20-%20NASA%20Johnson/"/>
    <hyperlink ref="C2677" r:id="rId2678" display="https://youtu.be/B9M_bT4PeAk"/>
    <hyperlink ref="F2677" r:id="rId2" display="https://files.afu.se/Downloads/Transcripts/0%20-%20Government/USA%20-%20NASA%20Johnson/"/>
    <hyperlink ref="C2678" r:id="rId2679" display="https://youtu.be/L6DhsHP3IDM"/>
    <hyperlink ref="F2678" r:id="rId2" display="https://files.afu.se/Downloads/Transcripts/0%20-%20Government/USA%20-%20NASA%20Johnson/"/>
    <hyperlink ref="C2679" r:id="rId2680" display="https://youtu.be/L91zu1IF1Vk"/>
    <hyperlink ref="F2679" r:id="rId2" display="https://files.afu.se/Downloads/Transcripts/0%20-%20Government/USA%20-%20NASA%20Johnson/"/>
    <hyperlink ref="C2680" r:id="rId2681" display="https://youtu.be/qRPdhgeke7g"/>
    <hyperlink ref="F2680" r:id="rId2" display="https://files.afu.se/Downloads/Transcripts/0%20-%20Government/USA%20-%20NASA%20Johnson/"/>
    <hyperlink ref="C2681" r:id="rId2682" display="https://youtu.be/7miMbf3DGtA"/>
    <hyperlink ref="F2681" r:id="rId2" display="https://files.afu.se/Downloads/Transcripts/0%20-%20Government/USA%20-%20NASA%20Johnson/"/>
    <hyperlink ref="C2682" r:id="rId2683" display="https://youtu.be/pxu3zm4qiC4"/>
    <hyperlink ref="F2682" r:id="rId2" display="https://files.afu.se/Downloads/Transcripts/0%20-%20Government/USA%20-%20NASA%20Johnson/"/>
    <hyperlink ref="C2683" r:id="rId2684" display="https://youtu.be/l7rLv9C6cfg"/>
    <hyperlink ref="F2683" r:id="rId2" display="https://files.afu.se/Downloads/Transcripts/0%20-%20Government/USA%20-%20NASA%20Johnson/"/>
    <hyperlink ref="C2684" r:id="rId2685" display="https://youtu.be/OIq7Rt7BI38"/>
    <hyperlink ref="F2684" r:id="rId2" display="https://files.afu.se/Downloads/Transcripts/0%20-%20Government/USA%20-%20NASA%20Johnson/"/>
    <hyperlink ref="C2685" r:id="rId2686" display="https://youtu.be/1q7ykN5O_fM"/>
    <hyperlink ref="F2685" r:id="rId2" display="https://files.afu.se/Downloads/Transcripts/0%20-%20Government/USA%20-%20NASA%20Johnson/"/>
    <hyperlink ref="C2686" r:id="rId2687" display="https://youtu.be/Zb2_Rm57L_A"/>
    <hyperlink ref="F2686" r:id="rId2" display="https://files.afu.se/Downloads/Transcripts/0%20-%20Government/USA%20-%20NASA%20Johnson/"/>
    <hyperlink ref="C2687" r:id="rId2688" display="https://youtu.be/85rsymSLSE4"/>
    <hyperlink ref="F2687" r:id="rId2" display="https://files.afu.se/Downloads/Transcripts/0%20-%20Government/USA%20-%20NASA%20Johnson/"/>
    <hyperlink ref="C2688" r:id="rId2689" display="https://youtu.be/zQbE_JvX384"/>
    <hyperlink ref="F2688" r:id="rId2" display="https://files.afu.se/Downloads/Transcripts/0%20-%20Government/USA%20-%20NASA%20Johnson/"/>
    <hyperlink ref="C2689" r:id="rId2690" display="https://youtu.be/4-fUFVeS_Hs"/>
    <hyperlink ref="F2689" r:id="rId2" display="https://files.afu.se/Downloads/Transcripts/0%20-%20Government/USA%20-%20NASA%20Johnson/"/>
    <hyperlink ref="C2690" r:id="rId2691" display="https://youtu.be/QOPhB5xQprc"/>
    <hyperlink ref="F2690" r:id="rId2" display="https://files.afu.se/Downloads/Transcripts/0%20-%20Government/USA%20-%20NASA%20Johnson/"/>
    <hyperlink ref="C2691" r:id="rId2692" display="https://youtu.be/R1pvZQSLynI"/>
    <hyperlink ref="F2691" r:id="rId2" display="https://files.afu.se/Downloads/Transcripts/0%20-%20Government/USA%20-%20NASA%20Johnson/"/>
    <hyperlink ref="C2692" r:id="rId2693" display="https://youtu.be/g7eHeU-_a0U"/>
    <hyperlink ref="F2692" r:id="rId2" display="https://files.afu.se/Downloads/Transcripts/0%20-%20Government/USA%20-%20NASA%20Johnson/"/>
    <hyperlink ref="C2693" r:id="rId2694" display="https://youtu.be/y8tb5g6NQ2Q"/>
    <hyperlink ref="F2693" r:id="rId2" display="https://files.afu.se/Downloads/Transcripts/0%20-%20Government/USA%20-%20NASA%20Johnson/"/>
    <hyperlink ref="C2694" r:id="rId2695" display="https://youtu.be/mCjKxuGKpRI"/>
    <hyperlink ref="F2694" r:id="rId2" display="https://files.afu.se/Downloads/Transcripts/0%20-%20Government/USA%20-%20NASA%20Johnson/"/>
    <hyperlink ref="C2695" r:id="rId2696" display="https://youtu.be/WpWxH4_IF7E"/>
    <hyperlink ref="F2695" r:id="rId2" display="https://files.afu.se/Downloads/Transcripts/0%20-%20Government/USA%20-%20NASA%20Johnson/"/>
    <hyperlink ref="C2696" r:id="rId2697" display="https://youtu.be/hVbs4X-7Gg0"/>
    <hyperlink ref="F2696" r:id="rId2" display="https://files.afu.se/Downloads/Transcripts/0%20-%20Government/USA%20-%20NASA%20Johnson/"/>
    <hyperlink ref="C2697" r:id="rId2698" display="https://youtu.be/DHGsIxpqS0M"/>
    <hyperlink ref="F2697" r:id="rId2" display="https://files.afu.se/Downloads/Transcripts/0%20-%20Government/USA%20-%20NASA%20Johnson/"/>
    <hyperlink ref="C2698" r:id="rId2699" display="https://youtu.be/SXzum814CZA"/>
    <hyperlink ref="F2698" r:id="rId2" display="https://files.afu.se/Downloads/Transcripts/0%20-%20Government/USA%20-%20NASA%20Johnson/"/>
    <hyperlink ref="C2699" r:id="rId2700" display="https://youtu.be/ng28PbQPHAw"/>
    <hyperlink ref="F2699" r:id="rId2" display="https://files.afu.se/Downloads/Transcripts/0%20-%20Government/USA%20-%20NASA%20Johnson/"/>
    <hyperlink ref="C2700" r:id="rId2701" display="https://youtu.be/l3ycSKfENcE"/>
    <hyperlink ref="F2700" r:id="rId2" display="https://files.afu.se/Downloads/Transcripts/0%20-%20Government/USA%20-%20NASA%20Johnson/"/>
    <hyperlink ref="C2701" r:id="rId2702" display="https://youtu.be/kFS8G3kPbcs"/>
    <hyperlink ref="F2701" r:id="rId2" display="https://files.afu.se/Downloads/Transcripts/0%20-%20Government/USA%20-%20NASA%20Johnson/"/>
    <hyperlink ref="C2702" r:id="rId2703" display="https://youtu.be/VoLf3lgCU_Q"/>
    <hyperlink ref="F2702" r:id="rId2" display="https://files.afu.se/Downloads/Transcripts/0%20-%20Government/USA%20-%20NASA%20Johnson/"/>
    <hyperlink ref="C2703" r:id="rId2704" display="https://youtu.be/Ibdz9Zdjy5c"/>
    <hyperlink ref="F2703" r:id="rId2" display="https://files.afu.se/Downloads/Transcripts/0%20-%20Government/USA%20-%20NASA%20Johnson/"/>
    <hyperlink ref="C2704" r:id="rId2705" display="https://youtu.be/HKZ4PzIZFKs"/>
    <hyperlink ref="F2704" r:id="rId2" display="https://files.afu.se/Downloads/Transcripts/0%20-%20Government/USA%20-%20NASA%20Johnson/"/>
    <hyperlink ref="C2705" r:id="rId2706" display="https://youtu.be/WVCTaxWIoRU"/>
    <hyperlink ref="F2705" r:id="rId2" display="https://files.afu.se/Downloads/Transcripts/0%20-%20Government/USA%20-%20NASA%20Johnson/"/>
    <hyperlink ref="C2706" r:id="rId2707" display="https://youtu.be/r7UfMq-b0Uo"/>
    <hyperlink ref="F2706" r:id="rId2" display="https://files.afu.se/Downloads/Transcripts/0%20-%20Government/USA%20-%20NASA%20Johnson/"/>
    <hyperlink ref="C2707" r:id="rId2708" display="https://youtu.be/Iu-WBaso8xI"/>
    <hyperlink ref="F2707" r:id="rId2" display="https://files.afu.se/Downloads/Transcripts/0%20-%20Government/USA%20-%20NASA%20Johnson/"/>
    <hyperlink ref="C2708" r:id="rId2709" display="https://youtu.be/Ooo9ezYVePc"/>
    <hyperlink ref="F2708" r:id="rId2" display="https://files.afu.se/Downloads/Transcripts/0%20-%20Government/USA%20-%20NASA%20Johnson/"/>
    <hyperlink ref="C2709" r:id="rId2710" display="https://youtu.be/Dm2PK3wJVaI"/>
    <hyperlink ref="F2709" r:id="rId2" display="https://files.afu.se/Downloads/Transcripts/0%20-%20Government/USA%20-%20NASA%20Johnson/"/>
    <hyperlink ref="C2710" r:id="rId2711" display="https://youtu.be/aRKxoB1EFLE"/>
    <hyperlink ref="F2710" r:id="rId2" display="https://files.afu.se/Downloads/Transcripts/0%20-%20Government/USA%20-%20NASA%20Johnson/"/>
    <hyperlink ref="C2711" r:id="rId2712" display="https://youtu.be/SAkh3EaZ9-E"/>
    <hyperlink ref="F2711" r:id="rId2" display="https://files.afu.se/Downloads/Transcripts/0%20-%20Government/USA%20-%20NASA%20Johnson/"/>
    <hyperlink ref="C2712" r:id="rId2713" display="https://youtu.be/ZurKkfSCJJE"/>
    <hyperlink ref="F2712" r:id="rId2" display="https://files.afu.se/Downloads/Transcripts/0%20-%20Government/USA%20-%20NASA%20Johnson/"/>
    <hyperlink ref="C2713" r:id="rId2714" display="https://youtu.be/n0mWwqB3rEw"/>
    <hyperlink ref="F2713" r:id="rId2" display="https://files.afu.se/Downloads/Transcripts/0%20-%20Government/USA%20-%20NASA%20Johnson/"/>
    <hyperlink ref="C2714" r:id="rId2715" display="https://youtu.be/QlN71PH8q3w"/>
    <hyperlink ref="F2714" r:id="rId2" display="https://files.afu.se/Downloads/Transcripts/0%20-%20Government/USA%20-%20NASA%20Johnson/"/>
    <hyperlink ref="C2715" r:id="rId2716" display="https://youtu.be/YHvLIl-FV98"/>
    <hyperlink ref="F2715" r:id="rId2" display="https://files.afu.se/Downloads/Transcripts/0%20-%20Government/USA%20-%20NASA%20Johnson/"/>
    <hyperlink ref="C2716" r:id="rId2717" display="https://youtu.be/SIILhXOQAvM"/>
    <hyperlink ref="F2716" r:id="rId2" display="https://files.afu.se/Downloads/Transcripts/0%20-%20Government/USA%20-%20NASA%20Johnson/"/>
    <hyperlink ref="C2717" r:id="rId2718" display="https://youtu.be/W1gzqLUQGrc"/>
    <hyperlink ref="F2717" r:id="rId2" display="https://files.afu.se/Downloads/Transcripts/0%20-%20Government/USA%20-%20NASA%20Johnson/"/>
    <hyperlink ref="C2718" r:id="rId2719" display="https://youtu.be/pVdE5v2w8Pk"/>
    <hyperlink ref="F2718" r:id="rId2" display="https://files.afu.se/Downloads/Transcripts/0%20-%20Government/USA%20-%20NASA%20Johnson/"/>
    <hyperlink ref="C2719" r:id="rId2720" display="https://youtu.be/eXwR0iXC0YU"/>
    <hyperlink ref="F2719" r:id="rId2" display="https://files.afu.se/Downloads/Transcripts/0%20-%20Government/USA%20-%20NASA%20Johnson/"/>
    <hyperlink ref="C2720" r:id="rId2721" display="https://youtu.be/Bh-ZoDUXY48"/>
    <hyperlink ref="F2720" r:id="rId2" display="https://files.afu.se/Downloads/Transcripts/0%20-%20Government/USA%20-%20NASA%20Johnson/"/>
    <hyperlink ref="C2721" r:id="rId2722" display="https://youtu.be/U-r3HLYvCsQ"/>
    <hyperlink ref="F2721" r:id="rId2" display="https://files.afu.se/Downloads/Transcripts/0%20-%20Government/USA%20-%20NASA%20Johnson/"/>
    <hyperlink ref="C2722" r:id="rId2723" display="https://youtu.be/WSY4W93XVC8"/>
    <hyperlink ref="F2722" r:id="rId2" display="https://files.afu.se/Downloads/Transcripts/0%20-%20Government/USA%20-%20NASA%20Johnson/"/>
    <hyperlink ref="C2723" r:id="rId2724" display="https://youtu.be/xXAy-IjCxrw"/>
    <hyperlink ref="F2723" r:id="rId2" display="https://files.afu.se/Downloads/Transcripts/0%20-%20Government/USA%20-%20NASA%20Johnson/"/>
    <hyperlink ref="C2724" r:id="rId2725" display="https://youtu.be/eA4JXl7OPOw"/>
    <hyperlink ref="F2724" r:id="rId2" display="https://files.afu.se/Downloads/Transcripts/0%20-%20Government/USA%20-%20NASA%20Johnson/"/>
    <hyperlink ref="C2725" r:id="rId2726" display="https://youtu.be/G95UmbKKKf8"/>
    <hyperlink ref="F2725" r:id="rId2" display="https://files.afu.se/Downloads/Transcripts/0%20-%20Government/USA%20-%20NASA%20Johnson/"/>
    <hyperlink ref="C2726" r:id="rId2727" display="https://youtu.be/e6Faq1AmISI"/>
    <hyperlink ref="F2726" r:id="rId2" display="https://files.afu.se/Downloads/Transcripts/0%20-%20Government/USA%20-%20NASA%20Johnson/"/>
    <hyperlink ref="C2727" r:id="rId2728" display="https://youtu.be/LmNfJVHEIbw"/>
    <hyperlink ref="F2727" r:id="rId2" display="https://files.afu.se/Downloads/Transcripts/0%20-%20Government/USA%20-%20NASA%20Johnson/"/>
    <hyperlink ref="C2728" r:id="rId2729" display="https://youtu.be/zQJ_TMdi2xM"/>
    <hyperlink ref="F2728" r:id="rId2" display="https://files.afu.se/Downloads/Transcripts/0%20-%20Government/USA%20-%20NASA%20Johnson/"/>
    <hyperlink ref="C2729" r:id="rId2730" display="https://youtu.be/uSpsjodaKw0"/>
    <hyperlink ref="F2729" r:id="rId2" display="https://files.afu.se/Downloads/Transcripts/0%20-%20Government/USA%20-%20NASA%20Johnson/"/>
    <hyperlink ref="C2730" r:id="rId2731" display="https://youtu.be/sCjfDU5GLLg"/>
    <hyperlink ref="F2730" r:id="rId2" display="https://files.afu.se/Downloads/Transcripts/0%20-%20Government/USA%20-%20NASA%20Johnson/"/>
    <hyperlink ref="C2731" r:id="rId2732" display="https://youtu.be/vJXTOnUBTjA"/>
    <hyperlink ref="F2731" r:id="rId2" display="https://files.afu.se/Downloads/Transcripts/0%20-%20Government/USA%20-%20NASA%20Johnson/"/>
    <hyperlink ref="C2732" r:id="rId2733" display="https://youtu.be/T9g1x6HqeRY"/>
    <hyperlink ref="F2732" r:id="rId2" display="https://files.afu.se/Downloads/Transcripts/0%20-%20Government/USA%20-%20NASA%20Johnson/"/>
    <hyperlink ref="C2733" r:id="rId2734" display="https://youtu.be/L2uEOrA28yw"/>
    <hyperlink ref="F2733" r:id="rId2" display="https://files.afu.se/Downloads/Transcripts/0%20-%20Government/USA%20-%20NASA%20Johnson/"/>
    <hyperlink ref="C2734" r:id="rId2735" display="https://youtu.be/XREomzrhC2I"/>
    <hyperlink ref="F2734" r:id="rId2" display="https://files.afu.se/Downloads/Transcripts/0%20-%20Government/USA%20-%20NASA%20Johnson/"/>
    <hyperlink ref="C2735" r:id="rId2736" display="https://youtu.be/mUBWQA-Oywc"/>
    <hyperlink ref="F2735" r:id="rId2" display="https://files.afu.se/Downloads/Transcripts/0%20-%20Government/USA%20-%20NASA%20Johnson/"/>
    <hyperlink ref="C2736" r:id="rId2737" display="https://youtu.be/gM_27HhWJTM"/>
    <hyperlink ref="F2736" r:id="rId2" display="https://files.afu.se/Downloads/Transcripts/0%20-%20Government/USA%20-%20NASA%20Johnson/"/>
    <hyperlink ref="C2737" r:id="rId2738" display="https://youtu.be/GPSUHMPcW6U"/>
    <hyperlink ref="F2737" r:id="rId2" display="https://files.afu.se/Downloads/Transcripts/0%20-%20Government/USA%20-%20NASA%20Johnson/"/>
    <hyperlink ref="C2738" r:id="rId2739" display="https://youtu.be/XKZgoSKLU4I"/>
    <hyperlink ref="F2738" r:id="rId2" display="https://files.afu.se/Downloads/Transcripts/0%20-%20Government/USA%20-%20NASA%20Johnson/"/>
    <hyperlink ref="C2739" r:id="rId2740" display="https://youtu.be/fturU0u5KJo"/>
    <hyperlink ref="F2739" r:id="rId2" display="https://files.afu.se/Downloads/Transcripts/0%20-%20Government/USA%20-%20NASA%20Johnson/"/>
    <hyperlink ref="C2740" r:id="rId2741" display="https://youtu.be/ckjF1V3E3wk"/>
    <hyperlink ref="F2740" r:id="rId2" display="https://files.afu.se/Downloads/Transcripts/0%20-%20Government/USA%20-%20NASA%20Johnson/"/>
    <hyperlink ref="C2741" r:id="rId2742" display="https://youtu.be/hV9rQKbnBEc"/>
    <hyperlink ref="F2741" r:id="rId2" display="https://files.afu.se/Downloads/Transcripts/0%20-%20Government/USA%20-%20NASA%20Johnson/"/>
    <hyperlink ref="C2742" r:id="rId2743" display="https://youtu.be/48PVtI3lJGE"/>
    <hyperlink ref="F2742" r:id="rId2" display="https://files.afu.se/Downloads/Transcripts/0%20-%20Government/USA%20-%20NASA%20Johnson/"/>
    <hyperlink ref="C2743" r:id="rId2744" display="https://youtu.be/sG4AMaGiqog"/>
    <hyperlink ref="F2743" r:id="rId2" display="https://files.afu.se/Downloads/Transcripts/0%20-%20Government/USA%20-%20NASA%20Johnson/"/>
    <hyperlink ref="C2744" r:id="rId2745" display="https://youtu.be/aYGN1Y2bfIs"/>
    <hyperlink ref="F2744" r:id="rId2" display="https://files.afu.se/Downloads/Transcripts/0%20-%20Government/USA%20-%20NASA%20Johnson/"/>
    <hyperlink ref="C2745" r:id="rId2746" display="https://youtu.be/l9Ap8vnd2dQ"/>
    <hyperlink ref="F2745" r:id="rId2" display="https://files.afu.se/Downloads/Transcripts/0%20-%20Government/USA%20-%20NASA%20Johnson/"/>
    <hyperlink ref="C2746" r:id="rId2747" display="https://youtu.be/k7XJNGKWF10"/>
    <hyperlink ref="F2746" r:id="rId2" display="https://files.afu.se/Downloads/Transcripts/0%20-%20Government/USA%20-%20NASA%20Johnson/"/>
    <hyperlink ref="C2747" r:id="rId2748" display="https://youtu.be/j4AEXtsJxp4"/>
    <hyperlink ref="F2747" r:id="rId2" display="https://files.afu.se/Downloads/Transcripts/0%20-%20Government/USA%20-%20NASA%20Johnson/"/>
    <hyperlink ref="C2748" r:id="rId2749" display="https://youtu.be/DoNJwnDlQQ8"/>
    <hyperlink ref="F2748" r:id="rId2" display="https://files.afu.se/Downloads/Transcripts/0%20-%20Government/USA%20-%20NASA%20Johnson/"/>
    <hyperlink ref="C2749" r:id="rId2750" display="https://youtu.be/66qSNb481rM"/>
    <hyperlink ref="F2749" r:id="rId2" display="https://files.afu.se/Downloads/Transcripts/0%20-%20Government/USA%20-%20NASA%20Johnson/"/>
    <hyperlink ref="C2750" r:id="rId2751" display="https://youtu.be/JvQp2TVsM74"/>
    <hyperlink ref="F2750" r:id="rId2" display="https://files.afu.se/Downloads/Transcripts/0%20-%20Government/USA%20-%20NASA%20Johnson/"/>
    <hyperlink ref="C2751" r:id="rId2752" display="https://youtu.be/MxMk5q-W92Y"/>
    <hyperlink ref="F2751" r:id="rId2" display="https://files.afu.se/Downloads/Transcripts/0%20-%20Government/USA%20-%20NASA%20Johnson/"/>
    <hyperlink ref="C2752" r:id="rId2753" display="https://youtu.be/P0H2Qhzv5vs"/>
    <hyperlink ref="F2752" r:id="rId2" display="https://files.afu.se/Downloads/Transcripts/0%20-%20Government/USA%20-%20NASA%20Johnson/"/>
    <hyperlink ref="C2753" r:id="rId2754" display="https://youtu.be/VWeucf-BjSU"/>
    <hyperlink ref="F2753" r:id="rId2" display="https://files.afu.se/Downloads/Transcripts/0%20-%20Government/USA%20-%20NASA%20Johnson/"/>
    <hyperlink ref="C2754" r:id="rId2755" display="https://youtu.be/h-IYHJhQolk"/>
    <hyperlink ref="F2754" r:id="rId2" display="https://files.afu.se/Downloads/Transcripts/0%20-%20Government/USA%20-%20NASA%20Johnson/"/>
    <hyperlink ref="C2755" r:id="rId2756" display="https://youtu.be/sLXvw-hIpsQ"/>
    <hyperlink ref="F2755" r:id="rId2" display="https://files.afu.se/Downloads/Transcripts/0%20-%20Government/USA%20-%20NASA%20Johnson/"/>
    <hyperlink ref="C2756" r:id="rId2757" display="https://youtu.be/MZCtSqx_LXk"/>
    <hyperlink ref="F2756" r:id="rId2" display="https://files.afu.se/Downloads/Transcripts/0%20-%20Government/USA%20-%20NASA%20Johnson/"/>
    <hyperlink ref="C2757" r:id="rId2758" display="https://youtu.be/igM-2qegJWo"/>
    <hyperlink ref="F2757" r:id="rId2" display="https://files.afu.se/Downloads/Transcripts/0%20-%20Government/USA%20-%20NASA%20Johnson/"/>
    <hyperlink ref="C2758" r:id="rId2759" display="https://youtu.be/to04NU9eCNg"/>
    <hyperlink ref="F2758" r:id="rId2" display="https://files.afu.se/Downloads/Transcripts/0%20-%20Government/USA%20-%20NASA%20Johnson/"/>
    <hyperlink ref="C2759" r:id="rId2760" display="https://youtu.be/M3g_WPsAeQY"/>
    <hyperlink ref="F2759" r:id="rId2" display="https://files.afu.se/Downloads/Transcripts/0%20-%20Government/USA%20-%20NASA%20Johnson/"/>
    <hyperlink ref="C2760" r:id="rId2761" display="https://youtu.be/v3hiGch1FRM"/>
    <hyperlink ref="F2760" r:id="rId2" display="https://files.afu.se/Downloads/Transcripts/0%20-%20Government/USA%20-%20NASA%20Johnson/"/>
    <hyperlink ref="C2761" r:id="rId2762" display="https://youtu.be/-ttFW4MEjhg"/>
    <hyperlink ref="F2761" r:id="rId2" display="https://files.afu.se/Downloads/Transcripts/0%20-%20Government/USA%20-%20NASA%20Johnson/"/>
    <hyperlink ref="C2762" r:id="rId2763" display="https://youtu.be/XcKq3YjQSXE"/>
    <hyperlink ref="F2762" r:id="rId2" display="https://files.afu.se/Downloads/Transcripts/0%20-%20Government/USA%20-%20NASA%20Johnson/"/>
    <hyperlink ref="C2763" r:id="rId2764" display="https://youtu.be/PSvDg6PRSd8"/>
    <hyperlink ref="F2763" r:id="rId2" display="https://files.afu.se/Downloads/Transcripts/0%20-%20Government/USA%20-%20NASA%20Johnson/"/>
    <hyperlink ref="C2764" r:id="rId2765" display="https://youtu.be/pP8D5M7-enk"/>
    <hyperlink ref="F2764" r:id="rId2" display="https://files.afu.se/Downloads/Transcripts/0%20-%20Government/USA%20-%20NASA%20Johnson/"/>
    <hyperlink ref="C2765" r:id="rId2766" display="https://youtu.be/QDBsq5kWwiA"/>
    <hyperlink ref="F2765" r:id="rId2" display="https://files.afu.se/Downloads/Transcripts/0%20-%20Government/USA%20-%20NASA%20Johnson/"/>
    <hyperlink ref="C2766" r:id="rId2767" display="https://youtu.be/nvLKAFDPaBM"/>
    <hyperlink ref="F2766" r:id="rId2" display="https://files.afu.se/Downloads/Transcripts/0%20-%20Government/USA%20-%20NASA%20Johnson/"/>
    <hyperlink ref="C2767" r:id="rId2768" display="https://youtu.be/o_ynJ8UvC-E"/>
    <hyperlink ref="F2767" r:id="rId2" display="https://files.afu.se/Downloads/Transcripts/0%20-%20Government/USA%20-%20NASA%20Johnson/"/>
    <hyperlink ref="C2768" r:id="rId2769" display="https://youtu.be/ATDATnaDhD4"/>
    <hyperlink ref="F2768" r:id="rId2" display="https://files.afu.se/Downloads/Transcripts/0%20-%20Government/USA%20-%20NASA%20Johnson/"/>
    <hyperlink ref="C2769" r:id="rId2770" display="https://youtu.be/vwmlD9Qsm0k"/>
    <hyperlink ref="F2769" r:id="rId2" display="https://files.afu.se/Downloads/Transcripts/0%20-%20Government/USA%20-%20NASA%20Johnson/"/>
    <hyperlink ref="C2770" r:id="rId2771" display="https://youtu.be/kxUhayaPyKY"/>
    <hyperlink ref="F2770" r:id="rId2" display="https://files.afu.se/Downloads/Transcripts/0%20-%20Government/USA%20-%20NASA%20Johnson/"/>
    <hyperlink ref="C2771" r:id="rId2772" display="https://youtu.be/pUPo_lfiDR4"/>
    <hyperlink ref="F2771" r:id="rId2" display="https://files.afu.se/Downloads/Transcripts/0%20-%20Government/USA%20-%20NASA%20Johnson/"/>
    <hyperlink ref="C2772" r:id="rId2773" display="https://youtu.be/66QFmmkct7k"/>
    <hyperlink ref="F2772" r:id="rId2" display="https://files.afu.se/Downloads/Transcripts/0%20-%20Government/USA%20-%20NASA%20Johnson/"/>
    <hyperlink ref="C2773" r:id="rId2774" display="https://youtu.be/iO9ghFLHts8"/>
    <hyperlink ref="F2773" r:id="rId2" display="https://files.afu.se/Downloads/Transcripts/0%20-%20Government/USA%20-%20NASA%20Johnson/"/>
    <hyperlink ref="C2774" r:id="rId2775" display="https://youtu.be/FRwSH_u0Ll0"/>
    <hyperlink ref="F2774" r:id="rId2" display="https://files.afu.se/Downloads/Transcripts/0%20-%20Government/USA%20-%20NASA%20Johnson/"/>
    <hyperlink ref="C2775" r:id="rId2776" display="https://youtu.be/FQS_qy9MIp8"/>
    <hyperlink ref="F2775" r:id="rId2" display="https://files.afu.se/Downloads/Transcripts/0%20-%20Government/USA%20-%20NASA%20Johnson/"/>
    <hyperlink ref="C2776" r:id="rId2777" display="https://youtu.be/_dRV021ogqk"/>
    <hyperlink ref="F2776" r:id="rId2" display="https://files.afu.se/Downloads/Transcripts/0%20-%20Government/USA%20-%20NASA%20Johnson/"/>
    <hyperlink ref="C2777" r:id="rId2778" display="https://youtu.be/WIsydeu7ZTo"/>
    <hyperlink ref="F2777" r:id="rId2" display="https://files.afu.se/Downloads/Transcripts/0%20-%20Government/USA%20-%20NASA%20Johnson/"/>
    <hyperlink ref="C2778" r:id="rId2779" display="https://youtu.be/RWo4heFn83k"/>
    <hyperlink ref="F2778" r:id="rId2" display="https://files.afu.se/Downloads/Transcripts/0%20-%20Government/USA%20-%20NASA%20Johnson/"/>
    <hyperlink ref="C2779" r:id="rId2780" display="https://youtu.be/TlQDUe9l-xU"/>
    <hyperlink ref="F2779" r:id="rId2" display="https://files.afu.se/Downloads/Transcripts/0%20-%20Government/USA%20-%20NASA%20Johnson/"/>
    <hyperlink ref="C2780" r:id="rId2781" display="https://youtu.be/A3Bosj8BFoQ"/>
    <hyperlink ref="F2780" r:id="rId2" display="https://files.afu.se/Downloads/Transcripts/0%20-%20Government/USA%20-%20NASA%20Johnson/"/>
    <hyperlink ref="C2781" r:id="rId2782" display="https://youtu.be/NTkiO3IvWEQ"/>
    <hyperlink ref="F2781" r:id="rId2" display="https://files.afu.se/Downloads/Transcripts/0%20-%20Government/USA%20-%20NASA%20Johnson/"/>
    <hyperlink ref="C2782" r:id="rId2783" display="https://youtu.be/ANbqks1Z-gE"/>
    <hyperlink ref="F2782" r:id="rId2" display="https://files.afu.se/Downloads/Transcripts/0%20-%20Government/USA%20-%20NASA%20Johnson/"/>
    <hyperlink ref="C2783" r:id="rId2784" display="https://youtu.be/t_BGIBYSl0A"/>
    <hyperlink ref="F2783" r:id="rId2" display="https://files.afu.se/Downloads/Transcripts/0%20-%20Government/USA%20-%20NASA%20Johnson/"/>
    <hyperlink ref="C2784" r:id="rId2785" display="https://youtu.be/WDZ95AU9HcU"/>
    <hyperlink ref="F2784" r:id="rId2" display="https://files.afu.se/Downloads/Transcripts/0%20-%20Government/USA%20-%20NASA%20Johnson/"/>
    <hyperlink ref="C2785" r:id="rId2786" display="https://youtu.be/JvZ1sYs0kuo"/>
    <hyperlink ref="F2785" r:id="rId2" display="https://files.afu.se/Downloads/Transcripts/0%20-%20Government/USA%20-%20NASA%20Johnson/"/>
    <hyperlink ref="C2786" r:id="rId2787" display="https://youtu.be/HyAvYcYSSUg"/>
    <hyperlink ref="F2786" r:id="rId2" display="https://files.afu.se/Downloads/Transcripts/0%20-%20Government/USA%20-%20NASA%20Johnson/"/>
    <hyperlink ref="C2787" r:id="rId2788" display="https://youtu.be/hL0sCT_mt5E"/>
    <hyperlink ref="F2787" r:id="rId2" display="https://files.afu.se/Downloads/Transcripts/0%20-%20Government/USA%20-%20NASA%20Johnson/"/>
    <hyperlink ref="C2788" r:id="rId2789" display="https://youtu.be/-dPYiyRiI4c"/>
    <hyperlink ref="F2788" r:id="rId2" display="https://files.afu.se/Downloads/Transcripts/0%20-%20Government/USA%20-%20NASA%20Johnson/"/>
    <hyperlink ref="C2789" r:id="rId2790" display="https://youtu.be/PwlEzRgnGNI"/>
    <hyperlink ref="F2789" r:id="rId2" display="https://files.afu.se/Downloads/Transcripts/0%20-%20Government/USA%20-%20NASA%20Johnson/"/>
    <hyperlink ref="C2790" r:id="rId2791" display="https://youtu.be/dyxcXxcQb4o"/>
    <hyperlink ref="F2790" r:id="rId2" display="https://files.afu.se/Downloads/Transcripts/0%20-%20Government/USA%20-%20NASA%20Johnson/"/>
    <hyperlink ref="C2791" r:id="rId2792" display="https://youtu.be/yftHSsX6vqQ"/>
    <hyperlink ref="F2791" r:id="rId2" display="https://files.afu.se/Downloads/Transcripts/0%20-%20Government/USA%20-%20NASA%20Johnson/"/>
    <hyperlink ref="C2792" r:id="rId2793" display="https://youtu.be/Kp9XKP-8YfI"/>
    <hyperlink ref="F2792" r:id="rId2" display="https://files.afu.se/Downloads/Transcripts/0%20-%20Government/USA%20-%20NASA%20Johnson/"/>
    <hyperlink ref="C2793" r:id="rId2794" display="https://youtu.be/hZudNSm1oZs"/>
    <hyperlink ref="F2793" r:id="rId2" display="https://files.afu.se/Downloads/Transcripts/0%20-%20Government/USA%20-%20NASA%20Johnson/"/>
    <hyperlink ref="C2794" r:id="rId2795" display="https://youtu.be/s_M_Flv5-IA"/>
    <hyperlink ref="F2794" r:id="rId2" display="https://files.afu.se/Downloads/Transcripts/0%20-%20Government/USA%20-%20NASA%20Johnson/"/>
    <hyperlink ref="C2795" r:id="rId2796" display="https://youtu.be/YP_ZbRY9vIY"/>
    <hyperlink ref="F2795" r:id="rId2" display="https://files.afu.se/Downloads/Transcripts/0%20-%20Government/USA%20-%20NASA%20Johnson/"/>
    <hyperlink ref="C2796" r:id="rId2797" display="https://youtu.be/XCH59iKxU8Q"/>
    <hyperlink ref="F2796" r:id="rId2" display="https://files.afu.se/Downloads/Transcripts/0%20-%20Government/USA%20-%20NASA%20Johnson/"/>
    <hyperlink ref="C2797" r:id="rId2798" display="https://youtu.be/QiWPIf7CuKQ"/>
    <hyperlink ref="F2797" r:id="rId2" display="https://files.afu.se/Downloads/Transcripts/0%20-%20Government/USA%20-%20NASA%20Johnson/"/>
    <hyperlink ref="C2798" r:id="rId2799" display="https://youtu.be/d5lbBIJQKCw"/>
    <hyperlink ref="F2798" r:id="rId2" display="https://files.afu.se/Downloads/Transcripts/0%20-%20Government/USA%20-%20NASA%20Johnson/"/>
    <hyperlink ref="C2799" r:id="rId2800" display="https://youtu.be/J0A7OJ7ZJes"/>
    <hyperlink ref="F2799" r:id="rId2" display="https://files.afu.se/Downloads/Transcripts/0%20-%20Government/USA%20-%20NASA%20Johnson/"/>
    <hyperlink ref="C2800" r:id="rId2801" display="https://youtu.be/uFd9Xw18yfk"/>
    <hyperlink ref="F2800" r:id="rId2" display="https://files.afu.se/Downloads/Transcripts/0%20-%20Government/USA%20-%20NASA%20Johnson/"/>
    <hyperlink ref="C2801" r:id="rId2802" display="https://youtu.be/fMIQSfqlLd4"/>
    <hyperlink ref="F2801" r:id="rId2" display="https://files.afu.se/Downloads/Transcripts/0%20-%20Government/USA%20-%20NASA%20Johnson/"/>
    <hyperlink ref="C2802" r:id="rId2803" display="https://youtu.be/5fOmqFndsg0"/>
    <hyperlink ref="F2802" r:id="rId2" display="https://files.afu.se/Downloads/Transcripts/0%20-%20Government/USA%20-%20NASA%20Johnson/"/>
    <hyperlink ref="C2803" r:id="rId2804" display="https://youtu.be/quHss1puIdc"/>
    <hyperlink ref="F2803" r:id="rId2" display="https://files.afu.se/Downloads/Transcripts/0%20-%20Government/USA%20-%20NASA%20Johnson/"/>
    <hyperlink ref="C2804" r:id="rId2805" display="https://youtu.be/F2k3EOvwAhE"/>
    <hyperlink ref="F2804" r:id="rId2" display="https://files.afu.se/Downloads/Transcripts/0%20-%20Government/USA%20-%20NASA%20Johnson/"/>
    <hyperlink ref="C2805" r:id="rId2806" display="https://youtu.be/NrCmcdxrBI4"/>
    <hyperlink ref="F2805" r:id="rId2" display="https://files.afu.se/Downloads/Transcripts/0%20-%20Government/USA%20-%20NASA%20Johnson/"/>
    <hyperlink ref="C2806" r:id="rId2807" display="https://youtu.be/Z8KJOcN--HM"/>
    <hyperlink ref="F2806" r:id="rId2" display="https://files.afu.se/Downloads/Transcripts/0%20-%20Government/USA%20-%20NASA%20Johnson/"/>
    <hyperlink ref="C2807" r:id="rId2808" display="https://youtu.be/yasf5CjByZ0"/>
    <hyperlink ref="F2807" r:id="rId2" display="https://files.afu.se/Downloads/Transcripts/0%20-%20Government/USA%20-%20NASA%20Johnson/"/>
    <hyperlink ref="C2808" r:id="rId2809" display="https://youtu.be/GNSdLjZdp7M"/>
    <hyperlink ref="F2808" r:id="rId2" display="https://files.afu.se/Downloads/Transcripts/0%20-%20Government/USA%20-%20NASA%20Johnson/"/>
    <hyperlink ref="C2809" r:id="rId2810" display="https://youtu.be/dJ5EJs-KLGI"/>
    <hyperlink ref="F2809" r:id="rId2" display="https://files.afu.se/Downloads/Transcripts/0%20-%20Government/USA%20-%20NASA%20Johnson/"/>
    <hyperlink ref="C2810" r:id="rId2811" display="https://youtu.be/Vi5N-bBHBLE"/>
    <hyperlink ref="F2810" r:id="rId2" display="https://files.afu.se/Downloads/Transcripts/0%20-%20Government/USA%20-%20NASA%20Johnson/"/>
    <hyperlink ref="C2811" r:id="rId2812" display="https://youtu.be/53dWeDNsTF0"/>
    <hyperlink ref="F2811" r:id="rId2" display="https://files.afu.se/Downloads/Transcripts/0%20-%20Government/USA%20-%20NASA%20Johnson/"/>
    <hyperlink ref="C2812" r:id="rId2813" display="https://youtu.be/gvQkqhDdhE4"/>
    <hyperlink ref="F2812" r:id="rId2" display="https://files.afu.se/Downloads/Transcripts/0%20-%20Government/USA%20-%20NASA%20Johnson/"/>
    <hyperlink ref="C2813" r:id="rId2814" display="https://youtu.be/Hte9L5BXlDU"/>
    <hyperlink ref="F2813" r:id="rId2" display="https://files.afu.se/Downloads/Transcripts/0%20-%20Government/USA%20-%20NASA%20Johnson/"/>
    <hyperlink ref="C2814" r:id="rId2815" display="https://youtu.be/NUqm_-0P7y8"/>
    <hyperlink ref="F2814" r:id="rId2" display="https://files.afu.se/Downloads/Transcripts/0%20-%20Government/USA%20-%20NASA%20Johnson/"/>
    <hyperlink ref="C2815" r:id="rId2816" display="https://youtu.be/GvFlYC_9le0"/>
    <hyperlink ref="F2815" r:id="rId2" display="https://files.afu.se/Downloads/Transcripts/0%20-%20Government/USA%20-%20NASA%20Johnson/"/>
    <hyperlink ref="C2816" r:id="rId2817" display="https://youtu.be/05v8YtGIWvo"/>
    <hyperlink ref="F2816" r:id="rId2" display="https://files.afu.se/Downloads/Transcripts/0%20-%20Government/USA%20-%20NASA%20Johnson/"/>
    <hyperlink ref="C2817" r:id="rId2818" display="https://youtu.be/w6fOS2H0oBM"/>
    <hyperlink ref="F2817" r:id="rId2" display="https://files.afu.se/Downloads/Transcripts/0%20-%20Government/USA%20-%20NASA%20Johnson/"/>
    <hyperlink ref="C2818" r:id="rId2819" display="https://youtu.be/XJklKnUsyEw"/>
    <hyperlink ref="F2818" r:id="rId2" display="https://files.afu.se/Downloads/Transcripts/0%20-%20Government/USA%20-%20NASA%20Johnson/"/>
    <hyperlink ref="C2819" r:id="rId2820" display="https://youtu.be/57YGgtb9Ktg"/>
    <hyperlink ref="F2819" r:id="rId2" display="https://files.afu.se/Downloads/Transcripts/0%20-%20Government/USA%20-%20NASA%20Johnson/"/>
    <hyperlink ref="C2820" r:id="rId2821" display="https://youtu.be/P6P7xhuLd84"/>
    <hyperlink ref="F2820" r:id="rId2" display="https://files.afu.se/Downloads/Transcripts/0%20-%20Government/USA%20-%20NASA%20Johnson/"/>
    <hyperlink ref="C2821" r:id="rId2822" display="https://youtu.be/mpIBhSXPEbo"/>
    <hyperlink ref="F2821" r:id="rId2" display="https://files.afu.se/Downloads/Transcripts/0%20-%20Government/USA%20-%20NASA%20Johnson/"/>
    <hyperlink ref="C2822" r:id="rId2823" display="https://youtu.be/C-w2oyGKEEg"/>
    <hyperlink ref="F2822" r:id="rId2" display="https://files.afu.se/Downloads/Transcripts/0%20-%20Government/USA%20-%20NASA%20Johnson/"/>
    <hyperlink ref="C2823" r:id="rId2824" display="https://youtu.be/nbHj4P81voA"/>
    <hyperlink ref="F2823" r:id="rId2" display="https://files.afu.se/Downloads/Transcripts/0%20-%20Government/USA%20-%20NASA%20Johnson/"/>
    <hyperlink ref="C2824" r:id="rId2825" display="https://youtu.be/KYgmShdAUdk"/>
    <hyperlink ref="F2824" r:id="rId2" display="https://files.afu.se/Downloads/Transcripts/0%20-%20Government/USA%20-%20NASA%20Johnson/"/>
    <hyperlink ref="C2825" r:id="rId2826" display="https://youtu.be/dKSbZQX4sSw"/>
    <hyperlink ref="F2825" r:id="rId2" display="https://files.afu.se/Downloads/Transcripts/0%20-%20Government/USA%20-%20NASA%20Johnson/"/>
    <hyperlink ref="C2826" r:id="rId2827" display="https://youtu.be/ANRgfnTcM2o"/>
    <hyperlink ref="F2826" r:id="rId2" display="https://files.afu.se/Downloads/Transcripts/0%20-%20Government/USA%20-%20NASA%20Johnson/"/>
    <hyperlink ref="C2827" r:id="rId2828" display="https://youtu.be/AQx9GRwHD74"/>
    <hyperlink ref="F2827" r:id="rId2" display="https://files.afu.se/Downloads/Transcripts/0%20-%20Government/USA%20-%20NASA%20Johnson/"/>
    <hyperlink ref="C2828" r:id="rId2829" display="https://youtu.be/YcHUlVMKy5o"/>
    <hyperlink ref="F2828" r:id="rId2" display="https://files.afu.se/Downloads/Transcripts/0%20-%20Government/USA%20-%20NASA%20Johnson/"/>
    <hyperlink ref="C2829" r:id="rId2830" display="https://youtu.be/xyNEnBqBxuM"/>
    <hyperlink ref="F2829" r:id="rId2" display="https://files.afu.se/Downloads/Transcripts/0%20-%20Government/USA%20-%20NASA%20Johnson/"/>
    <hyperlink ref="C2830" r:id="rId2831" display="https://youtu.be/xttzy1YDehM"/>
    <hyperlink ref="F2830" r:id="rId2" display="https://files.afu.se/Downloads/Transcripts/0%20-%20Government/USA%20-%20NASA%20Johnson/"/>
    <hyperlink ref="C2831" r:id="rId2832" display="https://youtu.be/V1QhuWFWHIk"/>
    <hyperlink ref="F2831" r:id="rId2" display="https://files.afu.se/Downloads/Transcripts/0%20-%20Government/USA%20-%20NASA%20Johnson/"/>
    <hyperlink ref="C2832" r:id="rId2833" display="https://youtu.be/FZavdmhmuRI"/>
    <hyperlink ref="F2832" r:id="rId2" display="https://files.afu.se/Downloads/Transcripts/0%20-%20Government/USA%20-%20NASA%20Johnson/"/>
    <hyperlink ref="C2833" r:id="rId2834" display="https://youtu.be/9T0Sk1JV_oc"/>
    <hyperlink ref="F2833" r:id="rId2" display="https://files.afu.se/Downloads/Transcripts/0%20-%20Government/USA%20-%20NASA%20Johnson/"/>
    <hyperlink ref="C2834" r:id="rId2835" display="https://youtu.be/bGoJ66WNapE"/>
    <hyperlink ref="F2834" r:id="rId2" display="https://files.afu.se/Downloads/Transcripts/0%20-%20Government/USA%20-%20NASA%20Johnson/"/>
    <hyperlink ref="C2835" r:id="rId2836" display="https://youtu.be/Lg5vd_Gs0G4"/>
    <hyperlink ref="F2835" r:id="rId2" display="https://files.afu.se/Downloads/Transcripts/0%20-%20Government/USA%20-%20NASA%20Johnson/"/>
    <hyperlink ref="C2836" r:id="rId2837" display="https://youtu.be/sBpFdbqWoNI"/>
    <hyperlink ref="F2836" r:id="rId2" display="https://files.afu.se/Downloads/Transcripts/0%20-%20Government/USA%20-%20NASA%20Johnson/"/>
    <hyperlink ref="C2837" r:id="rId2838" display="https://youtu.be/YOuz7rTUP7M"/>
    <hyperlink ref="F2837" r:id="rId2" display="https://files.afu.se/Downloads/Transcripts/0%20-%20Government/USA%20-%20NASA%20Johnson/"/>
    <hyperlink ref="C2838" r:id="rId2839" display="https://youtu.be/lOSOfZCs2qQ"/>
    <hyperlink ref="F2838" r:id="rId2" display="https://files.afu.se/Downloads/Transcripts/0%20-%20Government/USA%20-%20NASA%20Johnson/"/>
    <hyperlink ref="C2839" r:id="rId2840" display="https://youtu.be/kFcXLNpVO90"/>
    <hyperlink ref="F2839" r:id="rId2" display="https://files.afu.se/Downloads/Transcripts/0%20-%20Government/USA%20-%20NASA%20Johnson/"/>
    <hyperlink ref="C2840" r:id="rId2841" display="https://youtu.be/fCWT563ckpE"/>
    <hyperlink ref="F2840" r:id="rId2" display="https://files.afu.se/Downloads/Transcripts/0%20-%20Government/USA%20-%20NASA%20Johnson/"/>
    <hyperlink ref="C2841" r:id="rId2842" display="https://youtu.be/eQaCFrjWSBo"/>
    <hyperlink ref="F2841" r:id="rId2" display="https://files.afu.se/Downloads/Transcripts/0%20-%20Government/USA%20-%20NASA%20Johnson/"/>
    <hyperlink ref="C2842" r:id="rId2843" display="https://youtu.be/7nniQacLdfw"/>
    <hyperlink ref="F2842" r:id="rId2" display="https://files.afu.se/Downloads/Transcripts/0%20-%20Government/USA%20-%20NASA%20Johnson/"/>
    <hyperlink ref="C2843" r:id="rId2844" display="https://youtu.be/2VHCxltC91g"/>
    <hyperlink ref="F2843" r:id="rId2" display="https://files.afu.se/Downloads/Transcripts/0%20-%20Government/USA%20-%20NASA%20Johnson/"/>
    <hyperlink ref="C2844" r:id="rId2845" display="https://youtu.be/8LUMvJD8tX8"/>
    <hyperlink ref="F2844" r:id="rId2" display="https://files.afu.se/Downloads/Transcripts/0%20-%20Government/USA%20-%20NASA%20Johnson/"/>
    <hyperlink ref="C2845" r:id="rId2846" display="https://youtu.be/kd4cHe9-iME"/>
    <hyperlink ref="F2845" r:id="rId2" display="https://files.afu.se/Downloads/Transcripts/0%20-%20Government/USA%20-%20NASA%20Johnson/"/>
    <hyperlink ref="C2846" r:id="rId2847" display="https://youtu.be/DhuxwKfi8IY"/>
    <hyperlink ref="F2846" r:id="rId2" display="https://files.afu.se/Downloads/Transcripts/0%20-%20Government/USA%20-%20NASA%20Johnson/"/>
    <hyperlink ref="C2847" r:id="rId2848" display="https://youtu.be/HUIPjYqbMIA"/>
    <hyperlink ref="F2847" r:id="rId2" display="https://files.afu.se/Downloads/Transcripts/0%20-%20Government/USA%20-%20NASA%20Johnson/"/>
    <hyperlink ref="C2848" r:id="rId2849" display="https://youtu.be/Ohs8TQxDuX8"/>
    <hyperlink ref="F2848" r:id="rId2" display="https://files.afu.se/Downloads/Transcripts/0%20-%20Government/USA%20-%20NASA%20Johnson/"/>
    <hyperlink ref="C2849" r:id="rId2850" display="https://youtu.be/KRLCJ14tULQ"/>
    <hyperlink ref="F2849" r:id="rId2" display="https://files.afu.se/Downloads/Transcripts/0%20-%20Government/USA%20-%20NASA%20Johnson/"/>
    <hyperlink ref="C2850" r:id="rId2851" display="https://youtu.be/3GZy4EK6Tic"/>
    <hyperlink ref="F2850" r:id="rId2" display="https://files.afu.se/Downloads/Transcripts/0%20-%20Government/USA%20-%20NASA%20Johnson/"/>
    <hyperlink ref="C2851" r:id="rId2852" display="https://youtu.be/bA9PXqX_L4Y"/>
    <hyperlink ref="F2851" r:id="rId2" display="https://files.afu.se/Downloads/Transcripts/0%20-%20Government/USA%20-%20NASA%20Johnson/"/>
    <hyperlink ref="C2852" r:id="rId2853" display="https://youtu.be/Rat8vk1ZqN8"/>
    <hyperlink ref="F2852" r:id="rId2" display="https://files.afu.se/Downloads/Transcripts/0%20-%20Government/USA%20-%20NASA%20Johnson/"/>
    <hyperlink ref="C2853" r:id="rId2854" display="https://youtu.be/hK_iJTP8tLk"/>
    <hyperlink ref="F2853" r:id="rId2" display="https://files.afu.se/Downloads/Transcripts/0%20-%20Government/USA%20-%20NASA%20Johnson/"/>
    <hyperlink ref="C2854" r:id="rId2855" display="https://youtu.be/PXsd5lnb0WM"/>
    <hyperlink ref="F2854" r:id="rId2" display="https://files.afu.se/Downloads/Transcripts/0%20-%20Government/USA%20-%20NASA%20Johnson/"/>
    <hyperlink ref="C2855" r:id="rId2856" display="https://youtu.be/1edR-eqo7bg"/>
    <hyperlink ref="F2855" r:id="rId2" display="https://files.afu.se/Downloads/Transcripts/0%20-%20Government/USA%20-%20NASA%20Johnson/"/>
    <hyperlink ref="C2856" r:id="rId2857" display="https://youtu.be/1GfAAokC4YY"/>
    <hyperlink ref="F2856" r:id="rId2" display="https://files.afu.se/Downloads/Transcripts/0%20-%20Government/USA%20-%20NASA%20Johnson/"/>
    <hyperlink ref="C2857" r:id="rId2858" display="https://youtu.be/VYtRIRNbPHo"/>
    <hyperlink ref="F2857" r:id="rId2" display="https://files.afu.se/Downloads/Transcripts/0%20-%20Government/USA%20-%20NASA%20Johnson/"/>
    <hyperlink ref="C2858" r:id="rId2859" display="https://youtu.be/WGY2v_Ge3d0"/>
    <hyperlink ref="F2858" r:id="rId2" display="https://files.afu.se/Downloads/Transcripts/0%20-%20Government/USA%20-%20NASA%20Johnson/"/>
    <hyperlink ref="C2859" r:id="rId2860" display="https://youtu.be/nWHbDib7spI"/>
    <hyperlink ref="F2859" r:id="rId2" display="https://files.afu.se/Downloads/Transcripts/0%20-%20Government/USA%20-%20NASA%20Johnson/"/>
    <hyperlink ref="C2860" r:id="rId2861" display="https://youtu.be/dXcrRyo1yS4"/>
    <hyperlink ref="F2860" r:id="rId2" display="https://files.afu.se/Downloads/Transcripts/0%20-%20Government/USA%20-%20NASA%20Johnson/"/>
    <hyperlink ref="C2861" r:id="rId2862" display="https://youtu.be/Tt2ayBSnexo"/>
    <hyperlink ref="F2861" r:id="rId2" display="https://files.afu.se/Downloads/Transcripts/0%20-%20Government/USA%20-%20NASA%20Johnson/"/>
    <hyperlink ref="C2862" r:id="rId2863" display="https://youtu.be/qYXVWGnr4kY"/>
    <hyperlink ref="F2862" r:id="rId2" display="https://files.afu.se/Downloads/Transcripts/0%20-%20Government/USA%20-%20NASA%20Johnson/"/>
    <hyperlink ref="C2863" r:id="rId2864" display="https://youtu.be/qnFNZGdKn7U"/>
    <hyperlink ref="F2863" r:id="rId2" display="https://files.afu.se/Downloads/Transcripts/0%20-%20Government/USA%20-%20NASA%20Johnson/"/>
    <hyperlink ref="C2864" r:id="rId2865" display="https://youtu.be/GNbW9F4tr_I"/>
    <hyperlink ref="F2864" r:id="rId2" display="https://files.afu.se/Downloads/Transcripts/0%20-%20Government/USA%20-%20NASA%20Johnson/"/>
    <hyperlink ref="C2865" r:id="rId2866" display="https://youtu.be/BJ293OyB84M"/>
    <hyperlink ref="F2865" r:id="rId2" display="https://files.afu.se/Downloads/Transcripts/0%20-%20Government/USA%20-%20NASA%20Johnson/"/>
    <hyperlink ref="C2866" r:id="rId2867" display="https://youtu.be/9hO6I8ybLCA"/>
    <hyperlink ref="F2866" r:id="rId2" display="https://files.afu.se/Downloads/Transcripts/0%20-%20Government/USA%20-%20NASA%20Johnson/"/>
    <hyperlink ref="C2867" r:id="rId2868" display="https://youtu.be/0g9nZRNjAAM"/>
    <hyperlink ref="F2867" r:id="rId2" display="https://files.afu.se/Downloads/Transcripts/0%20-%20Government/USA%20-%20NASA%20Johnson/"/>
    <hyperlink ref="C2868" r:id="rId2869" display="https://youtu.be/Eb8MfkgDFTA"/>
    <hyperlink ref="F2868" r:id="rId2" display="https://files.afu.se/Downloads/Transcripts/0%20-%20Government/USA%20-%20NASA%20Johnson/"/>
    <hyperlink ref="C2869" r:id="rId2870" display="https://youtu.be/lSrmxAy8BwE"/>
    <hyperlink ref="F2869" r:id="rId2" display="https://files.afu.se/Downloads/Transcripts/0%20-%20Government/USA%20-%20NASA%20Johnson/"/>
    <hyperlink ref="C2870" r:id="rId2871" display="https://youtu.be/zW8-HKTB9tY"/>
    <hyperlink ref="F2870" r:id="rId2" display="https://files.afu.se/Downloads/Transcripts/0%20-%20Government/USA%20-%20NASA%20Johnson/"/>
    <hyperlink ref="C2871" r:id="rId2872" display="https://youtu.be/5F412sXS6pA"/>
    <hyperlink ref="F2871" r:id="rId2" display="https://files.afu.se/Downloads/Transcripts/0%20-%20Government/USA%20-%20NASA%20Johnson/"/>
    <hyperlink ref="C2872" r:id="rId2873" display="https://youtu.be/xKTN0CHq7sk"/>
    <hyperlink ref="F2872" r:id="rId2" display="https://files.afu.se/Downloads/Transcripts/0%20-%20Government/USA%20-%20NASA%20Johnson/"/>
    <hyperlink ref="C2873" r:id="rId2874" display="https://youtu.be/Jn7MdfdRFr0"/>
    <hyperlink ref="F2873" r:id="rId2" display="https://files.afu.se/Downloads/Transcripts/0%20-%20Government/USA%20-%20NASA%20Johnson/"/>
    <hyperlink ref="C2874" r:id="rId2875" display="https://youtu.be/0BkR6JPCSvA"/>
    <hyperlink ref="F2874" r:id="rId2" display="https://files.afu.se/Downloads/Transcripts/0%20-%20Government/USA%20-%20NASA%20Johnson/"/>
    <hyperlink ref="C2875" r:id="rId2876" display="https://youtu.be/U0rl_-z1YwQ"/>
    <hyperlink ref="F2875" r:id="rId2" display="https://files.afu.se/Downloads/Transcripts/0%20-%20Government/USA%20-%20NASA%20Johnson/"/>
    <hyperlink ref="C2876" r:id="rId2877" display="https://youtu.be/GPrd9hM4WFU"/>
    <hyperlink ref="F2876" r:id="rId2" display="https://files.afu.se/Downloads/Transcripts/0%20-%20Government/USA%20-%20NASA%20Johnson/"/>
    <hyperlink ref="C2877" r:id="rId2878" display="https://youtu.be/kHI9bTsn7ds"/>
    <hyperlink ref="F2877" r:id="rId2" display="https://files.afu.se/Downloads/Transcripts/0%20-%20Government/USA%20-%20NASA%20Johnson/"/>
    <hyperlink ref="C2878" r:id="rId2879" display="https://youtu.be/F1iQyFFX63o"/>
    <hyperlink ref="F2878" r:id="rId2" display="https://files.afu.se/Downloads/Transcripts/0%20-%20Government/USA%20-%20NASA%20Johnson/"/>
    <hyperlink ref="C2879" r:id="rId2880" display="https://youtu.be/yFGz3EjaFjA"/>
    <hyperlink ref="F2879" r:id="rId2" display="https://files.afu.se/Downloads/Transcripts/0%20-%20Government/USA%20-%20NASA%20Johnson/"/>
    <hyperlink ref="C2880" r:id="rId2881" display="https://youtu.be/tOXJgYnyGoM"/>
    <hyperlink ref="F2880" r:id="rId2" display="https://files.afu.se/Downloads/Transcripts/0%20-%20Government/USA%20-%20NASA%20Johnson/"/>
    <hyperlink ref="C2881" r:id="rId2882" display="https://youtu.be/w2fdRww2A14"/>
    <hyperlink ref="F2881" r:id="rId2" display="https://files.afu.se/Downloads/Transcripts/0%20-%20Government/USA%20-%20NASA%20Johnson/"/>
    <hyperlink ref="C2882" r:id="rId2883" display="https://youtu.be/M85C7BsEP_g"/>
    <hyperlink ref="F2882" r:id="rId2" display="https://files.afu.se/Downloads/Transcripts/0%20-%20Government/USA%20-%20NASA%20Johnson/"/>
    <hyperlink ref="C2883" r:id="rId2884" display="https://youtu.be/RGDkmkX1f94"/>
    <hyperlink ref="F2883" r:id="rId2" display="https://files.afu.se/Downloads/Transcripts/0%20-%20Government/USA%20-%20NASA%20Johnson/"/>
    <hyperlink ref="C2884" r:id="rId2885" display="https://youtu.be/0gEuzdgir2w"/>
    <hyperlink ref="F2884" r:id="rId2" display="https://files.afu.se/Downloads/Transcripts/0%20-%20Government/USA%20-%20NASA%20Johnson/"/>
    <hyperlink ref="C2885" r:id="rId2886" display="https://youtu.be/dwxBC0n2SNI"/>
    <hyperlink ref="F2885" r:id="rId2" display="https://files.afu.se/Downloads/Transcripts/0%20-%20Government/USA%20-%20NASA%20Johnson/"/>
    <hyperlink ref="C2886" r:id="rId2887" display="https://youtu.be/vZO27PSZbrc"/>
    <hyperlink ref="F2886" r:id="rId2" display="https://files.afu.se/Downloads/Transcripts/0%20-%20Government/USA%20-%20NASA%20Johnson/"/>
    <hyperlink ref="C2887" r:id="rId2888" display="https://youtu.be/CNSmfxriT80"/>
    <hyperlink ref="F2887" r:id="rId2" display="https://files.afu.se/Downloads/Transcripts/0%20-%20Government/USA%20-%20NASA%20Johnson/"/>
    <hyperlink ref="C2888" r:id="rId2889" display="https://youtu.be/iiyK9_tgek0"/>
    <hyperlink ref="F2888" r:id="rId2" display="https://files.afu.se/Downloads/Transcripts/0%20-%20Government/USA%20-%20NASA%20Johnson/"/>
    <hyperlink ref="C2889" r:id="rId2890" display="https://youtu.be/3m8hTq0xtkw"/>
    <hyperlink ref="F2889" r:id="rId2" display="https://files.afu.se/Downloads/Transcripts/0%20-%20Government/USA%20-%20NASA%20Johnson/"/>
    <hyperlink ref="C2890" r:id="rId2891" display="https://youtu.be/U9VFwGYRZQg"/>
    <hyperlink ref="F2890" r:id="rId2" display="https://files.afu.se/Downloads/Transcripts/0%20-%20Government/USA%20-%20NASA%20Johnson/"/>
    <hyperlink ref="C2891" r:id="rId2892" display="https://youtu.be/LhdCeiiAGjY"/>
    <hyperlink ref="F2891" r:id="rId2" display="https://files.afu.se/Downloads/Transcripts/0%20-%20Government/USA%20-%20NASA%20Johnson/"/>
    <hyperlink ref="C2892" r:id="rId2893" display="https://youtu.be/0JnLhJhl_00"/>
    <hyperlink ref="F2892" r:id="rId2" display="https://files.afu.se/Downloads/Transcripts/0%20-%20Government/USA%20-%20NASA%20Johnson/"/>
    <hyperlink ref="C2893" r:id="rId2894" display="https://youtu.be/PbLHgGbzTZI"/>
    <hyperlink ref="F2893" r:id="rId2" display="https://files.afu.se/Downloads/Transcripts/0%20-%20Government/USA%20-%20NASA%20Johnson/"/>
    <hyperlink ref="C2894" r:id="rId2895" display="https://youtu.be/KPpWRXmEnR8"/>
    <hyperlink ref="F2894" r:id="rId2" display="https://files.afu.se/Downloads/Transcripts/0%20-%20Government/USA%20-%20NASA%20Johnson/"/>
    <hyperlink ref="C2895" r:id="rId2896" display="https://youtu.be/L_NrzD5_D3E"/>
    <hyperlink ref="F2895" r:id="rId2" display="https://files.afu.se/Downloads/Transcripts/0%20-%20Government/USA%20-%20NASA%20Johnson/"/>
    <hyperlink ref="C2896" r:id="rId2897" display="https://youtu.be/pXoaiZMcKn8"/>
    <hyperlink ref="F2896" r:id="rId2" display="https://files.afu.se/Downloads/Transcripts/0%20-%20Government/USA%20-%20NASA%20Johnson/"/>
    <hyperlink ref="C2897" r:id="rId2898" display="https://youtu.be/rJcV_kWIR2A"/>
    <hyperlink ref="F2897" r:id="rId2" display="https://files.afu.se/Downloads/Transcripts/0%20-%20Government/USA%20-%20NASA%20Johnson/"/>
    <hyperlink ref="C2898" r:id="rId2899" display="https://youtu.be/Su0I0T43aPg"/>
    <hyperlink ref="F2898" r:id="rId2" display="https://files.afu.se/Downloads/Transcripts/0%20-%20Government/USA%20-%20NASA%20Johnson/"/>
    <hyperlink ref="C2899" r:id="rId2900" display="https://youtu.be/YfCws6c6_Tw"/>
    <hyperlink ref="F2899" r:id="rId2" display="https://files.afu.se/Downloads/Transcripts/0%20-%20Government/USA%20-%20NASA%20Johnson/"/>
    <hyperlink ref="C2900" r:id="rId2901" display="https://youtu.be/R157tS9t52Q"/>
    <hyperlink ref="F2900" r:id="rId2" display="https://files.afu.se/Downloads/Transcripts/0%20-%20Government/USA%20-%20NASA%20Johnson/"/>
    <hyperlink ref="C2901" r:id="rId2902" display="https://youtu.be/R9rqNX-U39g"/>
    <hyperlink ref="F2901" r:id="rId2" display="https://files.afu.se/Downloads/Transcripts/0%20-%20Government/USA%20-%20NASA%20Johnson/"/>
    <hyperlink ref="C2902" r:id="rId2903" display="https://youtu.be/qbDSusHrvZ0"/>
    <hyperlink ref="F2902" r:id="rId2" display="https://files.afu.se/Downloads/Transcripts/0%20-%20Government/USA%20-%20NASA%20Johnson/"/>
    <hyperlink ref="C2903" r:id="rId2904" display="https://youtu.be/ySEWSCoCvdg"/>
    <hyperlink ref="F2903" r:id="rId2" display="https://files.afu.se/Downloads/Transcripts/0%20-%20Government/USA%20-%20NASA%20Johnson/"/>
    <hyperlink ref="C2904" r:id="rId2905" display="https://youtu.be/7pjboLP3IGw"/>
    <hyperlink ref="F2904" r:id="rId2" display="https://files.afu.se/Downloads/Transcripts/0%20-%20Government/USA%20-%20NASA%20Johnson/"/>
    <hyperlink ref="C2905" r:id="rId2906" display="https://youtu.be/3pz-Xm5r-X8"/>
    <hyperlink ref="F2905" r:id="rId2" display="https://files.afu.se/Downloads/Transcripts/0%20-%20Government/USA%20-%20NASA%20Johnson/"/>
    <hyperlink ref="C2906" r:id="rId2907" display="https://youtu.be/hWz5ltE_I4c"/>
    <hyperlink ref="F2906" r:id="rId2" display="https://files.afu.se/Downloads/Transcripts/0%20-%20Government/USA%20-%20NASA%20Johnson/"/>
    <hyperlink ref="C2907" r:id="rId2908" display="https://youtu.be/YasuPf09rrs"/>
    <hyperlink ref="F2907" r:id="rId2" display="https://files.afu.se/Downloads/Transcripts/0%20-%20Government/USA%20-%20NASA%20Johnson/"/>
    <hyperlink ref="C2908" r:id="rId2909" display="https://youtu.be/CQ2lFUJUMIk"/>
    <hyperlink ref="F2908" r:id="rId2" display="https://files.afu.se/Downloads/Transcripts/0%20-%20Government/USA%20-%20NASA%20Johnson/"/>
    <hyperlink ref="C2909" r:id="rId2910" display="https://youtu.be/HuXbXSJfCEs"/>
    <hyperlink ref="F2909" r:id="rId2" display="https://files.afu.se/Downloads/Transcripts/0%20-%20Government/USA%20-%20NASA%20Johnson/"/>
    <hyperlink ref="C2910" r:id="rId2911" display="https://youtu.be/t4I3ZRTefEo"/>
    <hyperlink ref="F2910" r:id="rId2" display="https://files.afu.se/Downloads/Transcripts/0%20-%20Government/USA%20-%20NASA%20Johnson/"/>
    <hyperlink ref="C2911" r:id="rId2912" display="https://youtu.be/S7eMODqLBrQ"/>
    <hyperlink ref="F2911" r:id="rId2" display="https://files.afu.se/Downloads/Transcripts/0%20-%20Government/USA%20-%20NASA%20Johnson/"/>
    <hyperlink ref="C2912" r:id="rId2913" display="https://youtu.be/9EnQ3KOJ8iM"/>
    <hyperlink ref="F2912" r:id="rId2" display="https://files.afu.se/Downloads/Transcripts/0%20-%20Government/USA%20-%20NASA%20Johnson/"/>
    <hyperlink ref="C2913" r:id="rId2914" display="https://youtu.be/zP8wRbWAzYY"/>
    <hyperlink ref="F2913" r:id="rId2" display="https://files.afu.se/Downloads/Transcripts/0%20-%20Government/USA%20-%20NASA%20Johnson/"/>
    <hyperlink ref="C2914" r:id="rId2915" display="https://youtu.be/9mxHskEK_Os"/>
    <hyperlink ref="F2914" r:id="rId2" display="https://files.afu.se/Downloads/Transcripts/0%20-%20Government/USA%20-%20NASA%20Johnson/"/>
    <hyperlink ref="C2915" r:id="rId2916" display="https://youtu.be/hmJU--0tckc"/>
    <hyperlink ref="F2915" r:id="rId2" display="https://files.afu.se/Downloads/Transcripts/0%20-%20Government/USA%20-%20NASA%20Johnson/"/>
    <hyperlink ref="C2916" r:id="rId2917" display="https://youtu.be/WdzKlmMFGA8"/>
    <hyperlink ref="F2916" r:id="rId2" display="https://files.afu.se/Downloads/Transcripts/0%20-%20Government/USA%20-%20NASA%20Johnson/"/>
    <hyperlink ref="C2917" r:id="rId2918" display="https://youtu.be/SnPQb10rFw4"/>
    <hyperlink ref="F2917" r:id="rId2" display="https://files.afu.se/Downloads/Transcripts/0%20-%20Government/USA%20-%20NASA%20Johnson/"/>
    <hyperlink ref="C2918" r:id="rId2919" display="https://youtu.be/PE5itvVLWsg"/>
    <hyperlink ref="F2918" r:id="rId2" display="https://files.afu.se/Downloads/Transcripts/0%20-%20Government/USA%20-%20NASA%20Johnson/"/>
    <hyperlink ref="C2919" r:id="rId2920" display="https://youtu.be/5WblS6Gn-sY"/>
    <hyperlink ref="F2919" r:id="rId2" display="https://files.afu.se/Downloads/Transcripts/0%20-%20Government/USA%20-%20NASA%20Johnson/"/>
    <hyperlink ref="C2920" r:id="rId2921" display="https://youtu.be/a3nge7WcpzM"/>
    <hyperlink ref="F2920" r:id="rId2" display="https://files.afu.se/Downloads/Transcripts/0%20-%20Government/USA%20-%20NASA%20Johnson/"/>
    <hyperlink ref="C2921" r:id="rId2922" display="https://youtu.be/lKaRRVt7a48"/>
    <hyperlink ref="F2921" r:id="rId2" display="https://files.afu.se/Downloads/Transcripts/0%20-%20Government/USA%20-%20NASA%20Johnson/"/>
    <hyperlink ref="C2922" r:id="rId2923" display="https://youtu.be/0E0Du7aSTss"/>
    <hyperlink ref="F2922" r:id="rId2" display="https://files.afu.se/Downloads/Transcripts/0%20-%20Government/USA%20-%20NASA%20Johnson/"/>
    <hyperlink ref="C2923" r:id="rId2924" display="https://youtu.be/4qM7O5fctK4"/>
    <hyperlink ref="F2923" r:id="rId2" display="https://files.afu.se/Downloads/Transcripts/0%20-%20Government/USA%20-%20NASA%20Johnson/"/>
    <hyperlink ref="C2924" r:id="rId2925" display="https://youtu.be/qd7meVJ7_fQ"/>
    <hyperlink ref="F2924" r:id="rId2" display="https://files.afu.se/Downloads/Transcripts/0%20-%20Government/USA%20-%20NASA%20Johnson/"/>
    <hyperlink ref="C2925" r:id="rId2926" display="https://youtu.be/vsUbTXSJWWM"/>
    <hyperlink ref="F2925" r:id="rId2" display="https://files.afu.se/Downloads/Transcripts/0%20-%20Government/USA%20-%20NASA%20Johnson/"/>
    <hyperlink ref="C2926" r:id="rId2927" display="https://youtu.be/Ddll2RB00Eg"/>
    <hyperlink ref="F2926" r:id="rId2" display="https://files.afu.se/Downloads/Transcripts/0%20-%20Government/USA%20-%20NASA%20Johnson/"/>
    <hyperlink ref="C2927" r:id="rId2928" display="https://youtu.be/lvBa5Oiej_U"/>
    <hyperlink ref="F2927" r:id="rId2" display="https://files.afu.se/Downloads/Transcripts/0%20-%20Government/USA%20-%20NASA%20Johnson/"/>
    <hyperlink ref="C2928" r:id="rId2929" display="https://youtu.be/2iq_zWQemmQ"/>
    <hyperlink ref="F2928" r:id="rId2" display="https://files.afu.se/Downloads/Transcripts/0%20-%20Government/USA%20-%20NASA%20Johnson/"/>
    <hyperlink ref="C2929" r:id="rId2930" display="https://youtu.be/yy2H5QbYnQQ"/>
    <hyperlink ref="F2929" r:id="rId2" display="https://files.afu.se/Downloads/Transcripts/0%20-%20Government/USA%20-%20NASA%20Johnson/"/>
    <hyperlink ref="C2930" r:id="rId2931" display="https://youtu.be/OJeubyDL2dI"/>
    <hyperlink ref="F2930" r:id="rId2" display="https://files.afu.se/Downloads/Transcripts/0%20-%20Government/USA%20-%20NASA%20Johnson/"/>
    <hyperlink ref="C2931" r:id="rId2932" display="https://youtu.be/CyG0IzEzvBE"/>
    <hyperlink ref="F2931" r:id="rId2" display="https://files.afu.se/Downloads/Transcripts/0%20-%20Government/USA%20-%20NASA%20Johnson/"/>
    <hyperlink ref="C2932" r:id="rId2933" display="https://youtu.be/3PWPTqvPc6s"/>
    <hyperlink ref="F2932" r:id="rId2" display="https://files.afu.se/Downloads/Transcripts/0%20-%20Government/USA%20-%20NASA%20Johnson/"/>
    <hyperlink ref="C2933" r:id="rId2934" display="https://youtu.be/czyjjarl31Q"/>
    <hyperlink ref="F2933" r:id="rId2" display="https://files.afu.se/Downloads/Transcripts/0%20-%20Government/USA%20-%20NASA%20Johnson/"/>
    <hyperlink ref="C2934" r:id="rId2935" display="https://youtu.be/kDf4QJb0WCU"/>
    <hyperlink ref="F2934" r:id="rId2" display="https://files.afu.se/Downloads/Transcripts/0%20-%20Government/USA%20-%20NASA%20Johnson/"/>
    <hyperlink ref="C2935" r:id="rId2936" display="https://youtu.be/-snynzc0hAs"/>
    <hyperlink ref="F2935" r:id="rId2" display="https://files.afu.se/Downloads/Transcripts/0%20-%20Government/USA%20-%20NASA%20Johnson/"/>
    <hyperlink ref="C2936" r:id="rId2937" display="https://youtu.be/rf9zgz834kQ"/>
    <hyperlink ref="F2936" r:id="rId2" display="https://files.afu.se/Downloads/Transcripts/0%20-%20Government/USA%20-%20NASA%20Johnson/"/>
    <hyperlink ref="C2937" r:id="rId2938" display="https://youtu.be/5vP8DS-yre0"/>
    <hyperlink ref="F2937" r:id="rId2" display="https://files.afu.se/Downloads/Transcripts/0%20-%20Government/USA%20-%20NASA%20Johnson/"/>
    <hyperlink ref="C2938" r:id="rId2939" display="https://youtu.be/IrazH3I6KWg"/>
    <hyperlink ref="F2938" r:id="rId2" display="https://files.afu.se/Downloads/Transcripts/0%20-%20Government/USA%20-%20NASA%20Johnson/"/>
    <hyperlink ref="C2939" r:id="rId2940" display="https://youtu.be/NdyjtXn3YdQ"/>
    <hyperlink ref="F2939" r:id="rId2" display="https://files.afu.se/Downloads/Transcripts/0%20-%20Government/USA%20-%20NASA%20Johnson/"/>
    <hyperlink ref="C2940" r:id="rId2941" display="https://youtu.be/nJdWUifhkbE"/>
    <hyperlink ref="F2940" r:id="rId2" display="https://files.afu.se/Downloads/Transcripts/0%20-%20Government/USA%20-%20NASA%20Johnson/"/>
    <hyperlink ref="C2941" r:id="rId2942" display="https://youtu.be/rrU0jvZoAlk"/>
    <hyperlink ref="F2941" r:id="rId2" display="https://files.afu.se/Downloads/Transcripts/0%20-%20Government/USA%20-%20NASA%20Johnson/"/>
    <hyperlink ref="C2942" r:id="rId2943" display="https://youtu.be/7e4cmU5fbxA"/>
    <hyperlink ref="F2942" r:id="rId2" display="https://files.afu.se/Downloads/Transcripts/0%20-%20Government/USA%20-%20NASA%20Johnson/"/>
    <hyperlink ref="C2943" r:id="rId2944" display="https://youtu.be/Iz2w0QOz7UE"/>
    <hyperlink ref="F2943" r:id="rId2" display="https://files.afu.se/Downloads/Transcripts/0%20-%20Government/USA%20-%20NASA%20Johnson/"/>
    <hyperlink ref="C2944" r:id="rId2945" display="https://youtu.be/iPekDRPIt_U"/>
    <hyperlink ref="F2944" r:id="rId2" display="https://files.afu.se/Downloads/Transcripts/0%20-%20Government/USA%20-%20NASA%20Johnson/"/>
    <hyperlink ref="C2945" r:id="rId2946" display="https://youtu.be/_qn9IcQKAwQ"/>
    <hyperlink ref="F2945" r:id="rId2" display="https://files.afu.se/Downloads/Transcripts/0%20-%20Government/USA%20-%20NASA%20Johnson/"/>
    <hyperlink ref="C2946" r:id="rId2947" display="https://youtu.be/3UUMQ_uzv3Q"/>
    <hyperlink ref="F2946" r:id="rId2" display="https://files.afu.se/Downloads/Transcripts/0%20-%20Government/USA%20-%20NASA%20Johnson/"/>
    <hyperlink ref="C2947" r:id="rId2948" display="https://youtu.be/sTm-uBIKHEs"/>
    <hyperlink ref="F2947" r:id="rId2" display="https://files.afu.se/Downloads/Transcripts/0%20-%20Government/USA%20-%20NASA%20Johnson/"/>
    <hyperlink ref="C2948" r:id="rId2949" display="https://youtu.be/QBvfEm2Ab5g"/>
    <hyperlink ref="F2948" r:id="rId2" display="https://files.afu.se/Downloads/Transcripts/0%20-%20Government/USA%20-%20NASA%20Johnson/"/>
    <hyperlink ref="C2949" r:id="rId2950" display="https://youtu.be/oFI3Gla2eig"/>
    <hyperlink ref="F2949" r:id="rId2" display="https://files.afu.se/Downloads/Transcripts/0%20-%20Government/USA%20-%20NASA%20Johnson/"/>
    <hyperlink ref="C2950" r:id="rId2951" display="https://youtu.be/8UWJ_vjqP9s"/>
    <hyperlink ref="F2950" r:id="rId2" display="https://files.afu.se/Downloads/Transcripts/0%20-%20Government/USA%20-%20NASA%20Johnson/"/>
    <hyperlink ref="C2951" r:id="rId2952" display="https://youtu.be/AdT1f8fvlf4"/>
    <hyperlink ref="F2951" r:id="rId2" display="https://files.afu.se/Downloads/Transcripts/0%20-%20Government/USA%20-%20NASA%20Johnson/"/>
    <hyperlink ref="C2952" r:id="rId2953" display="https://youtu.be/barTCHH0IFs"/>
    <hyperlink ref="F2952" r:id="rId2" display="https://files.afu.se/Downloads/Transcripts/0%20-%20Government/USA%20-%20NASA%20Johnson/"/>
    <hyperlink ref="C2953" r:id="rId2954" display="https://youtu.be/CrTUpTDyGpI"/>
    <hyperlink ref="F2953" r:id="rId2" display="https://files.afu.se/Downloads/Transcripts/0%20-%20Government/USA%20-%20NASA%20Johnson/"/>
    <hyperlink ref="C2954" r:id="rId2955" display="https://youtu.be/1aTiyV5rEVQ"/>
    <hyperlink ref="F2954" r:id="rId2" display="https://files.afu.se/Downloads/Transcripts/0%20-%20Government/USA%20-%20NASA%20Johnson/"/>
    <hyperlink ref="C2955" r:id="rId2956" display="https://youtu.be/R5gdAlRPBCU"/>
    <hyperlink ref="F2955" r:id="rId2" display="https://files.afu.se/Downloads/Transcripts/0%20-%20Government/USA%20-%20NASA%20Johnson/"/>
    <hyperlink ref="C2956" r:id="rId2957" display="https://youtu.be/qWa380jfeY0"/>
    <hyperlink ref="F2956" r:id="rId2" display="https://files.afu.se/Downloads/Transcripts/0%20-%20Government/USA%20-%20NASA%20Johnson/"/>
    <hyperlink ref="C2957" r:id="rId2958" display="https://youtu.be/6c2qNgXQkWE"/>
    <hyperlink ref="F2957" r:id="rId2" display="https://files.afu.se/Downloads/Transcripts/0%20-%20Government/USA%20-%20NASA%20Johnson/"/>
    <hyperlink ref="C2958" r:id="rId2959" display="https://youtu.be/n0c3ejjii9U"/>
    <hyperlink ref="F2958" r:id="rId2" display="https://files.afu.se/Downloads/Transcripts/0%20-%20Government/USA%20-%20NASA%20Johnson/"/>
    <hyperlink ref="C2959" r:id="rId2960" display="https://youtu.be/8aN6Jo6-24c"/>
    <hyperlink ref="F2959" r:id="rId2" display="https://files.afu.se/Downloads/Transcripts/0%20-%20Government/USA%20-%20NASA%20Johnson/"/>
    <hyperlink ref="C2960" r:id="rId2961" display="https://youtu.be/hvRtXld-9cY"/>
    <hyperlink ref="F2960" r:id="rId2" display="https://files.afu.se/Downloads/Transcripts/0%20-%20Government/USA%20-%20NASA%20Johnson/"/>
    <hyperlink ref="C2961" r:id="rId2962" display="https://youtu.be/DbB1xCF0YOw"/>
    <hyperlink ref="F2961" r:id="rId2" display="https://files.afu.se/Downloads/Transcripts/0%20-%20Government/USA%20-%20NASA%20Johnson/"/>
    <hyperlink ref="C2962" r:id="rId2963" display="https://youtu.be/8BaCKePchoY"/>
    <hyperlink ref="F2962" r:id="rId2" display="https://files.afu.se/Downloads/Transcripts/0%20-%20Government/USA%20-%20NASA%20Johnson/"/>
    <hyperlink ref="C2963" r:id="rId2964" display="https://youtu.be/RPV0aqdRcBc"/>
    <hyperlink ref="F2963" r:id="rId2" display="https://files.afu.se/Downloads/Transcripts/0%20-%20Government/USA%20-%20NASA%20Johnson/"/>
    <hyperlink ref="C2964" r:id="rId2965" display="https://youtu.be/H2Sa5vB_qBE"/>
    <hyperlink ref="F2964" r:id="rId2" display="https://files.afu.se/Downloads/Transcripts/0%20-%20Government/USA%20-%20NASA%20Johnson/"/>
    <hyperlink ref="C2965" r:id="rId2966" display="https://youtu.be/Ff_N7tYoW_k"/>
    <hyperlink ref="F2965" r:id="rId2" display="https://files.afu.se/Downloads/Transcripts/0%20-%20Government/USA%20-%20NASA%20Johnson/"/>
    <hyperlink ref="C2966" r:id="rId2967" display="https://youtu.be/u31iDZ9GUn4"/>
    <hyperlink ref="F2966" r:id="rId2" display="https://files.afu.se/Downloads/Transcripts/0%20-%20Government/USA%20-%20NASA%20Johnson/"/>
    <hyperlink ref="C2967" r:id="rId2968" display="https://youtu.be/axKe--vxJUc"/>
    <hyperlink ref="F2967" r:id="rId2" display="https://files.afu.se/Downloads/Transcripts/0%20-%20Government/USA%20-%20NASA%20Johnson/"/>
    <hyperlink ref="C2968" r:id="rId2969" display="https://youtu.be/L_q9p0GfFdo"/>
    <hyperlink ref="F2968" r:id="rId2" display="https://files.afu.se/Downloads/Transcripts/0%20-%20Government/USA%20-%20NASA%20Johnson/"/>
    <hyperlink ref="C2969" r:id="rId2970" display="https://youtu.be/u_tGYxoWuYY"/>
    <hyperlink ref="F2969" r:id="rId2" display="https://files.afu.se/Downloads/Transcripts/0%20-%20Government/USA%20-%20NASA%20Johnson/"/>
    <hyperlink ref="C2970" r:id="rId2971" display="https://youtu.be/MmuiPBFPsfg"/>
    <hyperlink ref="F2970" r:id="rId2" display="https://files.afu.se/Downloads/Transcripts/0%20-%20Government/USA%20-%20NASA%20Johnson/"/>
    <hyperlink ref="C2971" r:id="rId2972" display="https://youtu.be/ZpuBY0NR3Lw"/>
    <hyperlink ref="F2971" r:id="rId2" display="https://files.afu.se/Downloads/Transcripts/0%20-%20Government/USA%20-%20NASA%20Johnson/"/>
    <hyperlink ref="C2972" r:id="rId2973" display="https://youtu.be/uYaOcxgCRW8"/>
    <hyperlink ref="F2972" r:id="rId2" display="https://files.afu.se/Downloads/Transcripts/0%20-%20Government/USA%20-%20NASA%20Johnson/"/>
    <hyperlink ref="C2973" r:id="rId2974" display="https://youtu.be/ObHj0QcJZFo"/>
    <hyperlink ref="F2973" r:id="rId2" display="https://files.afu.se/Downloads/Transcripts/0%20-%20Government/USA%20-%20NASA%20Johnson/"/>
    <hyperlink ref="C2974" r:id="rId2975" display="https://youtu.be/ObXf1aMwZGQ"/>
    <hyperlink ref="F2974" r:id="rId2" display="https://files.afu.se/Downloads/Transcripts/0%20-%20Government/USA%20-%20NASA%20Johnson/"/>
    <hyperlink ref="C2975" r:id="rId2976" display="https://youtu.be/66YcK7vjD0E"/>
    <hyperlink ref="F2975" r:id="rId2" display="https://files.afu.se/Downloads/Transcripts/0%20-%20Government/USA%20-%20NASA%20Johnson/"/>
    <hyperlink ref="C2976" r:id="rId2977" display="https://youtu.be/zezha14MNWg"/>
    <hyperlink ref="F2976" r:id="rId2" display="https://files.afu.se/Downloads/Transcripts/0%20-%20Government/USA%20-%20NASA%20Johnson/"/>
    <hyperlink ref="C2977" r:id="rId2978" display="https://youtu.be/uDjjUaeqZtw"/>
    <hyperlink ref="F2977" r:id="rId2" display="https://files.afu.se/Downloads/Transcripts/0%20-%20Government/USA%20-%20NASA%20Johnson/"/>
    <hyperlink ref="C2978" r:id="rId2979" display="https://youtu.be/l6x3JlSQViE"/>
    <hyperlink ref="F2978" r:id="rId2" display="https://files.afu.se/Downloads/Transcripts/0%20-%20Government/USA%20-%20NASA%20Johnson/"/>
    <hyperlink ref="C2979" r:id="rId2980" display="https://youtu.be/arNkaEhEuWk"/>
    <hyperlink ref="F2979" r:id="rId2" display="https://files.afu.se/Downloads/Transcripts/0%20-%20Government/USA%20-%20NASA%20Johnson/"/>
    <hyperlink ref="C2980" r:id="rId2981" display="https://youtu.be/5GjiDj5nffA"/>
    <hyperlink ref="F2980" r:id="rId2" display="https://files.afu.se/Downloads/Transcripts/0%20-%20Government/USA%20-%20NASA%20Johnson/"/>
    <hyperlink ref="C2981" r:id="rId2982" display="https://youtu.be/RpAUuOCmMO0"/>
    <hyperlink ref="F2981" r:id="rId2" display="https://files.afu.se/Downloads/Transcripts/0%20-%20Government/USA%20-%20NASA%20Johnson/"/>
    <hyperlink ref="C2982" r:id="rId2983" display="https://youtu.be/C1HikbcO9aY"/>
    <hyperlink ref="F2982" r:id="rId2" display="https://files.afu.se/Downloads/Transcripts/0%20-%20Government/USA%20-%20NASA%20Johnson/"/>
    <hyperlink ref="C2983" r:id="rId2984" display="https://youtu.be/e2VRE_0nWo8"/>
    <hyperlink ref="F2983" r:id="rId2" display="https://files.afu.se/Downloads/Transcripts/0%20-%20Government/USA%20-%20NASA%20Johnson/"/>
    <hyperlink ref="C2984" r:id="rId2985" display="https://youtu.be/U00oAvnVp0M"/>
    <hyperlink ref="F2984" r:id="rId2" display="https://files.afu.se/Downloads/Transcripts/0%20-%20Government/USA%20-%20NASA%20Johnson/"/>
    <hyperlink ref="C2985" r:id="rId2986" display="https://youtu.be/JRDEF7dE_K0"/>
    <hyperlink ref="F2985" r:id="rId2" display="https://files.afu.se/Downloads/Transcripts/0%20-%20Government/USA%20-%20NASA%20Johnson/"/>
    <hyperlink ref="C2986" r:id="rId2987" display="https://youtu.be/rVuOlpImsSQ"/>
    <hyperlink ref="F2986" r:id="rId2" display="https://files.afu.se/Downloads/Transcripts/0%20-%20Government/USA%20-%20NASA%20Johnson/"/>
    <hyperlink ref="C2987" r:id="rId2988" display="https://youtu.be/exm2YAP8r4g"/>
    <hyperlink ref="F2987" r:id="rId2" display="https://files.afu.se/Downloads/Transcripts/0%20-%20Government/USA%20-%20NASA%20Johnson/"/>
    <hyperlink ref="C2988" r:id="rId2989" display="https://youtu.be/c1kxPclgMgo"/>
    <hyperlink ref="F2988" r:id="rId2" display="https://files.afu.se/Downloads/Transcripts/0%20-%20Government/USA%20-%20NASA%20Johnson/"/>
    <hyperlink ref="C2989" r:id="rId2990" display="https://youtu.be/iDeMOJSt0xI"/>
    <hyperlink ref="F2989" r:id="rId2" display="https://files.afu.se/Downloads/Transcripts/0%20-%20Government/USA%20-%20NASA%20Johnson/"/>
    <hyperlink ref="C2990" r:id="rId2991" display="https://youtu.be/730yoTrzFpc"/>
    <hyperlink ref="F2990" r:id="rId2" display="https://files.afu.se/Downloads/Transcripts/0%20-%20Government/USA%20-%20NASA%20Johnson/"/>
    <hyperlink ref="C2991" r:id="rId2992" display="https://youtu.be/yx8Xv6sj1u8"/>
    <hyperlink ref="F2991" r:id="rId2" display="https://files.afu.se/Downloads/Transcripts/0%20-%20Government/USA%20-%20NASA%20Johnson/"/>
    <hyperlink ref="C2992" r:id="rId2993" display="https://youtu.be/smKA4K8iz80"/>
    <hyperlink ref="F2992" r:id="rId2" display="https://files.afu.se/Downloads/Transcripts/0%20-%20Government/USA%20-%20NASA%20Johnson/"/>
    <hyperlink ref="C2993" r:id="rId2994" display="https://youtu.be/HLXz1h0Uukg"/>
    <hyperlink ref="F2993" r:id="rId2" display="https://files.afu.se/Downloads/Transcripts/0%20-%20Government/USA%20-%20NASA%20Johnson/"/>
    <hyperlink ref="C2994" r:id="rId2995" display="https://youtu.be/_tpZmPlAaOo"/>
    <hyperlink ref="F2994" r:id="rId2" display="https://files.afu.se/Downloads/Transcripts/0%20-%20Government/USA%20-%20NASA%20Johnson/"/>
    <hyperlink ref="C2995" r:id="rId2996" display="https://youtu.be/8kfL-tyeFhA"/>
    <hyperlink ref="F2995" r:id="rId2" display="https://files.afu.se/Downloads/Transcripts/0%20-%20Government/USA%20-%20NASA%20Johnson/"/>
    <hyperlink ref="C2996" r:id="rId2997" display="https://youtu.be/fwxuO_Zpme8"/>
    <hyperlink ref="F2996" r:id="rId2" display="https://files.afu.se/Downloads/Transcripts/0%20-%20Government/USA%20-%20NASA%20Johnson/"/>
    <hyperlink ref="C2997" r:id="rId2998" display="https://youtu.be/jEl25QSruSs"/>
    <hyperlink ref="F2997" r:id="rId2" display="https://files.afu.se/Downloads/Transcripts/0%20-%20Government/USA%20-%20NASA%20Johnson/"/>
    <hyperlink ref="C2998" r:id="rId2999" display="https://youtu.be/kDIDNHgfkNc"/>
    <hyperlink ref="F2998" r:id="rId2" display="https://files.afu.se/Downloads/Transcripts/0%20-%20Government/USA%20-%20NASA%20Johnson/"/>
    <hyperlink ref="C2999" r:id="rId3000" display="https://youtu.be/ZD0ODZnPivc"/>
    <hyperlink ref="F2999" r:id="rId2" display="https://files.afu.se/Downloads/Transcripts/0%20-%20Government/USA%20-%20NASA%20Johnson/"/>
    <hyperlink ref="C3000" r:id="rId3001" display="https://youtu.be/Uddz-3RwA_Y"/>
    <hyperlink ref="F3000" r:id="rId2" display="https://files.afu.se/Downloads/Transcripts/0%20-%20Government/USA%20-%20NASA%20Johnson/"/>
    <hyperlink ref="C3001" r:id="rId3002" display="https://youtu.be/YvF6grBY3D4"/>
    <hyperlink ref="F3001" r:id="rId2" display="https://files.afu.se/Downloads/Transcripts/0%20-%20Government/USA%20-%20NASA%20Johnson/"/>
    <hyperlink ref="C3002" r:id="rId3003" display="https://youtu.be/uQA-K9MyQ3A"/>
    <hyperlink ref="F3002" r:id="rId2" display="https://files.afu.se/Downloads/Transcripts/0%20-%20Government/USA%20-%20NASA%20Johnson/"/>
    <hyperlink ref="C3003" r:id="rId3004" display="https://youtu.be/A70ci9rY9pc"/>
    <hyperlink ref="F3003" r:id="rId2" display="https://files.afu.se/Downloads/Transcripts/0%20-%20Government/USA%20-%20NASA%20Johnson/"/>
    <hyperlink ref="C3004" r:id="rId3005" display="https://youtu.be/ByTWL5W6NLk"/>
    <hyperlink ref="F3004" r:id="rId2" display="https://files.afu.se/Downloads/Transcripts/0%20-%20Government/USA%20-%20NASA%20Johnson/"/>
    <hyperlink ref="C3005" r:id="rId3006" display="https://youtu.be/dUyWHkE7qeU"/>
    <hyperlink ref="F3005" r:id="rId2" display="https://files.afu.se/Downloads/Transcripts/0%20-%20Government/USA%20-%20NASA%20Johnson/"/>
    <hyperlink ref="C3006" r:id="rId3007" display="https://youtu.be/tsCAsL5581Q"/>
    <hyperlink ref="F3006" r:id="rId2" display="https://files.afu.se/Downloads/Transcripts/0%20-%20Government/USA%20-%20NASA%20Johnson/"/>
    <hyperlink ref="C3007" r:id="rId3008" display="https://youtu.be/MEH8GXXiZnE"/>
    <hyperlink ref="F3007" r:id="rId2" display="https://files.afu.se/Downloads/Transcripts/0%20-%20Government/USA%20-%20NASA%20Johnson/"/>
    <hyperlink ref="C3008" r:id="rId3009" display="https://youtu.be/bSyS73kwVEk"/>
    <hyperlink ref="F3008" r:id="rId2" display="https://files.afu.se/Downloads/Transcripts/0%20-%20Government/USA%20-%20NASA%20Johnson/"/>
    <hyperlink ref="C3009" r:id="rId3010" display="https://youtu.be/gkEzvQEN70k"/>
    <hyperlink ref="F3009" r:id="rId2" display="https://files.afu.se/Downloads/Transcripts/0%20-%20Government/USA%20-%20NASA%20Johnson/"/>
    <hyperlink ref="C3010" r:id="rId3011" display="https://youtu.be/lWE5BPy3NIQ"/>
    <hyperlink ref="F3010" r:id="rId2" display="https://files.afu.se/Downloads/Transcripts/0%20-%20Government/USA%20-%20NASA%20Johnson/"/>
    <hyperlink ref="C3011" r:id="rId3012" display="https://youtu.be/za3999pxjI4"/>
    <hyperlink ref="F3011" r:id="rId2" display="https://files.afu.se/Downloads/Transcripts/0%20-%20Government/USA%20-%20NASA%20Johnson/"/>
    <hyperlink ref="C3012" r:id="rId3013" display="https://youtu.be/SdbFn9DOzRg"/>
    <hyperlink ref="F3012" r:id="rId2" display="https://files.afu.se/Downloads/Transcripts/0%20-%20Government/USA%20-%20NASA%20Johnson/"/>
    <hyperlink ref="C3013" r:id="rId3014" display="https://youtu.be/DRf_QY_r82M"/>
    <hyperlink ref="F3013" r:id="rId2" display="https://files.afu.se/Downloads/Transcripts/0%20-%20Government/USA%20-%20NASA%20Johnson/"/>
    <hyperlink ref="C3014" r:id="rId3015" display="https://youtu.be/e7DEw70LVWs"/>
    <hyperlink ref="F3014" r:id="rId2" display="https://files.afu.se/Downloads/Transcripts/0%20-%20Government/USA%20-%20NASA%20Johnson/"/>
    <hyperlink ref="C3015" r:id="rId3016" display="https://youtu.be/o35D_6pcp90"/>
    <hyperlink ref="F3015" r:id="rId2" display="https://files.afu.se/Downloads/Transcripts/0%20-%20Government/USA%20-%20NASA%20Johnson/"/>
    <hyperlink ref="C3016" r:id="rId3017" display="https://youtu.be/MH93FSS8ZOQ"/>
    <hyperlink ref="F3016" r:id="rId2" display="https://files.afu.se/Downloads/Transcripts/0%20-%20Government/USA%20-%20NASA%20Johnson/"/>
    <hyperlink ref="C3017" r:id="rId3018" display="https://youtu.be/d__xlXqYFZc"/>
    <hyperlink ref="F3017" r:id="rId2" display="https://files.afu.se/Downloads/Transcripts/0%20-%20Government/USA%20-%20NASA%20Johnson/"/>
    <hyperlink ref="C3018" r:id="rId3019" display="https://youtu.be/nOkUx7KG12I"/>
    <hyperlink ref="F3018" r:id="rId2" display="https://files.afu.se/Downloads/Transcripts/0%20-%20Government/USA%20-%20NASA%20Johnson/"/>
    <hyperlink ref="C3019" r:id="rId3020" display="https://youtu.be/q1k9njdSVE0"/>
    <hyperlink ref="F3019" r:id="rId2" display="https://files.afu.se/Downloads/Transcripts/0%20-%20Government/USA%20-%20NASA%20Johnson/"/>
    <hyperlink ref="C3020" r:id="rId3021" display="https://youtu.be/q6Hrz2xXi6s"/>
    <hyperlink ref="F3020" r:id="rId2" display="https://files.afu.se/Downloads/Transcripts/0%20-%20Government/USA%20-%20NASA%20Johnson/"/>
    <hyperlink ref="C3021" r:id="rId3022" display="https://youtu.be/rSQ-V4QFcLk"/>
    <hyperlink ref="F3021" r:id="rId2" display="https://files.afu.se/Downloads/Transcripts/0%20-%20Government/USA%20-%20NASA%20Johnson/"/>
    <hyperlink ref="C3022" r:id="rId3023" display="https://youtu.be/mlL22pcFxPw"/>
    <hyperlink ref="F3022" r:id="rId2" display="https://files.afu.se/Downloads/Transcripts/0%20-%20Government/USA%20-%20NASA%20Johnson/"/>
    <hyperlink ref="C3023" r:id="rId3024" display="https://youtu.be/NJ3Mv0w7G5A"/>
    <hyperlink ref="F3023" r:id="rId2" display="https://files.afu.se/Downloads/Transcripts/0%20-%20Government/USA%20-%20NASA%20Johnson/"/>
    <hyperlink ref="C3024" r:id="rId3025" display="https://youtu.be/U6eeiEQLTEg"/>
    <hyperlink ref="F3024" r:id="rId2" display="https://files.afu.se/Downloads/Transcripts/0%20-%20Government/USA%20-%20NASA%20Johnson/"/>
    <hyperlink ref="C3025" r:id="rId3026" display="https://youtu.be/ZJABYfMfA_c"/>
    <hyperlink ref="F3025" r:id="rId2" display="https://files.afu.se/Downloads/Transcripts/0%20-%20Government/USA%20-%20NASA%20Johnson/"/>
    <hyperlink ref="C3026" r:id="rId3027" display="https://youtu.be/PK78GB5UkFQ"/>
    <hyperlink ref="F3026" r:id="rId2" display="https://files.afu.se/Downloads/Transcripts/0%20-%20Government/USA%20-%20NASA%20Johnson/"/>
    <hyperlink ref="C3027" r:id="rId3028" display="https://youtu.be/Q8qolIHh4zU"/>
    <hyperlink ref="F3027" r:id="rId2" display="https://files.afu.se/Downloads/Transcripts/0%20-%20Government/USA%20-%20NASA%20Johnson/"/>
    <hyperlink ref="C3028" r:id="rId3029" display="https://youtu.be/NUkoGY4Mf68"/>
    <hyperlink ref="F3028" r:id="rId2" display="https://files.afu.se/Downloads/Transcripts/0%20-%20Government/USA%20-%20NASA%20Johnson/"/>
    <hyperlink ref="C3029" r:id="rId3030" display="https://youtu.be/plxsW6-9DIU"/>
    <hyperlink ref="F3029" r:id="rId2" display="https://files.afu.se/Downloads/Transcripts/0%20-%20Government/USA%20-%20NASA%20Johnson/"/>
    <hyperlink ref="C3030" r:id="rId3031" display="https://youtu.be/iV9WalIV91s"/>
    <hyperlink ref="F3030" r:id="rId2" display="https://files.afu.se/Downloads/Transcripts/0%20-%20Government/USA%20-%20NASA%20Johnson/"/>
    <hyperlink ref="C3031" r:id="rId3032" display="https://youtu.be/rXadFVbtEkI"/>
    <hyperlink ref="F3031" r:id="rId2" display="https://files.afu.se/Downloads/Transcripts/0%20-%20Government/USA%20-%20NASA%20Johnson/"/>
    <hyperlink ref="C3032" r:id="rId3033" display="https://youtu.be/czzaxkYCu54"/>
    <hyperlink ref="F3032" r:id="rId2" display="https://files.afu.se/Downloads/Transcripts/0%20-%20Government/USA%20-%20NASA%20Johnson/"/>
    <hyperlink ref="C3033" r:id="rId3034" display="https://youtu.be/zruqSXVM1OY"/>
    <hyperlink ref="F3033" r:id="rId2" display="https://files.afu.se/Downloads/Transcripts/0%20-%20Government/USA%20-%20NASA%20Johnson/"/>
    <hyperlink ref="C3034" r:id="rId3035" display="https://youtu.be/grieVTdxsNI"/>
    <hyperlink ref="F3034" r:id="rId2" display="https://files.afu.se/Downloads/Transcripts/0%20-%20Government/USA%20-%20NASA%20Johnson/"/>
    <hyperlink ref="C3035" r:id="rId3036" display="https://youtu.be/S9pXzASpKIM"/>
    <hyperlink ref="F3035" r:id="rId2" display="https://files.afu.se/Downloads/Transcripts/0%20-%20Government/USA%20-%20NASA%20Johnson/"/>
    <hyperlink ref="C3036" r:id="rId3037" display="https://youtu.be/7cgdlRIdZgk"/>
    <hyperlink ref="F3036" r:id="rId2" display="https://files.afu.se/Downloads/Transcripts/0%20-%20Government/USA%20-%20NASA%20Johnson/"/>
    <hyperlink ref="C3037" r:id="rId3038" display="https://youtu.be/ZvCbB_vGI1Y"/>
    <hyperlink ref="F3037" r:id="rId2" display="https://files.afu.se/Downloads/Transcripts/0%20-%20Government/USA%20-%20NASA%20Johnson/"/>
    <hyperlink ref="C3038" r:id="rId3039" display="https://youtu.be/ckp48-Ymv7k"/>
    <hyperlink ref="F3038" r:id="rId2" display="https://files.afu.se/Downloads/Transcripts/0%20-%20Government/USA%20-%20NASA%20Johnson/"/>
    <hyperlink ref="C3039" r:id="rId3040" display="https://youtu.be/RCq-RPNBsIA"/>
    <hyperlink ref="F3039" r:id="rId2" display="https://files.afu.se/Downloads/Transcripts/0%20-%20Government/USA%20-%20NASA%20Johnson/"/>
    <hyperlink ref="C3040" r:id="rId3041" display="https://youtu.be/U3DAOF34r34"/>
    <hyperlink ref="F3040" r:id="rId2" display="https://files.afu.se/Downloads/Transcripts/0%20-%20Government/USA%20-%20NASA%20Johnson/"/>
    <hyperlink ref="C3041" r:id="rId3042" display="https://youtu.be/_NqbD71p25E"/>
    <hyperlink ref="F3041" r:id="rId2" display="https://files.afu.se/Downloads/Transcripts/0%20-%20Government/USA%20-%20NASA%20Johnson/"/>
    <hyperlink ref="C3042" r:id="rId3043" display="https://youtu.be/F3I1D14GBFU"/>
    <hyperlink ref="F3042" r:id="rId2" display="https://files.afu.se/Downloads/Transcripts/0%20-%20Government/USA%20-%20NASA%20Johnson/"/>
    <hyperlink ref="C3043" r:id="rId3044" display="https://youtu.be/f5t7NoAKqG4"/>
    <hyperlink ref="F3043" r:id="rId2" display="https://files.afu.se/Downloads/Transcripts/0%20-%20Government/USA%20-%20NASA%20Johnson/"/>
    <hyperlink ref="C3044" r:id="rId3045" display="https://youtu.be/kigptp3T05E"/>
    <hyperlink ref="F3044" r:id="rId2" display="https://files.afu.se/Downloads/Transcripts/0%20-%20Government/USA%20-%20NASA%20Johnson/"/>
    <hyperlink ref="C3045" r:id="rId3046" display="https://youtu.be/oNCJg1EmPjw"/>
    <hyperlink ref="F3045" r:id="rId2" display="https://files.afu.se/Downloads/Transcripts/0%20-%20Government/USA%20-%20NASA%20Johnson/"/>
    <hyperlink ref="C3046" r:id="rId3047" display="https://youtu.be/Z-cc6rb1wXI"/>
    <hyperlink ref="F3046" r:id="rId2" display="https://files.afu.se/Downloads/Transcripts/0%20-%20Government/USA%20-%20NASA%20Johnson/"/>
    <hyperlink ref="C3047" r:id="rId3048" display="https://youtu.be/TIjY95sLOrU"/>
    <hyperlink ref="F3047" r:id="rId2" display="https://files.afu.se/Downloads/Transcripts/0%20-%20Government/USA%20-%20NASA%20Johnson/"/>
    <hyperlink ref="C3048" r:id="rId3049" display="https://youtu.be/-2dGxJRzPJs"/>
    <hyperlink ref="F3048" r:id="rId2" display="https://files.afu.se/Downloads/Transcripts/0%20-%20Government/USA%20-%20NASA%20Johnson/"/>
    <hyperlink ref="C3049" r:id="rId3050" display="https://youtu.be/ttkxJ1un4sE"/>
    <hyperlink ref="F3049" r:id="rId2" display="https://files.afu.se/Downloads/Transcripts/0%20-%20Government/USA%20-%20NASA%20Johnson/"/>
    <hyperlink ref="C3050" r:id="rId3051" display="https://youtu.be/sv-qVYlp9hA"/>
    <hyperlink ref="F3050" r:id="rId2" display="https://files.afu.se/Downloads/Transcripts/0%20-%20Government/USA%20-%20NASA%20Johnson/"/>
    <hyperlink ref="C3051" r:id="rId3052" display="https://youtu.be/upPBd-QppA8"/>
    <hyperlink ref="F3051" r:id="rId2" display="https://files.afu.se/Downloads/Transcripts/0%20-%20Government/USA%20-%20NASA%20Johnson/"/>
    <hyperlink ref="C3052" r:id="rId3053" display="https://youtu.be/wXx3OGKY0IA"/>
    <hyperlink ref="F3052" r:id="rId2" display="https://files.afu.se/Downloads/Transcripts/0%20-%20Government/USA%20-%20NASA%20Johnson/"/>
    <hyperlink ref="C3053" r:id="rId3054" display="https://youtu.be/GYopLI23Iy8"/>
    <hyperlink ref="F3053" r:id="rId2" display="https://files.afu.se/Downloads/Transcripts/0%20-%20Government/USA%20-%20NASA%20Johnson/"/>
    <hyperlink ref="C3054" r:id="rId3055" display="https://youtu.be/IRxlYTsHwMo"/>
    <hyperlink ref="F3054" r:id="rId2" display="https://files.afu.se/Downloads/Transcripts/0%20-%20Government/USA%20-%20NASA%20Johnson/"/>
    <hyperlink ref="C3055" r:id="rId3056" display="https://youtu.be/B0RJwEWQl88"/>
    <hyperlink ref="F3055" r:id="rId2" display="https://files.afu.se/Downloads/Transcripts/0%20-%20Government/USA%20-%20NASA%20Johnson/"/>
    <hyperlink ref="C3056" r:id="rId3057" display="https://youtu.be/0wAKC4WRc-s"/>
    <hyperlink ref="F3056" r:id="rId2" display="https://files.afu.se/Downloads/Transcripts/0%20-%20Government/USA%20-%20NASA%20Johnson/"/>
    <hyperlink ref="C3057" r:id="rId3058" display="https://youtu.be/hBhYneN0iAk"/>
    <hyperlink ref="F3057" r:id="rId2" display="https://files.afu.se/Downloads/Transcripts/0%20-%20Government/USA%20-%20NASA%20Johnson/"/>
    <hyperlink ref="C3058" r:id="rId3059" display="https://youtu.be/ltWsu2BhmTQ"/>
    <hyperlink ref="F3058" r:id="rId2" display="https://files.afu.se/Downloads/Transcripts/0%20-%20Government/USA%20-%20NASA%20Johnson/"/>
    <hyperlink ref="C3059" r:id="rId3060" display="https://youtu.be/yhetymMo_e8"/>
    <hyperlink ref="F3059" r:id="rId2" display="https://files.afu.se/Downloads/Transcripts/0%20-%20Government/USA%20-%20NASA%20Johnson/"/>
    <hyperlink ref="C3060" r:id="rId3061" display="https://youtu.be/qHrBhgwq__Q"/>
    <hyperlink ref="F3060" r:id="rId2" display="https://files.afu.se/Downloads/Transcripts/0%20-%20Government/USA%20-%20NASA%20Johnson/"/>
    <hyperlink ref="C3061" r:id="rId3062" display="https://youtu.be/3swQ5j4ngZ8"/>
    <hyperlink ref="F3061" r:id="rId2" display="https://files.afu.se/Downloads/Transcripts/0%20-%20Government/USA%20-%20NASA%20Johnson/"/>
    <hyperlink ref="C3062" r:id="rId3063" display="https://youtu.be/cvUEr50Cos8"/>
    <hyperlink ref="F3062" r:id="rId2" display="https://files.afu.se/Downloads/Transcripts/0%20-%20Government/USA%20-%20NASA%20Johnson/"/>
    <hyperlink ref="C3063" r:id="rId3064" display="https://youtu.be/wkSSxjch1cM"/>
    <hyperlink ref="F3063" r:id="rId2" display="https://files.afu.se/Downloads/Transcripts/0%20-%20Government/USA%20-%20NASA%20Johnson/"/>
    <hyperlink ref="C3064" r:id="rId3065" display="https://youtu.be/Uxz7u5LDRUo"/>
    <hyperlink ref="F3064" r:id="rId2" display="https://files.afu.se/Downloads/Transcripts/0%20-%20Government/USA%20-%20NASA%20Johnson/"/>
    <hyperlink ref="C3065" r:id="rId3066" display="https://youtu.be/X-ieJKwytgI"/>
    <hyperlink ref="F3065" r:id="rId2" display="https://files.afu.se/Downloads/Transcripts/0%20-%20Government/USA%20-%20NASA%20Johnson/"/>
    <hyperlink ref="C3066" r:id="rId3067" display="https://youtu.be/_y8yfKPrDiQ"/>
    <hyperlink ref="F3066" r:id="rId2" display="https://files.afu.se/Downloads/Transcripts/0%20-%20Government/USA%20-%20NASA%20Johnson/"/>
    <hyperlink ref="C3067" r:id="rId3068" display="https://youtu.be/drWPuXfVULs"/>
    <hyperlink ref="F3067" r:id="rId2" display="https://files.afu.se/Downloads/Transcripts/0%20-%20Government/USA%20-%20NASA%20Johnson/"/>
    <hyperlink ref="C3068" r:id="rId3069" display="https://youtu.be/v7uC1qo75Is"/>
    <hyperlink ref="F3068" r:id="rId2" display="https://files.afu.se/Downloads/Transcripts/0%20-%20Government/USA%20-%20NASA%20Johnson/"/>
    <hyperlink ref="C3069" r:id="rId3070" display="https://youtu.be/TH7CHjufk2U"/>
    <hyperlink ref="F3069" r:id="rId2" display="https://files.afu.se/Downloads/Transcripts/0%20-%20Government/USA%20-%20NASA%20Johnson/"/>
    <hyperlink ref="C3070" r:id="rId3071" display="https://youtu.be/BbWcwqNogV8"/>
    <hyperlink ref="F3070" r:id="rId2" display="https://files.afu.se/Downloads/Transcripts/0%20-%20Government/USA%20-%20NASA%20Johnson/"/>
    <hyperlink ref="C3071" r:id="rId3072" display="https://youtu.be/HzZB40CfYpc"/>
    <hyperlink ref="F3071" r:id="rId2" display="https://files.afu.se/Downloads/Transcripts/0%20-%20Government/USA%20-%20NASA%20Johnson/"/>
    <hyperlink ref="C3072" r:id="rId3073" display="https://youtu.be/L6zd9d0939M"/>
    <hyperlink ref="F3072" r:id="rId2" display="https://files.afu.se/Downloads/Transcripts/0%20-%20Government/USA%20-%20NASA%20Johnson/"/>
    <hyperlink ref="C3073" r:id="rId3074" display="https://youtu.be/cTDIEybgRKI"/>
    <hyperlink ref="F3073" r:id="rId2" display="https://files.afu.se/Downloads/Transcripts/0%20-%20Government/USA%20-%20NASA%20Johnson/"/>
    <hyperlink ref="C3074" r:id="rId3075" display="https://youtu.be/UomgfVySkCY"/>
    <hyperlink ref="F3074" r:id="rId2" display="https://files.afu.se/Downloads/Transcripts/0%20-%20Government/USA%20-%20NASA%20Johnson/"/>
    <hyperlink ref="C3075" r:id="rId3076" display="https://youtu.be/dZh91nKZb7c"/>
    <hyperlink ref="F3075" r:id="rId2" display="https://files.afu.se/Downloads/Transcripts/0%20-%20Government/USA%20-%20NASA%20Johnson/"/>
    <hyperlink ref="C3076" r:id="rId3077" display="https://youtu.be/hVmAMwmS0Rw"/>
    <hyperlink ref="F3076" r:id="rId2" display="https://files.afu.se/Downloads/Transcripts/0%20-%20Government/USA%20-%20NASA%20Johnson/"/>
    <hyperlink ref="C3077" r:id="rId3078" display="https://youtu.be/oc3eiu9XeDU"/>
    <hyperlink ref="F3077" r:id="rId2" display="https://files.afu.se/Downloads/Transcripts/0%20-%20Government/USA%20-%20NASA%20Johnson/"/>
    <hyperlink ref="C3078" r:id="rId3079" display="https://youtu.be/q5c9zBbEBJw"/>
    <hyperlink ref="F3078" r:id="rId2" display="https://files.afu.se/Downloads/Transcripts/0%20-%20Government/USA%20-%20NASA%20Johnson/"/>
    <hyperlink ref="C3079" r:id="rId3080" display="https://youtu.be/sVG5OdpXdx8"/>
    <hyperlink ref="F3079" r:id="rId2" display="https://files.afu.se/Downloads/Transcripts/0%20-%20Government/USA%20-%20NASA%20Johnson/"/>
    <hyperlink ref="C3080" r:id="rId3081" display="https://youtu.be/jMO4R3Bk8Rc"/>
    <hyperlink ref="F3080" r:id="rId2" display="https://files.afu.se/Downloads/Transcripts/0%20-%20Government/USA%20-%20NASA%20Johnson/"/>
    <hyperlink ref="C3081" r:id="rId3082" display="https://youtu.be/t_FFwRYfMuE"/>
    <hyperlink ref="F3081" r:id="rId2" display="https://files.afu.se/Downloads/Transcripts/0%20-%20Government/USA%20-%20NASA%20Johnson/"/>
    <hyperlink ref="C3082" r:id="rId3083" display="https://youtu.be/0pUf1IWwRcA"/>
    <hyperlink ref="F3082" r:id="rId2" display="https://files.afu.se/Downloads/Transcripts/0%20-%20Government/USA%20-%20NASA%20Johnson/"/>
    <hyperlink ref="C3083" r:id="rId3084" display="https://youtu.be/6ZiBRDlfwVw"/>
    <hyperlink ref="F3083" r:id="rId2" display="https://files.afu.se/Downloads/Transcripts/0%20-%20Government/USA%20-%20NASA%20Johnson/"/>
    <hyperlink ref="C3084" r:id="rId3085" display="https://youtu.be/JfZqMJHHvns"/>
    <hyperlink ref="F3084" r:id="rId2" display="https://files.afu.se/Downloads/Transcripts/0%20-%20Government/USA%20-%20NASA%20Johnson/"/>
    <hyperlink ref="C3085" r:id="rId3086" display="https://youtu.be/vGnbgI7yUug"/>
    <hyperlink ref="F3085" r:id="rId2" display="https://files.afu.se/Downloads/Transcripts/0%20-%20Government/USA%20-%20NASA%20Johnson/"/>
    <hyperlink ref="C3086" r:id="rId3087" display="https://youtu.be/lTgRM5bYqCc"/>
    <hyperlink ref="F3086" r:id="rId2" display="https://files.afu.se/Downloads/Transcripts/0%20-%20Government/USA%20-%20NASA%20Johnson/"/>
    <hyperlink ref="C3087" r:id="rId3088" display="https://youtu.be/rJDYsDK5Vcw"/>
    <hyperlink ref="F3087" r:id="rId2" display="https://files.afu.se/Downloads/Transcripts/0%20-%20Government/USA%20-%20NASA%20Johnson/"/>
    <hyperlink ref="C3088" r:id="rId3089" display="https://youtu.be/BZ58Tg7nbYA"/>
    <hyperlink ref="F3088" r:id="rId2" display="https://files.afu.se/Downloads/Transcripts/0%20-%20Government/USA%20-%20NASA%20Johnson/"/>
    <hyperlink ref="C3089" r:id="rId3090" display="https://youtu.be/v8VZrP4IdZE"/>
    <hyperlink ref="F3089" r:id="rId2" display="https://files.afu.se/Downloads/Transcripts/0%20-%20Government/USA%20-%20NASA%20Johnson/"/>
    <hyperlink ref="C3090" r:id="rId3091" display="https://youtu.be/9q8MM0eDU_s"/>
    <hyperlink ref="F3090" r:id="rId2" display="https://files.afu.se/Downloads/Transcripts/0%20-%20Government/USA%20-%20NASA%20Johnson/"/>
    <hyperlink ref="C3091" r:id="rId3092" display="https://youtu.be/lxGfvKYYs1U"/>
    <hyperlink ref="F3091" r:id="rId2" display="https://files.afu.se/Downloads/Transcripts/0%20-%20Government/USA%20-%20NASA%20Johnson/"/>
    <hyperlink ref="C3092" r:id="rId3093" display="https://youtu.be/u98MCQ6dmCU"/>
    <hyperlink ref="F3092" r:id="rId2" display="https://files.afu.se/Downloads/Transcripts/0%20-%20Government/USA%20-%20NASA%20Johnson/"/>
    <hyperlink ref="C3093" r:id="rId3094" display="https://youtu.be/6vuryY-Zqnw"/>
    <hyperlink ref="F3093" r:id="rId2" display="https://files.afu.se/Downloads/Transcripts/0%20-%20Government/USA%20-%20NASA%20Johnson/"/>
    <hyperlink ref="C3094" r:id="rId3095" display="https://youtu.be/cjmJrqRgdsQ"/>
    <hyperlink ref="F3094" r:id="rId2" display="https://files.afu.se/Downloads/Transcripts/0%20-%20Government/USA%20-%20NASA%20Johnson/"/>
    <hyperlink ref="C3095" r:id="rId3096" display="https://youtu.be/QQ4Y8EGxgkU"/>
    <hyperlink ref="F3095" r:id="rId2" display="https://files.afu.se/Downloads/Transcripts/0%20-%20Government/USA%20-%20NASA%20Johnson/"/>
    <hyperlink ref="C3096" r:id="rId3097" display="https://youtu.be/_7cPt4e3vUA"/>
    <hyperlink ref="F3096" r:id="rId2" display="https://files.afu.se/Downloads/Transcripts/0%20-%20Government/USA%20-%20NASA%20Johnson/"/>
    <hyperlink ref="C3097" r:id="rId3098" display="https://youtu.be/7N-Trori7EA"/>
    <hyperlink ref="F3097" r:id="rId2" display="https://files.afu.se/Downloads/Transcripts/0%20-%20Government/USA%20-%20NASA%20Johnson/"/>
    <hyperlink ref="C3098" r:id="rId3099" display="https://youtu.be/GEzAUNmchZQ"/>
    <hyperlink ref="F3098" r:id="rId2" display="https://files.afu.se/Downloads/Transcripts/0%20-%20Government/USA%20-%20NASA%20Johnson/"/>
    <hyperlink ref="C3099" r:id="rId3100" display="https://youtu.be/ATW1PyDor3k"/>
    <hyperlink ref="F3099" r:id="rId2" display="https://files.afu.se/Downloads/Transcripts/0%20-%20Government/USA%20-%20NASA%20Johnson/"/>
    <hyperlink ref="C3100" r:id="rId3101" display="https://youtu.be/AitL5M7VzHo"/>
    <hyperlink ref="F3100" r:id="rId2" display="https://files.afu.se/Downloads/Transcripts/0%20-%20Government/USA%20-%20NASA%20Johnson/"/>
    <hyperlink ref="C3101" r:id="rId3102" display="https://youtu.be/b08QZVJzz38"/>
    <hyperlink ref="F3101" r:id="rId2" display="https://files.afu.se/Downloads/Transcripts/0%20-%20Government/USA%20-%20NASA%20Johnson/"/>
    <hyperlink ref="C3102" r:id="rId3103" display="https://youtu.be/gUh6iQ-mvU4"/>
    <hyperlink ref="F3102" r:id="rId2" display="https://files.afu.se/Downloads/Transcripts/0%20-%20Government/USA%20-%20NASA%20Johnson/"/>
    <hyperlink ref="C3103" r:id="rId3104" display="https://youtu.be/JN90Y_DSE2w"/>
    <hyperlink ref="F3103" r:id="rId2" display="https://files.afu.se/Downloads/Transcripts/0%20-%20Government/USA%20-%20NASA%20Johnson/"/>
    <hyperlink ref="C3104" r:id="rId3105" display="https://youtu.be/3hx3G25dSbY"/>
    <hyperlink ref="F3104" r:id="rId2" display="https://files.afu.se/Downloads/Transcripts/0%20-%20Government/USA%20-%20NASA%20Johnson/"/>
    <hyperlink ref="C3105" r:id="rId3106" display="https://youtu.be/1z4Kj5YsYLY"/>
    <hyperlink ref="F3105" r:id="rId2" display="https://files.afu.se/Downloads/Transcripts/0%20-%20Government/USA%20-%20NASA%20Johnson/"/>
    <hyperlink ref="C3106" r:id="rId3107" display="https://youtu.be/ZAId-Sf5m4U"/>
    <hyperlink ref="F3106" r:id="rId2" display="https://files.afu.se/Downloads/Transcripts/0%20-%20Government/USA%20-%20NASA%20Johnson/"/>
    <hyperlink ref="C3107" r:id="rId3108" display="https://youtu.be/QqwTBUJiOCE"/>
    <hyperlink ref="F3107" r:id="rId2" display="https://files.afu.se/Downloads/Transcripts/0%20-%20Government/USA%20-%20NASA%20Johnson/"/>
    <hyperlink ref="C3108" r:id="rId3109" display="https://youtu.be/aoZIwtgEqKY"/>
    <hyperlink ref="F3108" r:id="rId2" display="https://files.afu.se/Downloads/Transcripts/0%20-%20Government/USA%20-%20NASA%20Johnson/"/>
    <hyperlink ref="C3109" r:id="rId3110" display="https://youtu.be/hAnJHSzHD1Q"/>
    <hyperlink ref="F3109" r:id="rId2" display="https://files.afu.se/Downloads/Transcripts/0%20-%20Government/USA%20-%20NASA%20Johnson/"/>
    <hyperlink ref="C3110" r:id="rId3111" display="https://youtu.be/NoX0GYwCdBE"/>
    <hyperlink ref="F3110" r:id="rId2" display="https://files.afu.se/Downloads/Transcripts/0%20-%20Government/USA%20-%20NASA%20Johnson/"/>
    <hyperlink ref="C3111" r:id="rId3112" display="https://youtu.be/O49YHkVVm8c"/>
    <hyperlink ref="F3111" r:id="rId2" display="https://files.afu.se/Downloads/Transcripts/0%20-%20Government/USA%20-%20NASA%20Johnson/"/>
    <hyperlink ref="C3112" r:id="rId3113" display="https://youtu.be/hH2qZs7vH8g"/>
    <hyperlink ref="F3112" r:id="rId2" display="https://files.afu.se/Downloads/Transcripts/0%20-%20Government/USA%20-%20NASA%20Johnson/"/>
    <hyperlink ref="C3113" r:id="rId3114" display="https://youtu.be/RiD2uxMO12Q"/>
    <hyperlink ref="F3113" r:id="rId2" display="https://files.afu.se/Downloads/Transcripts/0%20-%20Government/USA%20-%20NASA%20Johnson/"/>
    <hyperlink ref="C3114" r:id="rId3115" display="https://youtu.be/Ijdu7-_NH0Y"/>
    <hyperlink ref="F3114" r:id="rId2" display="https://files.afu.se/Downloads/Transcripts/0%20-%20Government/USA%20-%20NASA%20Johnson/"/>
    <hyperlink ref="C3115" r:id="rId3116" display="https://youtu.be/0bPJWcmQAwE"/>
    <hyperlink ref="F3115" r:id="rId2" display="https://files.afu.se/Downloads/Transcripts/0%20-%20Government/USA%20-%20NASA%20Johnson/"/>
    <hyperlink ref="C3116" r:id="rId3117" display="https://youtu.be/uOQqkKECS5Y"/>
    <hyperlink ref="F3116" r:id="rId2" display="https://files.afu.se/Downloads/Transcripts/0%20-%20Government/USA%20-%20NASA%20Johnson/"/>
    <hyperlink ref="C3117" r:id="rId3118" display="https://youtu.be/h82WfPfzahE"/>
    <hyperlink ref="F3117" r:id="rId2" display="https://files.afu.se/Downloads/Transcripts/0%20-%20Government/USA%20-%20NASA%20Johnson/"/>
    <hyperlink ref="C3118" r:id="rId3119" display="https://youtu.be/CpJYF2o9nBQ"/>
    <hyperlink ref="F3118" r:id="rId2" display="https://files.afu.se/Downloads/Transcripts/0%20-%20Government/USA%20-%20NASA%20Johnson/"/>
    <hyperlink ref="C3119" r:id="rId3120" display="https://youtu.be/_zhZ2v4Aq70"/>
    <hyperlink ref="F3119" r:id="rId2" display="https://files.afu.se/Downloads/Transcripts/0%20-%20Government/USA%20-%20NASA%20Johnson/"/>
    <hyperlink ref="C3120" r:id="rId3121" display="https://youtu.be/MaXdoqq3Dzs"/>
    <hyperlink ref="F3120" r:id="rId2" display="https://files.afu.se/Downloads/Transcripts/0%20-%20Government/USA%20-%20NASA%20Johnson/"/>
    <hyperlink ref="C3121" r:id="rId3122" display="https://youtu.be/H5USGLITwaU"/>
    <hyperlink ref="F3121" r:id="rId2" display="https://files.afu.se/Downloads/Transcripts/0%20-%20Government/USA%20-%20NASA%20Johnson/"/>
    <hyperlink ref="C3122" r:id="rId3123" display="https://youtu.be/FL4ZuAR_w2k"/>
    <hyperlink ref="F3122" r:id="rId2" display="https://files.afu.se/Downloads/Transcripts/0%20-%20Government/USA%20-%20NASA%20Johnson/"/>
    <hyperlink ref="C3123" r:id="rId3124" display="https://youtu.be/UIg2-B9ufDo"/>
    <hyperlink ref="F3123" r:id="rId2" display="https://files.afu.se/Downloads/Transcripts/0%20-%20Government/USA%20-%20NASA%20Johnson/"/>
    <hyperlink ref="C3124" r:id="rId3125" display="https://youtu.be/DAp1_ADRt-E"/>
    <hyperlink ref="F3124" r:id="rId2" display="https://files.afu.se/Downloads/Transcripts/0%20-%20Government/USA%20-%20NASA%20Johnson/"/>
    <hyperlink ref="C3125" r:id="rId3126" display="https://youtu.be/kFDNzGbvbGg"/>
    <hyperlink ref="F3125" r:id="rId2" display="https://files.afu.se/Downloads/Transcripts/0%20-%20Government/USA%20-%20NASA%20Johnson/"/>
    <hyperlink ref="C3126" r:id="rId3127" display="https://youtu.be/cA6QzliwHks"/>
    <hyperlink ref="F3126" r:id="rId2" display="https://files.afu.se/Downloads/Transcripts/0%20-%20Government/USA%20-%20NASA%20Johnson/"/>
    <hyperlink ref="C3127" r:id="rId3128" display="https://youtu.be/7JmJfl7_BDo"/>
    <hyperlink ref="F3127" r:id="rId2" display="https://files.afu.se/Downloads/Transcripts/0%20-%20Government/USA%20-%20NASA%20Johnson/"/>
    <hyperlink ref="C3128" r:id="rId3129" display="https://youtu.be/F5MwZu7Sehc"/>
    <hyperlink ref="F3128" r:id="rId2" display="https://files.afu.se/Downloads/Transcripts/0%20-%20Government/USA%20-%20NASA%20Johnson/"/>
    <hyperlink ref="C3129" r:id="rId3130" display="https://youtu.be/NKPKG5RbGuw"/>
    <hyperlink ref="F3129" r:id="rId2" display="https://files.afu.se/Downloads/Transcripts/0%20-%20Government/USA%20-%20NASA%20Johnson/"/>
    <hyperlink ref="C3130" r:id="rId3131" display="https://youtu.be/v_LTCS1bjVI"/>
    <hyperlink ref="F3130" r:id="rId2" display="https://files.afu.se/Downloads/Transcripts/0%20-%20Government/USA%20-%20NASA%20Johnson/"/>
    <hyperlink ref="C3131" r:id="rId3132" display="https://youtu.be/aqgtNcyLkEo"/>
    <hyperlink ref="F3131" r:id="rId2" display="https://files.afu.se/Downloads/Transcripts/0%20-%20Government/USA%20-%20NASA%20Johnson/"/>
    <hyperlink ref="C3132" r:id="rId3133" display="https://youtu.be/GsN8OWIAO38"/>
    <hyperlink ref="F3132" r:id="rId2" display="https://files.afu.se/Downloads/Transcripts/0%20-%20Government/USA%20-%20NASA%20Johnson/"/>
    <hyperlink ref="C3133" r:id="rId3134" display="https://youtu.be/h3VvtEQnwZI"/>
    <hyperlink ref="F3133" r:id="rId2" display="https://files.afu.se/Downloads/Transcripts/0%20-%20Government/USA%20-%20NASA%20Johnson/"/>
    <hyperlink ref="C3134" r:id="rId3135" display="https://youtu.be/xZq7FWSlhfE"/>
    <hyperlink ref="F3134" r:id="rId2" display="https://files.afu.se/Downloads/Transcripts/0%20-%20Government/USA%20-%20NASA%20Johnson/"/>
    <hyperlink ref="C3135" r:id="rId3136" display="https://youtu.be/y2zoqq4_Uh4"/>
    <hyperlink ref="F3135" r:id="rId2" display="https://files.afu.se/Downloads/Transcripts/0%20-%20Government/USA%20-%20NASA%20Johnson/"/>
    <hyperlink ref="C3136" r:id="rId3137" display="https://youtu.be/mHI8RoltA4E"/>
    <hyperlink ref="F3136" r:id="rId2" display="https://files.afu.se/Downloads/Transcripts/0%20-%20Government/USA%20-%20NASA%20Johnson/"/>
    <hyperlink ref="C3137" r:id="rId3138" display="https://youtu.be/Qanwvvbe8bM"/>
    <hyperlink ref="F3137" r:id="rId2" display="https://files.afu.se/Downloads/Transcripts/0%20-%20Government/USA%20-%20NASA%20Johnson/"/>
    <hyperlink ref="C3138" r:id="rId3139" display="https://youtu.be/WRSncTLMRZM"/>
    <hyperlink ref="F3138" r:id="rId2" display="https://files.afu.se/Downloads/Transcripts/0%20-%20Government/USA%20-%20NASA%20Johnson/"/>
    <hyperlink ref="C3139" r:id="rId3140" display="https://youtu.be/k4s1IADXwUI"/>
    <hyperlink ref="F3139" r:id="rId2" display="https://files.afu.se/Downloads/Transcripts/0%20-%20Government/USA%20-%20NASA%20Johnson/"/>
    <hyperlink ref="C3140" r:id="rId3141" display="https://youtu.be/21df24FXt_E"/>
    <hyperlink ref="F3140" r:id="rId2" display="https://files.afu.se/Downloads/Transcripts/0%20-%20Government/USA%20-%20NASA%20Johnson/"/>
    <hyperlink ref="C3141" r:id="rId3142" display="https://youtu.be/i8WTPOYqTzU"/>
    <hyperlink ref="F3141" r:id="rId2" display="https://files.afu.se/Downloads/Transcripts/0%20-%20Government/USA%20-%20NASA%20Johnson/"/>
    <hyperlink ref="C3142" r:id="rId3143" display="https://youtu.be/pZtN85mHkLY"/>
    <hyperlink ref="F3142" r:id="rId2" display="https://files.afu.se/Downloads/Transcripts/0%20-%20Government/USA%20-%20NASA%20Johnson/"/>
    <hyperlink ref="C3143" r:id="rId3144" display="https://youtu.be/QubDudI0XVc"/>
    <hyperlink ref="F3143" r:id="rId2" display="https://files.afu.se/Downloads/Transcripts/0%20-%20Government/USA%20-%20NASA%20Johnson/"/>
    <hyperlink ref="C3144" r:id="rId3145" display="https://youtu.be/WCpy0IUKt0Q"/>
    <hyperlink ref="F3144" r:id="rId2" display="https://files.afu.se/Downloads/Transcripts/0%20-%20Government/USA%20-%20NASA%20Johnson/"/>
    <hyperlink ref="C3145" r:id="rId3146" display="https://youtu.be/f-APIYEuAfQ"/>
    <hyperlink ref="F3145" r:id="rId2" display="https://files.afu.se/Downloads/Transcripts/0%20-%20Government/USA%20-%20NASA%20Johnson/"/>
    <hyperlink ref="C3146" r:id="rId3147" display="https://youtu.be/23UliVfrjXA"/>
    <hyperlink ref="F3146" r:id="rId2" display="https://files.afu.se/Downloads/Transcripts/0%20-%20Government/USA%20-%20NASA%20Johnson/"/>
    <hyperlink ref="C3147" r:id="rId3148" display="https://youtu.be/qv-ZNyFVat4"/>
    <hyperlink ref="F3147" r:id="rId2" display="https://files.afu.se/Downloads/Transcripts/0%20-%20Government/USA%20-%20NASA%20Johnson/"/>
    <hyperlink ref="C3148" r:id="rId3149" display="https://youtu.be/htoZwE8n--Q"/>
    <hyperlink ref="F3148" r:id="rId2" display="https://files.afu.se/Downloads/Transcripts/0%20-%20Government/USA%20-%20NASA%20Johnson/"/>
    <hyperlink ref="C3149" r:id="rId3150" display="https://youtu.be/yuyEWbWRu5M"/>
    <hyperlink ref="F3149" r:id="rId2" display="https://files.afu.se/Downloads/Transcripts/0%20-%20Government/USA%20-%20NASA%20Johnson/"/>
    <hyperlink ref="C3150" r:id="rId3151" display="https://youtu.be/5LWtMqGbjtA"/>
    <hyperlink ref="F3150" r:id="rId2" display="https://files.afu.se/Downloads/Transcripts/0%20-%20Government/USA%20-%20NASA%20Johnson/"/>
    <hyperlink ref="C3151" r:id="rId3152" display="https://youtu.be/QhunCY-8L9Q"/>
    <hyperlink ref="F3151" r:id="rId2" display="https://files.afu.se/Downloads/Transcripts/0%20-%20Government/USA%20-%20NASA%20Johnson/"/>
    <hyperlink ref="C3152" r:id="rId3153" display="https://youtu.be/ZoRFCPDcU1o"/>
    <hyperlink ref="F3152" r:id="rId2" display="https://files.afu.se/Downloads/Transcripts/0%20-%20Government/USA%20-%20NASA%20Johnson/"/>
    <hyperlink ref="C3153" r:id="rId3154" display="https://youtu.be/IC4gU69QAD0"/>
    <hyperlink ref="F3153" r:id="rId2" display="https://files.afu.se/Downloads/Transcripts/0%20-%20Government/USA%20-%20NASA%20Johnson/"/>
    <hyperlink ref="C3154" r:id="rId3155" display="https://youtu.be/u5UjyQh44tw"/>
    <hyperlink ref="F3154" r:id="rId2" display="https://files.afu.se/Downloads/Transcripts/0%20-%20Government/USA%20-%20NASA%20Johnson/"/>
    <hyperlink ref="C3155" r:id="rId3156" display="https://youtu.be/8Preb1cb8wY"/>
    <hyperlink ref="F3155" r:id="rId2" display="https://files.afu.se/Downloads/Transcripts/0%20-%20Government/USA%20-%20NASA%20Johnson/"/>
    <hyperlink ref="C3156" r:id="rId3157" display="https://youtu.be/WbYAX1lXotE"/>
    <hyperlink ref="F3156" r:id="rId2" display="https://files.afu.se/Downloads/Transcripts/0%20-%20Government/USA%20-%20NASA%20Johnson/"/>
    <hyperlink ref="C3157" r:id="rId3158" display="https://youtu.be/yTWDQFmso6Y"/>
    <hyperlink ref="F3157" r:id="rId2" display="https://files.afu.se/Downloads/Transcripts/0%20-%20Government/USA%20-%20NASA%20Johnson/"/>
    <hyperlink ref="C3158" r:id="rId3159" display="https://youtu.be/C-263gf6kbA"/>
    <hyperlink ref="F3158" r:id="rId2" display="https://files.afu.se/Downloads/Transcripts/0%20-%20Government/USA%20-%20NASA%20Johnson/"/>
    <hyperlink ref="C3159" r:id="rId3160" display="https://youtu.be/s_BeSndIuG0"/>
    <hyperlink ref="F3159" r:id="rId2" display="https://files.afu.se/Downloads/Transcripts/0%20-%20Government/USA%20-%20NASA%20Johnson/"/>
    <hyperlink ref="C3160" r:id="rId3161" display="https://youtu.be/iq4YaTqGcf4"/>
    <hyperlink ref="F3160" r:id="rId2" display="https://files.afu.se/Downloads/Transcripts/0%20-%20Government/USA%20-%20NASA%20Johnson/"/>
    <hyperlink ref="C3161" r:id="rId3162" display="https://youtu.be/glKR892dYrQ"/>
    <hyperlink ref="F3161" r:id="rId2" display="https://files.afu.se/Downloads/Transcripts/0%20-%20Government/USA%20-%20NASA%20Johnson/"/>
    <hyperlink ref="C3162" r:id="rId3163" display="https://youtu.be/Jz56V4mapyE"/>
    <hyperlink ref="F3162" r:id="rId2" display="https://files.afu.se/Downloads/Transcripts/0%20-%20Government/USA%20-%20NASA%20Johnson/"/>
    <hyperlink ref="C3163" r:id="rId3164" display="https://youtu.be/XfbOx3oalH0"/>
    <hyperlink ref="F3163" r:id="rId2" display="https://files.afu.se/Downloads/Transcripts/0%20-%20Government/USA%20-%20NASA%20Johnson/"/>
    <hyperlink ref="C3164" r:id="rId3165" display="https://youtu.be/NC3-zqZ_2QA"/>
    <hyperlink ref="F3164" r:id="rId2" display="https://files.afu.se/Downloads/Transcripts/0%20-%20Government/USA%20-%20NASA%20Johnson/"/>
    <hyperlink ref="C3165" r:id="rId3166" display="https://youtu.be/Olopl-2tIB8"/>
    <hyperlink ref="F3165" r:id="rId2" display="https://files.afu.se/Downloads/Transcripts/0%20-%20Government/USA%20-%20NASA%20Johnson/"/>
    <hyperlink ref="C3166" r:id="rId3167" display="https://youtu.be/DUgOPnmUySo"/>
    <hyperlink ref="F3166" r:id="rId2" display="https://files.afu.se/Downloads/Transcripts/0%20-%20Government/USA%20-%20NASA%20Johnson/"/>
    <hyperlink ref="C3167" r:id="rId3168" display="https://youtu.be/aN87yKcqZyE"/>
    <hyperlink ref="F3167" r:id="rId2" display="https://files.afu.se/Downloads/Transcripts/0%20-%20Government/USA%20-%20NASA%20Johnson/"/>
    <hyperlink ref="C3168" r:id="rId3169" display="https://youtu.be/3uVNN82Wyz4"/>
    <hyperlink ref="F3168" r:id="rId2" display="https://files.afu.se/Downloads/Transcripts/0%20-%20Government/USA%20-%20NASA%20Johnson/"/>
    <hyperlink ref="C3169" r:id="rId3170" display="https://youtu.be/0ae2h8Qu66Y"/>
    <hyperlink ref="F3169" r:id="rId2" display="https://files.afu.se/Downloads/Transcripts/0%20-%20Government/USA%20-%20NASA%20Johnson/"/>
    <hyperlink ref="C3170" r:id="rId3171" display="https://youtu.be/aQMwLQZR0FM"/>
    <hyperlink ref="F3170" r:id="rId2" display="https://files.afu.se/Downloads/Transcripts/0%20-%20Government/USA%20-%20NASA%20Johnson/"/>
    <hyperlink ref="C3171" r:id="rId3172" display="https://youtu.be/ezL6x5-_eg4"/>
    <hyperlink ref="F3171" r:id="rId2" display="https://files.afu.se/Downloads/Transcripts/0%20-%20Government/USA%20-%20NASA%20Johnson/"/>
    <hyperlink ref="C3172" r:id="rId3173" display="https://youtu.be/D-W6c_jQex8"/>
    <hyperlink ref="F3172" r:id="rId2" display="https://files.afu.se/Downloads/Transcripts/0%20-%20Government/USA%20-%20NASA%20Johnson/"/>
    <hyperlink ref="C3173" r:id="rId3174" display="https://youtu.be/cmHamp0IIyE"/>
    <hyperlink ref="F3173" r:id="rId2" display="https://files.afu.se/Downloads/Transcripts/0%20-%20Government/USA%20-%20NASA%20Johnson/"/>
    <hyperlink ref="C3174" r:id="rId3175" display="https://youtu.be/cAHB5WEzlD0"/>
    <hyperlink ref="F3174" r:id="rId2" display="https://files.afu.se/Downloads/Transcripts/0%20-%20Government/USA%20-%20NASA%20Johnson/"/>
    <hyperlink ref="C3175" r:id="rId3176" display="https://youtu.be/xkmyhixBHyE"/>
    <hyperlink ref="F3175" r:id="rId2" display="https://files.afu.se/Downloads/Transcripts/0%20-%20Government/USA%20-%20NASA%20Johnson/"/>
    <hyperlink ref="C3176" r:id="rId3177" display="https://youtu.be/eu0Mgn0TKA8"/>
    <hyperlink ref="F3176" r:id="rId2" display="https://files.afu.se/Downloads/Transcripts/0%20-%20Government/USA%20-%20NASA%20Johnson/"/>
    <hyperlink ref="C3177" r:id="rId3178" display="https://youtu.be/P4N1EX8i1CU"/>
    <hyperlink ref="F3177" r:id="rId2" display="https://files.afu.se/Downloads/Transcripts/0%20-%20Government/USA%20-%20NASA%20Johnson/"/>
    <hyperlink ref="C3178" r:id="rId3179" display="https://youtu.be/0JVP7laAxx0"/>
    <hyperlink ref="F3178" r:id="rId2" display="https://files.afu.se/Downloads/Transcripts/0%20-%20Government/USA%20-%20NASA%20Johnson/"/>
    <hyperlink ref="C3179" r:id="rId3180" display="https://youtu.be/uXnr1biU5hc"/>
    <hyperlink ref="F3179" r:id="rId2" display="https://files.afu.se/Downloads/Transcripts/0%20-%20Government/USA%20-%20NASA%20Johnson/"/>
    <hyperlink ref="C3180" r:id="rId3181" display="https://youtu.be/KrEvxcrqBUI"/>
    <hyperlink ref="F3180" r:id="rId2" display="https://files.afu.se/Downloads/Transcripts/0%20-%20Government/USA%20-%20NASA%20Johnson/"/>
    <hyperlink ref="C3181" r:id="rId3182" display="https://youtu.be/5-8u1vsM3fs"/>
    <hyperlink ref="F3181" r:id="rId2" display="https://files.afu.se/Downloads/Transcripts/0%20-%20Government/USA%20-%20NASA%20Johnson/"/>
    <hyperlink ref="C3182" r:id="rId3183" display="https://youtu.be/E4eRsi0mFVA"/>
    <hyperlink ref="F3182" r:id="rId2" display="https://files.afu.se/Downloads/Transcripts/0%20-%20Government/USA%20-%20NASA%20Johnson/"/>
    <hyperlink ref="C3183" r:id="rId3184" display="https://youtu.be/MxBvdLiLV1o"/>
    <hyperlink ref="F3183" r:id="rId2" display="https://files.afu.se/Downloads/Transcripts/0%20-%20Government/USA%20-%20NASA%20Johnson/"/>
    <hyperlink ref="C3184" r:id="rId3185" display="https://youtu.be/7OszRMkK2Q0"/>
    <hyperlink ref="F3184" r:id="rId2" display="https://files.afu.se/Downloads/Transcripts/0%20-%20Government/USA%20-%20NASA%20Johnson/"/>
    <hyperlink ref="C3185" r:id="rId3186" display="https://youtu.be/zvqH8K7x2dM"/>
    <hyperlink ref="F3185" r:id="rId2" display="https://files.afu.se/Downloads/Transcripts/0%20-%20Government/USA%20-%20NASA%20Johnson/"/>
    <hyperlink ref="C3186" r:id="rId3187" display="https://youtu.be/hrI8mqeY3f0"/>
    <hyperlink ref="F3186" r:id="rId2" display="https://files.afu.se/Downloads/Transcripts/0%20-%20Government/USA%20-%20NASA%20Johnson/"/>
    <hyperlink ref="C3187" r:id="rId3188" display="https://youtu.be/MbruHIt_oR4"/>
    <hyperlink ref="F3187" r:id="rId2" display="https://files.afu.se/Downloads/Transcripts/0%20-%20Government/USA%20-%20NASA%20Johnson/"/>
    <hyperlink ref="C3188" r:id="rId3189" display="https://youtu.be/yAYqf5E6qIY"/>
    <hyperlink ref="F3188" r:id="rId2" display="https://files.afu.se/Downloads/Transcripts/0%20-%20Government/USA%20-%20NASA%20Johnson/"/>
    <hyperlink ref="C3189" r:id="rId3190" display="https://youtu.be/a5c_eTwAn0o"/>
    <hyperlink ref="F3189" r:id="rId2" display="https://files.afu.se/Downloads/Transcripts/0%20-%20Government/USA%20-%20NASA%20Johnson/"/>
    <hyperlink ref="C3190" r:id="rId3191" display="https://youtu.be/4iVaqZGti-A"/>
    <hyperlink ref="F3190" r:id="rId2" display="https://files.afu.se/Downloads/Transcripts/0%20-%20Government/USA%20-%20NASA%20Johnson/"/>
    <hyperlink ref="C3191" r:id="rId3192" display="https://youtu.be/0CUDg0FxuJk"/>
    <hyperlink ref="F3191" r:id="rId2" display="https://files.afu.se/Downloads/Transcripts/0%20-%20Government/USA%20-%20NASA%20Johnson/"/>
    <hyperlink ref="C3192" r:id="rId3193" display="https://youtu.be/C2njqePX4eY"/>
    <hyperlink ref="F3192" r:id="rId2" display="https://files.afu.se/Downloads/Transcripts/0%20-%20Government/USA%20-%20NASA%20Johnson/"/>
    <hyperlink ref="C3193" r:id="rId3194" display="https://youtu.be/IDE7X_K8gT8"/>
    <hyperlink ref="F3193" r:id="rId2" display="https://files.afu.se/Downloads/Transcripts/0%20-%20Government/USA%20-%20NASA%20Johnson/"/>
    <hyperlink ref="C3194" r:id="rId3195" display="https://youtu.be/4GvDoczaGDI"/>
    <hyperlink ref="F3194" r:id="rId2" display="https://files.afu.se/Downloads/Transcripts/0%20-%20Government/USA%20-%20NASA%20Johnson/"/>
    <hyperlink ref="C3195" r:id="rId3196" display="https://youtu.be/i1oR8FsJP7I"/>
    <hyperlink ref="F3195" r:id="rId2" display="https://files.afu.se/Downloads/Transcripts/0%20-%20Government/USA%20-%20NASA%20Johnson/"/>
    <hyperlink ref="C3196" r:id="rId3197" display="https://youtu.be/1UCRJ17Kshc"/>
    <hyperlink ref="F3196" r:id="rId2" display="https://files.afu.se/Downloads/Transcripts/0%20-%20Government/USA%20-%20NASA%20Johnson/"/>
    <hyperlink ref="C3197" r:id="rId3198" display="https://youtu.be/X9fXS4-WlWE"/>
    <hyperlink ref="F3197" r:id="rId2" display="https://files.afu.se/Downloads/Transcripts/0%20-%20Government/USA%20-%20NASA%20Johnson/"/>
    <hyperlink ref="C3198" r:id="rId3199" display="https://youtu.be/QTcJGJkx-r4"/>
    <hyperlink ref="F3198" r:id="rId2" display="https://files.afu.se/Downloads/Transcripts/0%20-%20Government/USA%20-%20NASA%20Johnson/"/>
    <hyperlink ref="C3199" r:id="rId3200" display="https://youtu.be/nnEzjiX9tcQ"/>
    <hyperlink ref="F3199" r:id="rId2" display="https://files.afu.se/Downloads/Transcripts/0%20-%20Government/USA%20-%20NASA%20Johnson/"/>
    <hyperlink ref="C3200" r:id="rId3201" display="https://youtu.be/85VF5gsGFCQ"/>
    <hyperlink ref="F3200" r:id="rId2" display="https://files.afu.se/Downloads/Transcripts/0%20-%20Government/USA%20-%20NASA%20Johnson/"/>
    <hyperlink ref="C3201" r:id="rId3202" display="https://youtu.be/ipz5C4FHHcw"/>
    <hyperlink ref="F3201" r:id="rId2" display="https://files.afu.se/Downloads/Transcripts/0%20-%20Government/USA%20-%20NASA%20Johnson/"/>
    <hyperlink ref="C3202" r:id="rId3203" display="https://youtu.be/YsrCwBWxvr0"/>
    <hyperlink ref="F3202" r:id="rId2" display="https://files.afu.se/Downloads/Transcripts/0%20-%20Government/USA%20-%20NASA%20Johnson/"/>
    <hyperlink ref="C3203" r:id="rId3204" display="https://youtu.be/_NEW3_yqQLc"/>
    <hyperlink ref="F3203" r:id="rId2" display="https://files.afu.se/Downloads/Transcripts/0%20-%20Government/USA%20-%20NASA%20Johnson/"/>
    <hyperlink ref="C3204" r:id="rId3205" display="https://youtu.be/P82-HZQPimY"/>
    <hyperlink ref="F3204" r:id="rId2" display="https://files.afu.se/Downloads/Transcripts/0%20-%20Government/USA%20-%20NASA%20Johnson/"/>
    <hyperlink ref="C3205" r:id="rId3206" display="https://youtu.be/uRXiK-MilD4"/>
    <hyperlink ref="F3205" r:id="rId2" display="https://files.afu.se/Downloads/Transcripts/0%20-%20Government/USA%20-%20NASA%20Johnson/"/>
    <hyperlink ref="C3206" r:id="rId3207" display="https://youtu.be/iyu5nr29k_0"/>
    <hyperlink ref="F3206" r:id="rId2" display="https://files.afu.se/Downloads/Transcripts/0%20-%20Government/USA%20-%20NASA%20Johnson/"/>
    <hyperlink ref="C3207" r:id="rId3208" display="https://youtu.be/YFdWEcPocl8"/>
    <hyperlink ref="F3207" r:id="rId2" display="https://files.afu.se/Downloads/Transcripts/0%20-%20Government/USA%20-%20NASA%20Johnson/"/>
    <hyperlink ref="C3208" r:id="rId3209" display="https://youtu.be/nc6wPVritfk"/>
    <hyperlink ref="F3208" r:id="rId2" display="https://files.afu.se/Downloads/Transcripts/0%20-%20Government/USA%20-%20NASA%20Johnson/"/>
    <hyperlink ref="C3209" r:id="rId3210" display="https://youtu.be/gkqE-gzehug"/>
    <hyperlink ref="F3209" r:id="rId2" display="https://files.afu.se/Downloads/Transcripts/0%20-%20Government/USA%20-%20NASA%20Johnson/"/>
    <hyperlink ref="C3210" r:id="rId3211" display="https://youtu.be/8_Rd88i9nTc"/>
    <hyperlink ref="F3210" r:id="rId2" display="https://files.afu.se/Downloads/Transcripts/0%20-%20Government/USA%20-%20NASA%20Johnson/"/>
    <hyperlink ref="C3211" r:id="rId3212" display="https://youtu.be/cywqwYCumK0"/>
    <hyperlink ref="F3211" r:id="rId2" display="https://files.afu.se/Downloads/Transcripts/0%20-%20Government/USA%20-%20NASA%20Johnson/"/>
    <hyperlink ref="C3212" r:id="rId3213" display="https://youtu.be/KkvH48f5a00"/>
    <hyperlink ref="F3212" r:id="rId2" display="https://files.afu.se/Downloads/Transcripts/0%20-%20Government/USA%20-%20NASA%20Johnson/"/>
    <hyperlink ref="C3213" r:id="rId3214" display="https://youtu.be/Lc4hSYGr0m8"/>
    <hyperlink ref="F3213" r:id="rId2" display="https://files.afu.se/Downloads/Transcripts/0%20-%20Government/USA%20-%20NASA%20Johnson/"/>
    <hyperlink ref="C3214" r:id="rId3215" display="https://youtu.be/Ug23fU1Kdo0"/>
    <hyperlink ref="F3214" r:id="rId2" display="https://files.afu.se/Downloads/Transcripts/0%20-%20Government/USA%20-%20NASA%20Johnson/"/>
    <hyperlink ref="C3215" r:id="rId3216" display="https://youtu.be/3Ia6WSMHYCw"/>
    <hyperlink ref="F3215" r:id="rId2" display="https://files.afu.se/Downloads/Transcripts/0%20-%20Government/USA%20-%20NASA%20Johnson/"/>
    <hyperlink ref="C3216" r:id="rId3217" display="https://youtu.be/AyRGHhFF-bA"/>
    <hyperlink ref="F3216" r:id="rId2" display="https://files.afu.se/Downloads/Transcripts/0%20-%20Government/USA%20-%20NASA%20Johnson/"/>
    <hyperlink ref="C3217" r:id="rId3218" display="https://youtu.be/sffla8Akq9w"/>
    <hyperlink ref="F3217" r:id="rId2" display="https://files.afu.se/Downloads/Transcripts/0%20-%20Government/USA%20-%20NASA%20Johnson/"/>
    <hyperlink ref="C3218" r:id="rId3219" display="https://youtu.be/_chpcVf-uEs"/>
    <hyperlink ref="F3218" r:id="rId2" display="https://files.afu.se/Downloads/Transcripts/0%20-%20Government/USA%20-%20NASA%20Johnson/"/>
    <hyperlink ref="C3219" r:id="rId3220" display="https://youtu.be/jMzwyr0qNZI"/>
    <hyperlink ref="F3219" r:id="rId2" display="https://files.afu.se/Downloads/Transcripts/0%20-%20Government/USA%20-%20NASA%20Johnson/"/>
    <hyperlink ref="C3220" r:id="rId3221" display="https://youtu.be/2mA1lx_019g"/>
    <hyperlink ref="F3220" r:id="rId2" display="https://files.afu.se/Downloads/Transcripts/0%20-%20Government/USA%20-%20NASA%20Johnson/"/>
    <hyperlink ref="C3221" r:id="rId3222" display="https://youtu.be/cC7khEUs4-U"/>
    <hyperlink ref="F3221" r:id="rId2" display="https://files.afu.se/Downloads/Transcripts/0%20-%20Government/USA%20-%20NASA%20Johnson/"/>
    <hyperlink ref="C3222" r:id="rId3223" display="https://youtu.be/h50Ky6sN8FI"/>
    <hyperlink ref="F3222" r:id="rId2" display="https://files.afu.se/Downloads/Transcripts/0%20-%20Government/USA%20-%20NASA%20Johnson/"/>
    <hyperlink ref="C3223" r:id="rId3224" display="https://youtu.be/Vohdz0rzdGs"/>
    <hyperlink ref="F3223" r:id="rId2" display="https://files.afu.se/Downloads/Transcripts/0%20-%20Government/USA%20-%20NASA%20Johnson/"/>
    <hyperlink ref="C3224" r:id="rId3225" display="https://youtu.be/FwtptrZzQak"/>
    <hyperlink ref="F3224" r:id="rId2" display="https://files.afu.se/Downloads/Transcripts/0%20-%20Government/USA%20-%20NASA%20Johnson/"/>
    <hyperlink ref="C3225" r:id="rId3226" display="https://youtu.be/9xxoESx8iFc"/>
    <hyperlink ref="F3225" r:id="rId2" display="https://files.afu.se/Downloads/Transcripts/0%20-%20Government/USA%20-%20NASA%20Johnson/"/>
    <hyperlink ref="C3226" r:id="rId3227" display="https://youtu.be/MH85D7oOnvw"/>
    <hyperlink ref="F3226" r:id="rId2" display="https://files.afu.se/Downloads/Transcripts/0%20-%20Government/USA%20-%20NASA%20Johnson/"/>
    <hyperlink ref="C3227" r:id="rId3228" display="https://youtu.be/_2UKwOaFxko"/>
    <hyperlink ref="F3227" r:id="rId2" display="https://files.afu.se/Downloads/Transcripts/0%20-%20Government/USA%20-%20NASA%20Johnson/"/>
    <hyperlink ref="C3228" r:id="rId3229" display="https://youtu.be/jdtQuTwF1i8"/>
    <hyperlink ref="F3228" r:id="rId2" display="https://files.afu.se/Downloads/Transcripts/0%20-%20Government/USA%20-%20NASA%20Johnson/"/>
    <hyperlink ref="C3229" r:id="rId3230" display="https://youtu.be/nCNVGwkL7DE"/>
    <hyperlink ref="F3229" r:id="rId2" display="https://files.afu.se/Downloads/Transcripts/0%20-%20Government/USA%20-%20NASA%20Johnson/"/>
    <hyperlink ref="C3230" r:id="rId3231" display="https://youtu.be/a74Q-QCVs70"/>
    <hyperlink ref="F3230" r:id="rId2" display="https://files.afu.se/Downloads/Transcripts/0%20-%20Government/USA%20-%20NASA%20Johnson/"/>
    <hyperlink ref="C3231" r:id="rId3232" display="https://youtu.be/QmQrRC6lerk"/>
    <hyperlink ref="F3231" r:id="rId2" display="https://files.afu.se/Downloads/Transcripts/0%20-%20Government/USA%20-%20NASA%20Johnson/"/>
    <hyperlink ref="C3232" r:id="rId3233" display="https://youtu.be/pSze4gbaL-8"/>
    <hyperlink ref="F3232" r:id="rId2" display="https://files.afu.se/Downloads/Transcripts/0%20-%20Government/USA%20-%20NASA%20Johnson/"/>
    <hyperlink ref="C3233" r:id="rId3234" display="https://youtu.be/vgfWH3g9kpY"/>
    <hyperlink ref="F3233" r:id="rId2" display="https://files.afu.se/Downloads/Transcripts/0%20-%20Government/USA%20-%20NASA%20Johnson/"/>
    <hyperlink ref="C3234" r:id="rId3235" display="https://youtu.be/zdE6nmci64Q"/>
    <hyperlink ref="F3234" r:id="rId2" display="https://files.afu.se/Downloads/Transcripts/0%20-%20Government/USA%20-%20NASA%20Johnson/"/>
    <hyperlink ref="C3235" r:id="rId3236" display="https://youtu.be/MchUnQpmTCo"/>
    <hyperlink ref="F3235" r:id="rId2" display="https://files.afu.se/Downloads/Transcripts/0%20-%20Government/USA%20-%20NASA%20Johnson/"/>
    <hyperlink ref="C3236" r:id="rId3237" display="https://youtu.be/UYs-akyPq6U"/>
    <hyperlink ref="F3236" r:id="rId2" display="https://files.afu.se/Downloads/Transcripts/0%20-%20Government/USA%20-%20NASA%20Johnson/"/>
    <hyperlink ref="C3237" r:id="rId3238" display="https://youtu.be/L1jC5W1cT5I"/>
    <hyperlink ref="F3237" r:id="rId2" display="https://files.afu.se/Downloads/Transcripts/0%20-%20Government/USA%20-%20NASA%20Johnson/"/>
    <hyperlink ref="C3238" r:id="rId3239" display="https://youtu.be/5BBPtc2W7gA"/>
    <hyperlink ref="F3238" r:id="rId2" display="https://files.afu.se/Downloads/Transcripts/0%20-%20Government/USA%20-%20NASA%20Johnson/"/>
    <hyperlink ref="C3239" r:id="rId3240" display="https://youtu.be/OWIBOB7ZJeQ"/>
    <hyperlink ref="F3239" r:id="rId2" display="https://files.afu.se/Downloads/Transcripts/0%20-%20Government/USA%20-%20NASA%20Johnson/"/>
    <hyperlink ref="C3240" r:id="rId3241" display="https://youtu.be/AwDZ9EJNKMY"/>
    <hyperlink ref="F3240" r:id="rId2" display="https://files.afu.se/Downloads/Transcripts/0%20-%20Government/USA%20-%20NASA%20Johnson/"/>
    <hyperlink ref="C3241" r:id="rId3242" display="https://youtu.be/0IPmvjMsoPw"/>
    <hyperlink ref="F3241" r:id="rId2" display="https://files.afu.se/Downloads/Transcripts/0%20-%20Government/USA%20-%20NASA%20Johnson/"/>
    <hyperlink ref="C3242" r:id="rId3243" display="https://youtu.be/9m4uhL9HUMk"/>
    <hyperlink ref="F3242" r:id="rId2" display="https://files.afu.se/Downloads/Transcripts/0%20-%20Government/USA%20-%20NASA%20Johnson/"/>
    <hyperlink ref="C3243" r:id="rId3244" display="https://youtu.be/dqSCvj_QpDU"/>
    <hyperlink ref="F3243" r:id="rId2" display="https://files.afu.se/Downloads/Transcripts/0%20-%20Government/USA%20-%20NASA%20Johnson/"/>
    <hyperlink ref="C3244" r:id="rId3245" display="https://youtu.be/Qo-kHM-XDJI"/>
    <hyperlink ref="F3244" r:id="rId2" display="https://files.afu.se/Downloads/Transcripts/0%20-%20Government/USA%20-%20NASA%20Johnson/"/>
    <hyperlink ref="C3245" r:id="rId3246" display="https://youtu.be/puhGf2SzPAE"/>
    <hyperlink ref="F3245" r:id="rId2" display="https://files.afu.se/Downloads/Transcripts/0%20-%20Government/USA%20-%20NASA%20Johnson/"/>
    <hyperlink ref="C3246" r:id="rId3247" display="https://youtu.be/33EOoi5TLzs"/>
    <hyperlink ref="F3246" r:id="rId2" display="https://files.afu.se/Downloads/Transcripts/0%20-%20Government/USA%20-%20NASA%20Johnson/"/>
    <hyperlink ref="C3247" r:id="rId3248" display="https://youtu.be/7Q3g9JzwVHM"/>
    <hyperlink ref="F3247" r:id="rId2" display="https://files.afu.se/Downloads/Transcripts/0%20-%20Government/USA%20-%20NASA%20Johnson/"/>
    <hyperlink ref="C3248" r:id="rId3249" display="https://youtu.be/U_jtVE7jucQ"/>
    <hyperlink ref="F3248" r:id="rId2" display="https://files.afu.se/Downloads/Transcripts/0%20-%20Government/USA%20-%20NASA%20Johnson/"/>
    <hyperlink ref="C3249" r:id="rId3250" display="https://youtu.be/_KiFtLK-qE4"/>
    <hyperlink ref="F3249" r:id="rId2" display="https://files.afu.se/Downloads/Transcripts/0%20-%20Government/USA%20-%20NASA%20Johnson/"/>
    <hyperlink ref="C3250" r:id="rId3251" display="https://youtu.be/39Vcr1V9VRw"/>
    <hyperlink ref="F3250" r:id="rId2" display="https://files.afu.se/Downloads/Transcripts/0%20-%20Government/USA%20-%20NASA%20Johnson/"/>
    <hyperlink ref="C3251" r:id="rId3252" display="https://youtu.be/BYmbe4860wY"/>
    <hyperlink ref="F3251" r:id="rId2" display="https://files.afu.se/Downloads/Transcripts/0%20-%20Government/USA%20-%20NASA%20Johnson/"/>
    <hyperlink ref="C3252" r:id="rId3253" display="https://youtu.be/AeQ-M0YiiP4"/>
    <hyperlink ref="F3252" r:id="rId2" display="https://files.afu.se/Downloads/Transcripts/0%20-%20Government/USA%20-%20NASA%20Johnson/"/>
    <hyperlink ref="C3253" r:id="rId3254" display="https://youtu.be/nbxdPZKmhTw"/>
    <hyperlink ref="F3253" r:id="rId2" display="https://files.afu.se/Downloads/Transcripts/0%20-%20Government/USA%20-%20NASA%20Johnson/"/>
    <hyperlink ref="C3254" r:id="rId3255" display="https://youtu.be/4egnezZTmRA"/>
    <hyperlink ref="F3254" r:id="rId2" display="https://files.afu.se/Downloads/Transcripts/0%20-%20Government/USA%20-%20NASA%20Johnson/"/>
    <hyperlink ref="C3255" r:id="rId3256" display="https://youtu.be/sOYjMxL6UDk"/>
    <hyperlink ref="F3255" r:id="rId2" display="https://files.afu.se/Downloads/Transcripts/0%20-%20Government/USA%20-%20NASA%20Johnson/"/>
    <hyperlink ref="C3256" r:id="rId3257" display="https://youtu.be/UT0kRqq_j50"/>
    <hyperlink ref="F3256" r:id="rId2" display="https://files.afu.se/Downloads/Transcripts/0%20-%20Government/USA%20-%20NASA%20Johnson/"/>
    <hyperlink ref="C3257" r:id="rId3258" display="https://youtu.be/uCg03y0qJ-E"/>
    <hyperlink ref="F3257" r:id="rId2" display="https://files.afu.se/Downloads/Transcripts/0%20-%20Government/USA%20-%20NASA%20Johnson/"/>
    <hyperlink ref="C3258" r:id="rId3259" display="https://youtu.be/_4EhXXMf8y0"/>
    <hyperlink ref="F3258" r:id="rId2" display="https://files.afu.se/Downloads/Transcripts/0%20-%20Government/USA%20-%20NASA%20Johnson/"/>
    <hyperlink ref="C3259" r:id="rId3260" display="https://youtu.be/NSnCRFnVr40"/>
    <hyperlink ref="F3259" r:id="rId2" display="https://files.afu.se/Downloads/Transcripts/0%20-%20Government/USA%20-%20NASA%20Johnson/"/>
    <hyperlink ref="C3260" r:id="rId3261" display="https://youtu.be/PKMUJ5B5q4Y"/>
    <hyperlink ref="F3260" r:id="rId2" display="https://files.afu.se/Downloads/Transcripts/0%20-%20Government/USA%20-%20NASA%20Johnson/"/>
    <hyperlink ref="C3261" r:id="rId3262" display="https://youtu.be/r7yxTJdtLDw"/>
    <hyperlink ref="F3261" r:id="rId2" display="https://files.afu.se/Downloads/Transcripts/0%20-%20Government/USA%20-%20NASA%20Johnson/"/>
    <hyperlink ref="C3262" r:id="rId3263" display="https://youtu.be/dyrYzMzwAFs"/>
    <hyperlink ref="F3262" r:id="rId2" display="https://files.afu.se/Downloads/Transcripts/0%20-%20Government/USA%20-%20NASA%20Johnson/"/>
    <hyperlink ref="C3263" r:id="rId3264" display="https://youtu.be/SPaWqtLXsX0"/>
    <hyperlink ref="F3263" r:id="rId2" display="https://files.afu.se/Downloads/Transcripts/0%20-%20Government/USA%20-%20NASA%20Johnson/"/>
    <hyperlink ref="C3264" r:id="rId3265" display="https://youtu.be/fdBspJhyINk"/>
    <hyperlink ref="F3264" r:id="rId2" display="https://files.afu.se/Downloads/Transcripts/0%20-%20Government/USA%20-%20NASA%20Johnson/"/>
    <hyperlink ref="C3265" r:id="rId3266" display="https://youtu.be/sJzN2Y05h-Y"/>
    <hyperlink ref="F3265" r:id="rId2" display="https://files.afu.se/Downloads/Transcripts/0%20-%20Government/USA%20-%20NASA%20Johnson/"/>
    <hyperlink ref="C3266" r:id="rId3267" display="https://youtu.be/Lds16-yG2n0"/>
    <hyperlink ref="F3266" r:id="rId2" display="https://files.afu.se/Downloads/Transcripts/0%20-%20Government/USA%20-%20NASA%20Johnson/"/>
    <hyperlink ref="C3267" r:id="rId3268" display="https://youtu.be/cia1tfFr-zU"/>
    <hyperlink ref="F3267" r:id="rId2" display="https://files.afu.se/Downloads/Transcripts/0%20-%20Government/USA%20-%20NASA%20Johnson/"/>
    <hyperlink ref="C3268" r:id="rId3269" display="https://youtu.be/azViv3vm8jI"/>
    <hyperlink ref="F3268" r:id="rId2" display="https://files.afu.se/Downloads/Transcripts/0%20-%20Government/USA%20-%20NASA%20Johnson/"/>
    <hyperlink ref="C3269" r:id="rId3270" display="https://youtu.be/Pgy3_LqyeC8"/>
    <hyperlink ref="F3269" r:id="rId2" display="https://files.afu.se/Downloads/Transcripts/0%20-%20Government/USA%20-%20NASA%20Johnson/"/>
    <hyperlink ref="C3270" r:id="rId3271" display="https://youtu.be/7Dwn6pus4WA"/>
    <hyperlink ref="F3270" r:id="rId2" display="https://files.afu.se/Downloads/Transcripts/0%20-%20Government/USA%20-%20NASA%20Johnson/"/>
    <hyperlink ref="C3271" r:id="rId3272" display="https://youtu.be/EOuoAiUbrGk"/>
    <hyperlink ref="F3271" r:id="rId2" display="https://files.afu.se/Downloads/Transcripts/0%20-%20Government/USA%20-%20NASA%20Johnson/"/>
    <hyperlink ref="C3272" r:id="rId3273" display="https://youtu.be/MhDzSz-_HtU"/>
    <hyperlink ref="F3272" r:id="rId2" display="https://files.afu.se/Downloads/Transcripts/0%20-%20Government/USA%20-%20NASA%20Johnson/"/>
    <hyperlink ref="C3273" r:id="rId3274" display="https://youtu.be/FRuuWkb0vh0"/>
    <hyperlink ref="F3273" r:id="rId2" display="https://files.afu.se/Downloads/Transcripts/0%20-%20Government/USA%20-%20NASA%20Johnson/"/>
    <hyperlink ref="C3274" r:id="rId3275" display="https://youtu.be/u3vmym2e0Mk"/>
    <hyperlink ref="F3274" r:id="rId2" display="https://files.afu.se/Downloads/Transcripts/0%20-%20Government/USA%20-%20NASA%20Johnson/"/>
    <hyperlink ref="C3275" r:id="rId3276" display="https://youtu.be/fV7-S8OHY90"/>
    <hyperlink ref="F3275" r:id="rId2" display="https://files.afu.se/Downloads/Transcripts/0%20-%20Government/USA%20-%20NASA%20Johnson/"/>
    <hyperlink ref="C3276" r:id="rId3277" display="https://youtu.be/gUXJCORNA7w"/>
    <hyperlink ref="F3276" r:id="rId2" display="https://files.afu.se/Downloads/Transcripts/0%20-%20Government/USA%20-%20NASA%20Johnson/"/>
    <hyperlink ref="C3277" r:id="rId3278" display="https://youtu.be/SeLeB9-L_F4"/>
    <hyperlink ref="F3277" r:id="rId2" display="https://files.afu.se/Downloads/Transcripts/0%20-%20Government/USA%20-%20NASA%20Johnson/"/>
    <hyperlink ref="C3278" r:id="rId3279" display="https://youtu.be/LW9QPa4o_e0"/>
    <hyperlink ref="F3278" r:id="rId2" display="https://files.afu.se/Downloads/Transcripts/0%20-%20Government/USA%20-%20NASA%20Johnson/"/>
    <hyperlink ref="C3279" r:id="rId3280" display="https://youtu.be/qkqzUuK9aIk"/>
    <hyperlink ref="F3279" r:id="rId2" display="https://files.afu.se/Downloads/Transcripts/0%20-%20Government/USA%20-%20NASA%20Johnson/"/>
    <hyperlink ref="C3280" r:id="rId3281" display="https://youtu.be/XTCQymboDOg"/>
    <hyperlink ref="F3280" r:id="rId2" display="https://files.afu.se/Downloads/Transcripts/0%20-%20Government/USA%20-%20NASA%20Johnson/"/>
    <hyperlink ref="C3281" r:id="rId3282" display="https://youtu.be/Bcocoz8IZLg"/>
    <hyperlink ref="F3281" r:id="rId2" display="https://files.afu.se/Downloads/Transcripts/0%20-%20Government/USA%20-%20NASA%20Johnson/"/>
    <hyperlink ref="C3282" r:id="rId3283" display="https://youtu.be/lbKsVfCZQG0"/>
    <hyperlink ref="F3282" r:id="rId2" display="https://files.afu.se/Downloads/Transcripts/0%20-%20Government/USA%20-%20NASA%20Johnson/"/>
    <hyperlink ref="C3283" r:id="rId3284" display="https://youtu.be/-A8MpAiD3CE"/>
    <hyperlink ref="F3283" r:id="rId2" display="https://files.afu.se/Downloads/Transcripts/0%20-%20Government/USA%20-%20NASA%20Johnson/"/>
    <hyperlink ref="C3284" r:id="rId3285" display="https://youtu.be/zx3B4mIcgyE"/>
    <hyperlink ref="F3284" r:id="rId2" display="https://files.afu.se/Downloads/Transcripts/0%20-%20Government/USA%20-%20NASA%20Johnson/"/>
    <hyperlink ref="C3285" r:id="rId3286" display="https://youtu.be/NiJ54Jj2rck"/>
    <hyperlink ref="F3285" r:id="rId2" display="https://files.afu.se/Downloads/Transcripts/0%20-%20Government/USA%20-%20NASA%20Johnson/"/>
    <hyperlink ref="C3286" r:id="rId3287" display="https://youtu.be/Q0jR8fqXdzg"/>
    <hyperlink ref="F3286" r:id="rId2" display="https://files.afu.se/Downloads/Transcripts/0%20-%20Government/USA%20-%20NASA%20Johnson/"/>
    <hyperlink ref="C3287" r:id="rId3288" display="https://youtu.be/0bIiA7k2WBo"/>
    <hyperlink ref="F3287" r:id="rId2" display="https://files.afu.se/Downloads/Transcripts/0%20-%20Government/USA%20-%20NASA%20Johnson/"/>
    <hyperlink ref="C3288" r:id="rId3289" display="https://youtu.be/RuTMn2rPFw8"/>
    <hyperlink ref="F3288" r:id="rId2" display="https://files.afu.se/Downloads/Transcripts/0%20-%20Government/USA%20-%20NASA%20Johnson/"/>
    <hyperlink ref="C3289" r:id="rId3290" display="https://youtu.be/Z7QAXCM6Gz0"/>
    <hyperlink ref="F3289" r:id="rId2" display="https://files.afu.se/Downloads/Transcripts/0%20-%20Government/USA%20-%20NASA%20Johnson/"/>
    <hyperlink ref="C3290" r:id="rId3291" display="https://youtu.be/84IYJ7o3Xik"/>
    <hyperlink ref="F3290" r:id="rId2" display="https://files.afu.se/Downloads/Transcripts/0%20-%20Government/USA%20-%20NASA%20Johnson/"/>
    <hyperlink ref="C3291" r:id="rId3292" display="https://youtu.be/KXh1A_pEx7U"/>
    <hyperlink ref="F3291" r:id="rId2" display="https://files.afu.se/Downloads/Transcripts/0%20-%20Government/USA%20-%20NASA%20Johnson/"/>
    <hyperlink ref="C3292" r:id="rId3293" display="https://youtu.be/rVJDYI1BQA4"/>
    <hyperlink ref="F3292" r:id="rId2" display="https://files.afu.se/Downloads/Transcripts/0%20-%20Government/USA%20-%20NASA%20Johnson/"/>
    <hyperlink ref="C3293" r:id="rId3294" display="https://youtu.be/OlWaFXle3VQ"/>
    <hyperlink ref="F3293" r:id="rId2" display="https://files.afu.se/Downloads/Transcripts/0%20-%20Government/USA%20-%20NASA%20Johnson/"/>
    <hyperlink ref="C3294" r:id="rId3295" display="https://youtu.be/PQa8fCiZRg4"/>
    <hyperlink ref="F3294" r:id="rId2" display="https://files.afu.se/Downloads/Transcripts/0%20-%20Government/USA%20-%20NASA%20Johnson/"/>
    <hyperlink ref="C3295" r:id="rId3296" display="https://youtu.be/toabl6i4fBY"/>
    <hyperlink ref="F3295" r:id="rId2" display="https://files.afu.se/Downloads/Transcripts/0%20-%20Government/USA%20-%20NASA%20Johnson/"/>
    <hyperlink ref="C3296" r:id="rId3297" display="https://youtu.be/GYyjMhPYjaQ"/>
    <hyperlink ref="F3296" r:id="rId2" display="https://files.afu.se/Downloads/Transcripts/0%20-%20Government/USA%20-%20NASA%20Johnson/"/>
    <hyperlink ref="C3297" r:id="rId3298" display="https://youtu.be/ra2QX00R3R0"/>
    <hyperlink ref="F3297" r:id="rId2" display="https://files.afu.se/Downloads/Transcripts/0%20-%20Government/USA%20-%20NASA%20Johnson/"/>
    <hyperlink ref="C3298" r:id="rId3299" display="https://youtu.be/dDMZ5j_jrds"/>
    <hyperlink ref="F3298" r:id="rId2" display="https://files.afu.se/Downloads/Transcripts/0%20-%20Government/USA%20-%20NASA%20Johnson/"/>
    <hyperlink ref="C3299" r:id="rId3300" display="https://youtu.be/mVxfhZUSppY"/>
    <hyperlink ref="F3299" r:id="rId2" display="https://files.afu.se/Downloads/Transcripts/0%20-%20Government/USA%20-%20NASA%20Johnson/"/>
    <hyperlink ref="C3300" r:id="rId3301" display="https://youtu.be/ATgxiy1Ewho"/>
    <hyperlink ref="F3300" r:id="rId2" display="https://files.afu.se/Downloads/Transcripts/0%20-%20Government/USA%20-%20NASA%20Johnson/"/>
    <hyperlink ref="C3301" r:id="rId3302" display="https://youtu.be/PjDd767IkFs"/>
    <hyperlink ref="F3301" r:id="rId2" display="https://files.afu.se/Downloads/Transcripts/0%20-%20Government/USA%20-%20NASA%20Johnson/"/>
    <hyperlink ref="C3302" r:id="rId3303" display="https://youtu.be/1sTTV3SUGzE"/>
    <hyperlink ref="F3302" r:id="rId2" display="https://files.afu.se/Downloads/Transcripts/0%20-%20Government/USA%20-%20NASA%20Johnson/"/>
    <hyperlink ref="C3303" r:id="rId3304" display="https://youtu.be/Tb4biKCRPOg"/>
    <hyperlink ref="F3303" r:id="rId2" display="https://files.afu.se/Downloads/Transcripts/0%20-%20Government/USA%20-%20NASA%20Johnson/"/>
    <hyperlink ref="C3304" r:id="rId3305" display="https://youtu.be/rs_eT_0FXw0"/>
    <hyperlink ref="F3304" r:id="rId2" display="https://files.afu.se/Downloads/Transcripts/0%20-%20Government/USA%20-%20NASA%20Johnson/"/>
    <hyperlink ref="C3305" r:id="rId3306" display="https://youtu.be/9PbTjXC2WwA"/>
    <hyperlink ref="F3305" r:id="rId2" display="https://files.afu.se/Downloads/Transcripts/0%20-%20Government/USA%20-%20NASA%20Johnson/"/>
    <hyperlink ref="C3306" r:id="rId3307" display="https://youtu.be/anRlH-CqYew"/>
    <hyperlink ref="F3306" r:id="rId2" display="https://files.afu.se/Downloads/Transcripts/0%20-%20Government/USA%20-%20NASA%20Johnson/"/>
    <hyperlink ref="C3307" r:id="rId3308" display="https://youtu.be/dtwQvCbw9Qk"/>
    <hyperlink ref="F3307" r:id="rId2" display="https://files.afu.se/Downloads/Transcripts/0%20-%20Government/USA%20-%20NASA%20Johnson/"/>
    <hyperlink ref="C3308" r:id="rId3309" display="https://youtu.be/4ckuxkYJZF8"/>
    <hyperlink ref="F3308" r:id="rId2" display="https://files.afu.se/Downloads/Transcripts/0%20-%20Government/USA%20-%20NASA%20Johnson/"/>
    <hyperlink ref="C3309" r:id="rId3310" display="https://youtu.be/iV-X0NcG8Lc"/>
    <hyperlink ref="F3309" r:id="rId2" display="https://files.afu.se/Downloads/Transcripts/0%20-%20Government/USA%20-%20NASA%20Johnson/"/>
    <hyperlink ref="C3310" r:id="rId3311" display="https://youtu.be/RiQUvyGGu6A"/>
    <hyperlink ref="F3310" r:id="rId2" display="https://files.afu.se/Downloads/Transcripts/0%20-%20Government/USA%20-%20NASA%20Johnson/"/>
    <hyperlink ref="C3311" r:id="rId3312" display="https://youtu.be/MT7C5zX_lMQ"/>
    <hyperlink ref="F3311" r:id="rId2" display="https://files.afu.se/Downloads/Transcripts/0%20-%20Government/USA%20-%20NASA%20Johnson/"/>
    <hyperlink ref="C3312" r:id="rId3313" display="https://youtu.be/ladwrg_K-u4"/>
    <hyperlink ref="F3312" r:id="rId2" display="https://files.afu.se/Downloads/Transcripts/0%20-%20Government/USA%20-%20NASA%20Johnson/"/>
    <hyperlink ref="C3313" r:id="rId3314" display="https://youtu.be/zg1NgO4ZucM"/>
    <hyperlink ref="F3313" r:id="rId2" display="https://files.afu.se/Downloads/Transcripts/0%20-%20Government/USA%20-%20NASA%20Johnson/"/>
    <hyperlink ref="C3314" r:id="rId3315" display="https://youtu.be/qCMGjdI-TKw"/>
    <hyperlink ref="F3314" r:id="rId2" display="https://files.afu.se/Downloads/Transcripts/0%20-%20Government/USA%20-%20NASA%20Johnson/"/>
    <hyperlink ref="C3315" r:id="rId3316" display="https://youtu.be/FheKP4YgLwk"/>
    <hyperlink ref="F3315" r:id="rId2" display="https://files.afu.se/Downloads/Transcripts/0%20-%20Government/USA%20-%20NASA%20Johnson/"/>
    <hyperlink ref="C3316" r:id="rId3317" display="https://youtu.be/eA3uNh_QIzc"/>
    <hyperlink ref="F3316" r:id="rId2" display="https://files.afu.se/Downloads/Transcripts/0%20-%20Government/USA%20-%20NASA%20Johnson/"/>
    <hyperlink ref="C3317" r:id="rId3318" display="https://youtu.be/2lD1xnxWAhQ"/>
    <hyperlink ref="F3317" r:id="rId2" display="https://files.afu.se/Downloads/Transcripts/0%20-%20Government/USA%20-%20NASA%20Johnson/"/>
    <hyperlink ref="C3318" r:id="rId3319" display="https://youtu.be/boTpJ16GJaM"/>
    <hyperlink ref="F3318" r:id="rId2" display="https://files.afu.se/Downloads/Transcripts/0%20-%20Government/USA%20-%20NASA%20Johnson/"/>
    <hyperlink ref="C3319" r:id="rId3320" display="https://youtu.be/hSSHqaggLYQ"/>
    <hyperlink ref="F3319" r:id="rId2" display="https://files.afu.se/Downloads/Transcripts/0%20-%20Government/USA%20-%20NASA%20Johnson/"/>
    <hyperlink ref="C3320" r:id="rId3321" display="https://youtu.be/mNcKNzAi5hU"/>
    <hyperlink ref="F3320" r:id="rId2" display="https://files.afu.se/Downloads/Transcripts/0%20-%20Government/USA%20-%20NASA%20Johnson/"/>
    <hyperlink ref="C3321" r:id="rId3322" display="https://youtu.be/tOsGCU6Syf4"/>
    <hyperlink ref="F3321" r:id="rId2" display="https://files.afu.se/Downloads/Transcripts/0%20-%20Government/USA%20-%20NASA%20Johnson/"/>
    <hyperlink ref="C3322" r:id="rId3323" display="https://youtu.be/zU_Ry73C1iA"/>
    <hyperlink ref="F3322" r:id="rId2" display="https://files.afu.se/Downloads/Transcripts/0%20-%20Government/USA%20-%20NASA%20Johnson/"/>
    <hyperlink ref="C3323" r:id="rId3324" display="https://youtu.be/Nry8B9yd_C4"/>
    <hyperlink ref="F3323" r:id="rId2" display="https://files.afu.se/Downloads/Transcripts/0%20-%20Government/USA%20-%20NASA%20Johnson/"/>
    <hyperlink ref="C3324" r:id="rId3325" display="https://youtu.be/Y6wc8kZ9CBw"/>
    <hyperlink ref="F3324" r:id="rId2" display="https://files.afu.se/Downloads/Transcripts/0%20-%20Government/USA%20-%20NASA%20Johnson/"/>
    <hyperlink ref="C3325" r:id="rId3326" display="https://youtu.be/ItZJ-LoAHj0"/>
    <hyperlink ref="F3325" r:id="rId2" display="https://files.afu.se/Downloads/Transcripts/0%20-%20Government/USA%20-%20NASA%20Johnson/"/>
    <hyperlink ref="C3326" r:id="rId3327" display="https://youtu.be/WxCvsl-SyvE"/>
    <hyperlink ref="F3326" r:id="rId2" display="https://files.afu.se/Downloads/Transcripts/0%20-%20Government/USA%20-%20NASA%20Johnson/"/>
    <hyperlink ref="C3327" r:id="rId3328" display="https://youtu.be/mSXViTNLpDM"/>
    <hyperlink ref="F3327" r:id="rId2" display="https://files.afu.se/Downloads/Transcripts/0%20-%20Government/USA%20-%20NASA%20Johnson/"/>
    <hyperlink ref="C3328" r:id="rId3329" display="https://youtu.be/44UyTWeaIM0"/>
    <hyperlink ref="F3328" r:id="rId2" display="https://files.afu.se/Downloads/Transcripts/0%20-%20Government/USA%20-%20NASA%20Johnson/"/>
    <hyperlink ref="C3329" r:id="rId3330" display="https://youtu.be/QyikYNYmCC0"/>
    <hyperlink ref="F3329" r:id="rId2" display="https://files.afu.se/Downloads/Transcripts/0%20-%20Government/USA%20-%20NASA%20Johnson/"/>
    <hyperlink ref="C3330" r:id="rId3331" display="https://youtu.be/ker0KDYzklU"/>
    <hyperlink ref="F3330" r:id="rId2" display="https://files.afu.se/Downloads/Transcripts/0%20-%20Government/USA%20-%20NASA%20Johnson/"/>
    <hyperlink ref="C3331" r:id="rId3332" display="https://youtu.be/nMDMzCw0Cug"/>
    <hyperlink ref="F3331" r:id="rId2" display="https://files.afu.se/Downloads/Transcripts/0%20-%20Government/USA%20-%20NASA%20Johnson/"/>
    <hyperlink ref="C3332" r:id="rId3333" display="https://youtu.be/B9Mgbduz3Tk"/>
    <hyperlink ref="F3332" r:id="rId2" display="https://files.afu.se/Downloads/Transcripts/0%20-%20Government/USA%20-%20NASA%20Johnson/"/>
    <hyperlink ref="C3333" r:id="rId3334" display="https://youtu.be/ONNc0RX-3RQ"/>
    <hyperlink ref="F3333" r:id="rId2" display="https://files.afu.se/Downloads/Transcripts/0%20-%20Government/USA%20-%20NASA%20Johnson/"/>
    <hyperlink ref="C3334" r:id="rId3335" display="https://youtu.be/ug0vIR1_W6M"/>
    <hyperlink ref="F3334" r:id="rId2" display="https://files.afu.se/Downloads/Transcripts/0%20-%20Government/USA%20-%20NASA%20Johnson/"/>
    <hyperlink ref="C3335" r:id="rId3336" display="https://youtu.be/NLOLYR6t7lY"/>
    <hyperlink ref="F3335" r:id="rId2" display="https://files.afu.se/Downloads/Transcripts/0%20-%20Government/USA%20-%20NASA%20Johnson/"/>
    <hyperlink ref="C3336" r:id="rId3337" display="https://youtu.be/t0EDWhwVd68"/>
    <hyperlink ref="F3336" r:id="rId2" display="https://files.afu.se/Downloads/Transcripts/0%20-%20Government/USA%20-%20NASA%20Johnson/"/>
    <hyperlink ref="C3337" r:id="rId3338" display="https://youtu.be/7MYmpG9d7XA"/>
    <hyperlink ref="F3337" r:id="rId2" display="https://files.afu.se/Downloads/Transcripts/0%20-%20Government/USA%20-%20NASA%20Johnson/"/>
    <hyperlink ref="C3338" r:id="rId3339" display="https://youtu.be/rYjBukIVxO8"/>
    <hyperlink ref="F3338" r:id="rId2" display="https://files.afu.se/Downloads/Transcripts/0%20-%20Government/USA%20-%20NASA%20Johnson/"/>
    <hyperlink ref="C3339" r:id="rId3340" display="https://youtu.be/GLgnZ89b8Po"/>
    <hyperlink ref="F3339" r:id="rId2" display="https://files.afu.se/Downloads/Transcripts/0%20-%20Government/USA%20-%20NASA%20Johnson/"/>
    <hyperlink ref="C3340" r:id="rId3341" display="https://youtu.be/YYh6BD6-Hc8"/>
    <hyperlink ref="F3340" r:id="rId2" display="https://files.afu.se/Downloads/Transcripts/0%20-%20Government/USA%20-%20NASA%20Johnson/"/>
    <hyperlink ref="C3341" r:id="rId3342" display="https://youtu.be/72OLN4lBpSQ"/>
    <hyperlink ref="F3341" r:id="rId2" display="https://files.afu.se/Downloads/Transcripts/0%20-%20Government/USA%20-%20NASA%20Johnson/"/>
    <hyperlink ref="C3342" r:id="rId3343" display="https://youtu.be/MBADi5nJI2o"/>
    <hyperlink ref="F3342" r:id="rId2" display="https://files.afu.se/Downloads/Transcripts/0%20-%20Government/USA%20-%20NASA%20Johnson/"/>
    <hyperlink ref="C3343" r:id="rId3344" display="https://youtu.be/g2aoKTfPUtc"/>
    <hyperlink ref="F3343" r:id="rId2" display="https://files.afu.se/Downloads/Transcripts/0%20-%20Government/USA%20-%20NASA%20Johnson/"/>
    <hyperlink ref="C3344" r:id="rId3345" display="https://youtu.be/NACbbyl1ciA"/>
    <hyperlink ref="F3344" r:id="rId2" display="https://files.afu.se/Downloads/Transcripts/0%20-%20Government/USA%20-%20NASA%20Johnson/"/>
    <hyperlink ref="C3345" r:id="rId3346" display="https://youtu.be/zxO-pM1lLZ0"/>
    <hyperlink ref="F3345" r:id="rId2" display="https://files.afu.se/Downloads/Transcripts/0%20-%20Government/USA%20-%20NASA%20Johnson/"/>
    <hyperlink ref="C3346" r:id="rId3347" display="https://youtu.be/uCVt0kpefHM"/>
    <hyperlink ref="F3346" r:id="rId2" display="https://files.afu.se/Downloads/Transcripts/0%20-%20Government/USA%20-%20NASA%20Johnson/"/>
    <hyperlink ref="C3347" r:id="rId3348" display="https://youtu.be/yzWFvlK0Ifc"/>
    <hyperlink ref="F3347" r:id="rId2" display="https://files.afu.se/Downloads/Transcripts/0%20-%20Government/USA%20-%20NASA%20Johnson/"/>
    <hyperlink ref="C3348" r:id="rId3349" display="https://youtu.be/ElX2b-PnaaQ"/>
    <hyperlink ref="F3348" r:id="rId2" display="https://files.afu.se/Downloads/Transcripts/0%20-%20Government/USA%20-%20NASA%20Johnson/"/>
    <hyperlink ref="C3349" r:id="rId3350" display="https://youtu.be/ThRVzDIrrKA"/>
    <hyperlink ref="F3349" r:id="rId2" display="https://files.afu.se/Downloads/Transcripts/0%20-%20Government/USA%20-%20NASA%20Johnson/"/>
    <hyperlink ref="C3350" r:id="rId3351" display="https://youtu.be/Ob9WXozrLdQ"/>
    <hyperlink ref="F3350" r:id="rId2" display="https://files.afu.se/Downloads/Transcripts/0%20-%20Government/USA%20-%20NASA%20Johnson/"/>
    <hyperlink ref="C3351" r:id="rId3352" display="https://youtu.be/NYFu3UNENyI"/>
    <hyperlink ref="F3351" r:id="rId2" display="https://files.afu.se/Downloads/Transcripts/0%20-%20Government/USA%20-%20NASA%20Johnson/"/>
    <hyperlink ref="C3352" r:id="rId3353" display="https://youtu.be/e7ltSFWfAlU"/>
    <hyperlink ref="F3352" r:id="rId2" display="https://files.afu.se/Downloads/Transcripts/0%20-%20Government/USA%20-%20NASA%20Johnson/"/>
    <hyperlink ref="C3353" r:id="rId3354" display="https://youtu.be/9ci2j7ammio"/>
    <hyperlink ref="F3353" r:id="rId2" display="https://files.afu.se/Downloads/Transcripts/0%20-%20Government/USA%20-%20NASA%20Johnson/"/>
    <hyperlink ref="C3354" r:id="rId3355" display="https://youtu.be/4TLTpGivmco"/>
    <hyperlink ref="F3354" r:id="rId2" display="https://files.afu.se/Downloads/Transcripts/0%20-%20Government/USA%20-%20NASA%20Johnson/"/>
    <hyperlink ref="C3355" r:id="rId3356" display="https://youtu.be/0qOENXuZiTs"/>
    <hyperlink ref="F3355" r:id="rId2" display="https://files.afu.se/Downloads/Transcripts/0%20-%20Government/USA%20-%20NASA%20Johnson/"/>
    <hyperlink ref="C3356" r:id="rId3357" display="https://youtu.be/HP7uND5Ocek"/>
    <hyperlink ref="F3356" r:id="rId2" display="https://files.afu.se/Downloads/Transcripts/0%20-%20Government/USA%20-%20NASA%20Johnson/"/>
    <hyperlink ref="C3357" r:id="rId3358" display="https://youtu.be/fg1_cZM9HEU"/>
    <hyperlink ref="F3357" r:id="rId2" display="https://files.afu.se/Downloads/Transcripts/0%20-%20Government/USA%20-%20NASA%20Johnson/"/>
    <hyperlink ref="C3358" r:id="rId3359" display="https://youtu.be/32zm5J5NkTc"/>
    <hyperlink ref="F3358" r:id="rId2" display="https://files.afu.se/Downloads/Transcripts/0%20-%20Government/USA%20-%20NASA%20Johnson/"/>
    <hyperlink ref="C3359" r:id="rId3360" display="https://youtu.be/Sf0j3oHKBZ8"/>
    <hyperlink ref="F3359" r:id="rId2" display="https://files.afu.se/Downloads/Transcripts/0%20-%20Government/USA%20-%20NASA%20Johnson/"/>
    <hyperlink ref="C3360" r:id="rId3361" display="https://youtu.be/DO7ZBp4HXQA"/>
    <hyperlink ref="F3360" r:id="rId2" display="https://files.afu.se/Downloads/Transcripts/0%20-%20Government/USA%20-%20NASA%20Johnson/"/>
    <hyperlink ref="C3361" r:id="rId3362" display="https://youtu.be/rhHJRwBcr1M"/>
    <hyperlink ref="F3361" r:id="rId2" display="https://files.afu.se/Downloads/Transcripts/0%20-%20Government/USA%20-%20NASA%20Johnson/"/>
    <hyperlink ref="C3362" r:id="rId3363" display="https://youtu.be/Hh4-B91mTWg"/>
    <hyperlink ref="F3362" r:id="rId2" display="https://files.afu.se/Downloads/Transcripts/0%20-%20Government/USA%20-%20NASA%20Johnson/"/>
    <hyperlink ref="C3363" r:id="rId3364" display="https://youtu.be/aTXuwi_1d0Q"/>
    <hyperlink ref="F3363" r:id="rId2" display="https://files.afu.se/Downloads/Transcripts/0%20-%20Government/USA%20-%20NASA%20Johnson/"/>
    <hyperlink ref="C3364" r:id="rId3365" display="https://youtu.be/1mdtpFFNwUg"/>
    <hyperlink ref="F3364" r:id="rId2" display="https://files.afu.se/Downloads/Transcripts/0%20-%20Government/USA%20-%20NASA%20Johnson/"/>
    <hyperlink ref="C3365" r:id="rId3366" display="https://youtu.be/c0jbhAj_5kI"/>
    <hyperlink ref="F3365" r:id="rId2" display="https://files.afu.se/Downloads/Transcripts/0%20-%20Government/USA%20-%20NASA%20Johnson/"/>
    <hyperlink ref="C3366" r:id="rId3367" display="https://youtu.be/rP0pM6PwqPs"/>
    <hyperlink ref="F3366" r:id="rId2" display="https://files.afu.se/Downloads/Transcripts/0%20-%20Government/USA%20-%20NASA%20Johnson/"/>
    <hyperlink ref="C3367" r:id="rId3368" display="https://youtu.be/S0Ux4MUxZ9c"/>
    <hyperlink ref="F3367" r:id="rId2" display="https://files.afu.se/Downloads/Transcripts/0%20-%20Government/USA%20-%20NASA%20Johnson/"/>
    <hyperlink ref="C3368" r:id="rId3369" display="https://youtu.be/UQC_8_SP-zM"/>
    <hyperlink ref="F3368" r:id="rId2" display="https://files.afu.se/Downloads/Transcripts/0%20-%20Government/USA%20-%20NASA%20Johnson/"/>
    <hyperlink ref="C3369" r:id="rId3370" display="https://youtu.be/val6DfAwM8s"/>
    <hyperlink ref="F3369" r:id="rId2" display="https://files.afu.se/Downloads/Transcripts/0%20-%20Government/USA%20-%20NASA%20Johnson/"/>
    <hyperlink ref="C3370" r:id="rId3371" display="https://youtu.be/uJttwRg9MLE"/>
    <hyperlink ref="F3370" r:id="rId2" display="https://files.afu.se/Downloads/Transcripts/0%20-%20Government/USA%20-%20NASA%20Johnson/"/>
    <hyperlink ref="C3371" r:id="rId3372" display="https://youtu.be/5wyH_6Z6b00"/>
    <hyperlink ref="F3371" r:id="rId2" display="https://files.afu.se/Downloads/Transcripts/0%20-%20Government/USA%20-%20NASA%20Johnson/"/>
    <hyperlink ref="C3372" r:id="rId3373" display="https://youtu.be/ryTnDTqTrQk"/>
    <hyperlink ref="F3372" r:id="rId2" display="https://files.afu.se/Downloads/Transcripts/0%20-%20Government/USA%20-%20NASA%20Johnson/"/>
    <hyperlink ref="C3373" r:id="rId3374" display="https://youtu.be/kj3BjfcJDHI"/>
    <hyperlink ref="F3373" r:id="rId2" display="https://files.afu.se/Downloads/Transcripts/0%20-%20Government/USA%20-%20NASA%20Johnson/"/>
    <hyperlink ref="C3374" r:id="rId3375" display="https://youtu.be/6USwy2NdO5c"/>
    <hyperlink ref="F3374" r:id="rId2" display="https://files.afu.se/Downloads/Transcripts/0%20-%20Government/USA%20-%20NASA%20Johnson/"/>
    <hyperlink ref="C3375" r:id="rId3376" display="https://youtu.be/-s71i5X90ug"/>
    <hyperlink ref="F3375" r:id="rId2" display="https://files.afu.se/Downloads/Transcripts/0%20-%20Government/USA%20-%20NASA%20Johnson/"/>
    <hyperlink ref="C3376" r:id="rId3377" display="https://youtu.be/KpARJPkHo8M"/>
    <hyperlink ref="F3376" r:id="rId2" display="https://files.afu.se/Downloads/Transcripts/0%20-%20Government/USA%20-%20NASA%20Johnson/"/>
    <hyperlink ref="C3377" r:id="rId3378" display="https://youtu.be/nrGNiK3vEfI"/>
    <hyperlink ref="F3377" r:id="rId2" display="https://files.afu.se/Downloads/Transcripts/0%20-%20Government/USA%20-%20NASA%20Johnson/"/>
    <hyperlink ref="C3378" r:id="rId3379" display="https://youtu.be/GHuJELfSNuU"/>
    <hyperlink ref="F3378" r:id="rId2" display="https://files.afu.se/Downloads/Transcripts/0%20-%20Government/USA%20-%20NASA%20Johnson/"/>
    <hyperlink ref="C3379" r:id="rId3380" display="https://youtu.be/G7q2-dV76zc"/>
    <hyperlink ref="F3379" r:id="rId2" display="https://files.afu.se/Downloads/Transcripts/0%20-%20Government/USA%20-%20NASA%20Johnson/"/>
    <hyperlink ref="C3380" r:id="rId3381" display="https://youtu.be/19Bvj_g6XAM"/>
    <hyperlink ref="F3380" r:id="rId2" display="https://files.afu.se/Downloads/Transcripts/0%20-%20Government/USA%20-%20NASA%20Johnson/"/>
    <hyperlink ref="C3381" r:id="rId3382" display="https://youtu.be/zkGMy1r2p5A"/>
    <hyperlink ref="F3381" r:id="rId2" display="https://files.afu.se/Downloads/Transcripts/0%20-%20Government/USA%20-%20NASA%20Johnson/"/>
    <hyperlink ref="C3382" r:id="rId3383" display="https://youtu.be/fQRYP0U7h0w"/>
    <hyperlink ref="F3382" r:id="rId2" display="https://files.afu.se/Downloads/Transcripts/0%20-%20Government/USA%20-%20NASA%20Johnson/"/>
    <hyperlink ref="C3383" r:id="rId3384" display="https://youtu.be/lUsNBAJ62pQ"/>
    <hyperlink ref="F3383" r:id="rId2" display="https://files.afu.se/Downloads/Transcripts/0%20-%20Government/USA%20-%20NASA%20Johnson/"/>
    <hyperlink ref="C3384" r:id="rId3385" display="https://youtu.be/hG-bqgVRDFs"/>
    <hyperlink ref="F3384" r:id="rId2" display="https://files.afu.se/Downloads/Transcripts/0%20-%20Government/USA%20-%20NASA%20Johnson/"/>
    <hyperlink ref="C3385" r:id="rId3386" display="https://youtu.be/HH-bFLyyrZM"/>
    <hyperlink ref="F3385" r:id="rId2" display="https://files.afu.se/Downloads/Transcripts/0%20-%20Government/USA%20-%20NASA%20Johnson/"/>
    <hyperlink ref="C3386" r:id="rId3387" display="https://youtu.be/c7bs-Nhl2M8"/>
    <hyperlink ref="F3386" r:id="rId2" display="https://files.afu.se/Downloads/Transcripts/0%20-%20Government/USA%20-%20NASA%20Johnson/"/>
    <hyperlink ref="C3387" r:id="rId3388" display="https://youtu.be/DWT4AFuHCuU"/>
    <hyperlink ref="F3387" r:id="rId2" display="https://files.afu.se/Downloads/Transcripts/0%20-%20Government/USA%20-%20NASA%20Johnson/"/>
    <hyperlink ref="C3388" r:id="rId3389" display="https://youtu.be/NCRO3o6f01w"/>
    <hyperlink ref="F3388" r:id="rId2" display="https://files.afu.se/Downloads/Transcripts/0%20-%20Government/USA%20-%20NASA%20Johnson/"/>
    <hyperlink ref="C3389" r:id="rId3390" display="https://youtu.be/qydRiaGscE0"/>
    <hyperlink ref="F3389" r:id="rId2" display="https://files.afu.se/Downloads/Transcripts/0%20-%20Government/USA%20-%20NASA%20Johnson/"/>
    <hyperlink ref="C3390" r:id="rId3391" display="https://youtu.be/n8lFhaMihTg"/>
    <hyperlink ref="F3390" r:id="rId2" display="https://files.afu.se/Downloads/Transcripts/0%20-%20Government/USA%20-%20NASA%20Johnson/"/>
    <hyperlink ref="C3391" r:id="rId3392" display="https://youtu.be/5Z8pKpgTD7o"/>
    <hyperlink ref="F3391" r:id="rId2" display="https://files.afu.se/Downloads/Transcripts/0%20-%20Government/USA%20-%20NASA%20Johnson/"/>
    <hyperlink ref="C3392" r:id="rId3393" display="https://youtu.be/-7WgPQPU7hk"/>
    <hyperlink ref="F3392" r:id="rId2" display="https://files.afu.se/Downloads/Transcripts/0%20-%20Government/USA%20-%20NASA%20Johnson/"/>
    <hyperlink ref="C3393" r:id="rId3394" display="https://youtu.be/mnVyllDIZ5k"/>
    <hyperlink ref="F3393" r:id="rId2" display="https://files.afu.se/Downloads/Transcripts/0%20-%20Government/USA%20-%20NASA%20Johnson/"/>
    <hyperlink ref="C3394" r:id="rId3395" display="https://youtu.be/QPdsPMo1qJE"/>
    <hyperlink ref="F3394" r:id="rId2" display="https://files.afu.se/Downloads/Transcripts/0%20-%20Government/USA%20-%20NASA%20Johnson/"/>
    <hyperlink ref="C3395" r:id="rId3396" display="https://youtu.be/bEiqPu9sT-g"/>
    <hyperlink ref="F3395" r:id="rId2" display="https://files.afu.se/Downloads/Transcripts/0%20-%20Government/USA%20-%20NASA%20Johnson/"/>
    <hyperlink ref="C3396" r:id="rId3397" display="https://youtu.be/05rGa6LUAgU"/>
    <hyperlink ref="F3396" r:id="rId2" display="https://files.afu.se/Downloads/Transcripts/0%20-%20Government/USA%20-%20NASA%20Johnson/"/>
    <hyperlink ref="C3397" r:id="rId3398" display="https://youtu.be/rQ-sE_vBbJI"/>
    <hyperlink ref="F3397" r:id="rId2" display="https://files.afu.se/Downloads/Transcripts/0%20-%20Government/USA%20-%20NASA%20Johnson/"/>
    <hyperlink ref="C3398" r:id="rId3399" display="https://youtu.be/2MpAQ8RumX0"/>
    <hyperlink ref="F3398" r:id="rId2" display="https://files.afu.se/Downloads/Transcripts/0%20-%20Government/USA%20-%20NASA%20Johnson/"/>
    <hyperlink ref="C3399" r:id="rId3400" display="https://youtu.be/0IuxVxfELc4"/>
    <hyperlink ref="F3399" r:id="rId2" display="https://files.afu.se/Downloads/Transcripts/0%20-%20Government/USA%20-%20NASA%20Johnson/"/>
    <hyperlink ref="C3400" r:id="rId3401" display="https://youtu.be/LuK9GqhNLgI"/>
    <hyperlink ref="F3400" r:id="rId2" display="https://files.afu.se/Downloads/Transcripts/0%20-%20Government/USA%20-%20NASA%20Johnson/"/>
    <hyperlink ref="C3401" r:id="rId3402" display="https://youtu.be/n3xWRE2OfH4"/>
    <hyperlink ref="F3401" r:id="rId2" display="https://files.afu.se/Downloads/Transcripts/0%20-%20Government/USA%20-%20NASA%20Johnson/"/>
    <hyperlink ref="C3402" r:id="rId3403" display="https://youtu.be/_1NSYrbKFQQ"/>
    <hyperlink ref="F3402" r:id="rId2" display="https://files.afu.se/Downloads/Transcripts/0%20-%20Government/USA%20-%20NASA%20Johnson/"/>
    <hyperlink ref="C3403" r:id="rId3404" display="https://youtu.be/n0JbyTtHWNs"/>
    <hyperlink ref="F3403" r:id="rId2" display="https://files.afu.se/Downloads/Transcripts/0%20-%20Government/USA%20-%20NASA%20Johnson/"/>
    <hyperlink ref="C3404" r:id="rId3405" display="https://youtu.be/QN9ZxNozBvI"/>
    <hyperlink ref="F3404" r:id="rId2" display="https://files.afu.se/Downloads/Transcripts/0%20-%20Government/USA%20-%20NASA%20Johnson/"/>
    <hyperlink ref="C3405" r:id="rId3406" display="https://youtu.be/Q8QbJe-_5Y0"/>
    <hyperlink ref="F3405" r:id="rId2" display="https://files.afu.se/Downloads/Transcripts/0%20-%20Government/USA%20-%20NASA%20Johnson/"/>
    <hyperlink ref="C3406" r:id="rId3407" display="https://youtu.be/hTkIimQux74"/>
    <hyperlink ref="F3406" r:id="rId2" display="https://files.afu.se/Downloads/Transcripts/0%20-%20Government/USA%20-%20NASA%20Johnson/"/>
    <hyperlink ref="C3407" r:id="rId3408" display="https://youtu.be/xqBmvR9XEBI"/>
    <hyperlink ref="F3407" r:id="rId2" display="https://files.afu.se/Downloads/Transcripts/0%20-%20Government/USA%20-%20NASA%20Johnson/"/>
    <hyperlink ref="C3408" r:id="rId3409" display="https://youtu.be/5sr6pXaJohA"/>
    <hyperlink ref="F3408" r:id="rId2" display="https://files.afu.se/Downloads/Transcripts/0%20-%20Government/USA%20-%20NASA%20Johnson/"/>
    <hyperlink ref="C3409" r:id="rId3410" display="https://youtu.be/vX-5n_YcxgQ"/>
    <hyperlink ref="F3409" r:id="rId2" display="https://files.afu.se/Downloads/Transcripts/0%20-%20Government/USA%20-%20NASA%20Johnson/"/>
    <hyperlink ref="C3410" r:id="rId3411" display="https://youtu.be/1wx6rQHnaTM"/>
    <hyperlink ref="F3410" r:id="rId2" display="https://files.afu.se/Downloads/Transcripts/0%20-%20Government/USA%20-%20NASA%20Johnson/"/>
    <hyperlink ref="C3411" r:id="rId3412" display="https://youtu.be/3UiMaVPpXKk"/>
    <hyperlink ref="F3411" r:id="rId2" display="https://files.afu.se/Downloads/Transcripts/0%20-%20Government/USA%20-%20NASA%20Johnson/"/>
    <hyperlink ref="C3412" r:id="rId3413" display="https://youtu.be/SHrue7jV4C4"/>
    <hyperlink ref="F3412" r:id="rId2" display="https://files.afu.se/Downloads/Transcripts/0%20-%20Government/USA%20-%20NASA%20Johnson/"/>
    <hyperlink ref="C3413" r:id="rId3414" display="https://youtu.be/xLXDRWImihA"/>
    <hyperlink ref="F3413" r:id="rId2" display="https://files.afu.se/Downloads/Transcripts/0%20-%20Government/USA%20-%20NASA%20Johnson/"/>
    <hyperlink ref="C3414" r:id="rId3415" display="https://youtu.be/4SqRQYeArpg"/>
    <hyperlink ref="F3414" r:id="rId2" display="https://files.afu.se/Downloads/Transcripts/0%20-%20Government/USA%20-%20NASA%20Johnson/"/>
    <hyperlink ref="C3415" r:id="rId3416" display="https://youtu.be/m2ZugwQVtAw"/>
    <hyperlink ref="F3415" r:id="rId2" display="https://files.afu.se/Downloads/Transcripts/0%20-%20Government/USA%20-%20NASA%20Johnson/"/>
    <hyperlink ref="C3416" r:id="rId3417" display="https://youtu.be/kayCLca1YMc"/>
    <hyperlink ref="F3416" r:id="rId2" display="https://files.afu.se/Downloads/Transcripts/0%20-%20Government/USA%20-%20NASA%20Johnson/"/>
    <hyperlink ref="C3417" r:id="rId3418" display="https://youtu.be/IiFzINiVJ48"/>
    <hyperlink ref="F3417" r:id="rId2" display="https://files.afu.se/Downloads/Transcripts/0%20-%20Government/USA%20-%20NASA%20Johnson/"/>
    <hyperlink ref="C3418" r:id="rId3419" display="https://youtu.be/tH1s7jBWKSY"/>
    <hyperlink ref="F3418" r:id="rId2" display="https://files.afu.se/Downloads/Transcripts/0%20-%20Government/USA%20-%20NASA%20Johnson/"/>
    <hyperlink ref="C3419" r:id="rId3420" display="https://youtu.be/NZVyEA25kQ4"/>
    <hyperlink ref="F3419" r:id="rId2" display="https://files.afu.se/Downloads/Transcripts/0%20-%20Government/USA%20-%20NASA%20Johnson/"/>
    <hyperlink ref="C3420" r:id="rId3421" display="https://youtu.be/1hszj1EAsL8"/>
    <hyperlink ref="F3420" r:id="rId2" display="https://files.afu.se/Downloads/Transcripts/0%20-%20Government/USA%20-%20NASA%20Johnson/"/>
    <hyperlink ref="C3421" r:id="rId3422" display="https://youtu.be/zdAE6qwV1O4"/>
    <hyperlink ref="F3421" r:id="rId2" display="https://files.afu.se/Downloads/Transcripts/0%20-%20Government/USA%20-%20NASA%20Johnson/"/>
    <hyperlink ref="C3422" r:id="rId3423" display="https://youtu.be/RlFlXFTXaV4"/>
    <hyperlink ref="F3422" r:id="rId2" display="https://files.afu.se/Downloads/Transcripts/0%20-%20Government/USA%20-%20NASA%20Johnson/"/>
    <hyperlink ref="C3423" r:id="rId3424" display="https://youtu.be/2lzH_3RDOgI"/>
    <hyperlink ref="F3423" r:id="rId2" display="https://files.afu.se/Downloads/Transcripts/0%20-%20Government/USA%20-%20NASA%20Johnson/"/>
    <hyperlink ref="C3424" r:id="rId3425" display="https://youtu.be/C9pqhyotN7s"/>
    <hyperlink ref="F3424" r:id="rId2" display="https://files.afu.se/Downloads/Transcripts/0%20-%20Government/USA%20-%20NASA%20Johnson/"/>
    <hyperlink ref="C3425" r:id="rId3426" display="https://youtu.be/5GjTQXbhQ6o"/>
    <hyperlink ref="F3425" r:id="rId2" display="https://files.afu.se/Downloads/Transcripts/0%20-%20Government/USA%20-%20NASA%20Johnson/"/>
    <hyperlink ref="C3426" r:id="rId3427" display="https://youtu.be/XMZg34FN_fU"/>
    <hyperlink ref="F3426" r:id="rId2" display="https://files.afu.se/Downloads/Transcripts/0%20-%20Government/USA%20-%20NASA%20Johnson/"/>
    <hyperlink ref="C3427" r:id="rId3428" display="https://youtu.be/McF4zcZD-rg"/>
    <hyperlink ref="F3427" r:id="rId2" display="https://files.afu.se/Downloads/Transcripts/0%20-%20Government/USA%20-%20NASA%20Johnson/"/>
    <hyperlink ref="C3428" r:id="rId3429" display="https://youtu.be/jkoiu_Xpm0Q"/>
    <hyperlink ref="F3428" r:id="rId2" display="https://files.afu.se/Downloads/Transcripts/0%20-%20Government/USA%20-%20NASA%20Johnson/"/>
    <hyperlink ref="C3429" r:id="rId3430" display="https://youtu.be/HxSOQUqvZAk"/>
    <hyperlink ref="F3429" r:id="rId2" display="https://files.afu.se/Downloads/Transcripts/0%20-%20Government/USA%20-%20NASA%20Johnson/"/>
    <hyperlink ref="C3430" r:id="rId3431" display="https://youtu.be/z9CEgeNnKnc"/>
    <hyperlink ref="F3430" r:id="rId2" display="https://files.afu.se/Downloads/Transcripts/0%20-%20Government/USA%20-%20NASA%20Johnson/"/>
    <hyperlink ref="C3431" r:id="rId3432" display="https://youtu.be/l5Qi9LWsuis"/>
    <hyperlink ref="F3431" r:id="rId2" display="https://files.afu.se/Downloads/Transcripts/0%20-%20Government/USA%20-%20NASA%20Johnson/"/>
    <hyperlink ref="C3432" r:id="rId3433" display="https://youtu.be/hfOKKezrYPU"/>
    <hyperlink ref="F3432" r:id="rId2" display="https://files.afu.se/Downloads/Transcripts/0%20-%20Government/USA%20-%20NASA%20Johnson/"/>
    <hyperlink ref="C3433" r:id="rId3434" display="https://youtu.be/yRqUPjl3tTQ"/>
    <hyperlink ref="F3433" r:id="rId2" display="https://files.afu.se/Downloads/Transcripts/0%20-%20Government/USA%20-%20NASA%20Johnson/"/>
    <hyperlink ref="C3434" r:id="rId3435" display="https://youtu.be/eyWbZja2yaY"/>
    <hyperlink ref="F3434" r:id="rId2" display="https://files.afu.se/Downloads/Transcripts/0%20-%20Government/USA%20-%20NASA%20Johnson/"/>
    <hyperlink ref="C3435" r:id="rId3436" display="https://youtu.be/JCX6cF_quDQ"/>
    <hyperlink ref="F3435" r:id="rId2" display="https://files.afu.se/Downloads/Transcripts/0%20-%20Government/USA%20-%20NASA%20Johnson/"/>
    <hyperlink ref="C3436" r:id="rId3437" display="https://youtu.be/Ti0T6A2FZf4"/>
    <hyperlink ref="F3436" r:id="rId2" display="https://files.afu.se/Downloads/Transcripts/0%20-%20Government/USA%20-%20NASA%20Johnson/"/>
    <hyperlink ref="C3437" r:id="rId3438" display="https://youtu.be/QuaIlMfB0TY"/>
    <hyperlink ref="F3437" r:id="rId2" display="https://files.afu.se/Downloads/Transcripts/0%20-%20Government/USA%20-%20NASA%20Johnson/"/>
    <hyperlink ref="C3438" r:id="rId3439" display="https://youtu.be/8SjOMacHxcM"/>
    <hyperlink ref="F3438" r:id="rId2" display="https://files.afu.se/Downloads/Transcripts/0%20-%20Government/USA%20-%20NASA%20Johnson/"/>
    <hyperlink ref="C3439" r:id="rId3440" display="https://youtu.be/UJRN5wWPlJc"/>
    <hyperlink ref="F3439" r:id="rId2" display="https://files.afu.se/Downloads/Transcripts/0%20-%20Government/USA%20-%20NASA%20Johnson/"/>
    <hyperlink ref="C3440" r:id="rId3441" display="https://youtu.be/LNgJnakv8WU"/>
    <hyperlink ref="F3440" r:id="rId2" display="https://files.afu.se/Downloads/Transcripts/0%20-%20Government/USA%20-%20NASA%20Johnson/"/>
    <hyperlink ref="C3441" r:id="rId3442" display="https://youtu.be/p1bpO9zAekk"/>
    <hyperlink ref="F3441" r:id="rId2" display="https://files.afu.se/Downloads/Transcripts/0%20-%20Government/USA%20-%20NASA%20Johnson/"/>
    <hyperlink ref="C3442" r:id="rId3443" display="https://youtu.be/ILAw6cjDCxQ"/>
    <hyperlink ref="F3442" r:id="rId2" display="https://files.afu.se/Downloads/Transcripts/0%20-%20Government/USA%20-%20NASA%20Johnson/"/>
    <hyperlink ref="C3443" r:id="rId3444" display="https://youtu.be/sdUUoUqn484"/>
    <hyperlink ref="F3443" r:id="rId2" display="https://files.afu.se/Downloads/Transcripts/0%20-%20Government/USA%20-%20NASA%20Johnson/"/>
    <hyperlink ref="C3444" r:id="rId3445" display="https://youtu.be/jL6aLbt7tpQ"/>
    <hyperlink ref="F3444" r:id="rId2" display="https://files.afu.se/Downloads/Transcripts/0%20-%20Government/USA%20-%20NASA%20Johnson/"/>
    <hyperlink ref="C3445" r:id="rId3446" display="https://youtu.be/0n5p-wwgQM4"/>
    <hyperlink ref="F3445" r:id="rId2" display="https://files.afu.se/Downloads/Transcripts/0%20-%20Government/USA%20-%20NASA%20Johnson/"/>
    <hyperlink ref="C3446" r:id="rId3447" display="https://youtu.be/02DB0z6Eino"/>
    <hyperlink ref="F3446" r:id="rId2" display="https://files.afu.se/Downloads/Transcripts/0%20-%20Government/USA%20-%20NASA%20Johnson/"/>
    <hyperlink ref="C3447" r:id="rId3448" display="https://youtu.be/el3-gLxFXjI"/>
    <hyperlink ref="F3447" r:id="rId2" display="https://files.afu.se/Downloads/Transcripts/0%20-%20Government/USA%20-%20NASA%20Johnson/"/>
    <hyperlink ref="C3448" r:id="rId3449" display="https://youtu.be/J5y4qF3MgzY"/>
    <hyperlink ref="F3448" r:id="rId2" display="https://files.afu.se/Downloads/Transcripts/0%20-%20Government/USA%20-%20NASA%20Johnson/"/>
    <hyperlink ref="C3449" r:id="rId3450" display="https://youtu.be/_e2TCdbbo-I"/>
    <hyperlink ref="F3449" r:id="rId2" display="https://files.afu.se/Downloads/Transcripts/0%20-%20Government/USA%20-%20NASA%20Johnson/"/>
    <hyperlink ref="C3450" r:id="rId3451" display="https://youtu.be/A9uBPwP7DQc"/>
    <hyperlink ref="F3450" r:id="rId2" display="https://files.afu.se/Downloads/Transcripts/0%20-%20Government/USA%20-%20NASA%20Johnson/"/>
    <hyperlink ref="C3451" r:id="rId3452" display="https://youtu.be/AnM1jSW7YEE"/>
    <hyperlink ref="F3451" r:id="rId2" display="https://files.afu.se/Downloads/Transcripts/0%20-%20Government/USA%20-%20NASA%20Johnson/"/>
    <hyperlink ref="C3452" r:id="rId3453" display="https://youtu.be/QmIg4nWuJUY"/>
    <hyperlink ref="F3452" r:id="rId2" display="https://files.afu.se/Downloads/Transcripts/0%20-%20Government/USA%20-%20NASA%20Johnson/"/>
    <hyperlink ref="C3453" r:id="rId3454" display="https://youtu.be/ERoS9cIjo_Y"/>
    <hyperlink ref="F3453" r:id="rId2" display="https://files.afu.se/Downloads/Transcripts/0%20-%20Government/USA%20-%20NASA%20Johnson/"/>
    <hyperlink ref="C3454" r:id="rId3455" display="https://youtu.be/RycINq8cgAw"/>
    <hyperlink ref="F3454" r:id="rId2" display="https://files.afu.se/Downloads/Transcripts/0%20-%20Government/USA%20-%20NASA%20Johnson/"/>
    <hyperlink ref="C3455" r:id="rId3456" display="https://youtu.be/ioDZ4Eb5lAc"/>
    <hyperlink ref="F3455" r:id="rId2" display="https://files.afu.se/Downloads/Transcripts/0%20-%20Government/USA%20-%20NASA%20Johnson/"/>
    <hyperlink ref="C3456" r:id="rId3457" display="https://youtu.be/PLmc6CJQwLM"/>
    <hyperlink ref="F3456" r:id="rId2" display="https://files.afu.se/Downloads/Transcripts/0%20-%20Government/USA%20-%20NASA%20Johnson/"/>
    <hyperlink ref="C3457" r:id="rId3458" display="https://youtu.be/gsnVQQYAra4"/>
    <hyperlink ref="F3457" r:id="rId2" display="https://files.afu.se/Downloads/Transcripts/0%20-%20Government/USA%20-%20NASA%20Johnson/"/>
    <hyperlink ref="C3458" r:id="rId3459" display="https://youtu.be/oES5TmudhX8"/>
    <hyperlink ref="F3458" r:id="rId2" display="https://files.afu.se/Downloads/Transcripts/0%20-%20Government/USA%20-%20NASA%20Johnson/"/>
    <hyperlink ref="C3459" r:id="rId3460" display="https://youtu.be/YxImeOomkUk"/>
    <hyperlink ref="F3459" r:id="rId2" display="https://files.afu.se/Downloads/Transcripts/0%20-%20Government/USA%20-%20NASA%20Johnson/"/>
    <hyperlink ref="C3460" r:id="rId3461" display="https://youtu.be/saOezFOhmY4"/>
    <hyperlink ref="F3460" r:id="rId2" display="https://files.afu.se/Downloads/Transcripts/0%20-%20Government/USA%20-%20NASA%20Johnson/"/>
    <hyperlink ref="C3461" r:id="rId3462" display="https://youtu.be/Q4dG9vSyUFQ"/>
    <hyperlink ref="F3461" r:id="rId2" display="https://files.afu.se/Downloads/Transcripts/0%20-%20Government/USA%20-%20NASA%20Johnson/"/>
    <hyperlink ref="C3462" r:id="rId3463" display="https://youtu.be/2bHzaDU93sc"/>
    <hyperlink ref="F3462" r:id="rId2" display="https://files.afu.se/Downloads/Transcripts/0%20-%20Government/USA%20-%20NASA%20Johnson/"/>
    <hyperlink ref="C3463" r:id="rId3464" display="https://youtu.be/U54RMrBK9vU"/>
    <hyperlink ref="F3463" r:id="rId2" display="https://files.afu.se/Downloads/Transcripts/0%20-%20Government/USA%20-%20NASA%20Johnson/"/>
    <hyperlink ref="C3464" r:id="rId3465" display="https://youtu.be/T5eJYwktSmE"/>
    <hyperlink ref="F3464" r:id="rId2" display="https://files.afu.se/Downloads/Transcripts/0%20-%20Government/USA%20-%20NASA%20Johnson/"/>
    <hyperlink ref="C3465" r:id="rId3466" display="https://youtu.be/yMFlSAlBDRc"/>
    <hyperlink ref="F3465" r:id="rId2" display="https://files.afu.se/Downloads/Transcripts/0%20-%20Government/USA%20-%20NASA%20Johnson/"/>
    <hyperlink ref="C3466" r:id="rId3467" display="https://youtu.be/ZR55a8msWsw"/>
    <hyperlink ref="F3466" r:id="rId2" display="https://files.afu.se/Downloads/Transcripts/0%20-%20Government/USA%20-%20NASA%20Johnson/"/>
    <hyperlink ref="C3467" r:id="rId3468" display="https://youtu.be/71y8fsYTnpI"/>
    <hyperlink ref="F3467" r:id="rId2" display="https://files.afu.se/Downloads/Transcripts/0%20-%20Government/USA%20-%20NASA%20Johnson/"/>
    <hyperlink ref="C3468" r:id="rId3469" display="https://youtu.be/b8AEuJpuFwk"/>
    <hyperlink ref="F3468" r:id="rId2" display="https://files.afu.se/Downloads/Transcripts/0%20-%20Government/USA%20-%20NASA%20Johnson/"/>
    <hyperlink ref="C3469" r:id="rId3470" display="https://youtu.be/2tJe8pKX4aY"/>
    <hyperlink ref="F3469" r:id="rId2" display="https://files.afu.se/Downloads/Transcripts/0%20-%20Government/USA%20-%20NASA%20Johnson/"/>
    <hyperlink ref="C3470" r:id="rId3471" display="https://youtu.be/8jl8qmQ1Fzw"/>
    <hyperlink ref="F3470" r:id="rId2" display="https://files.afu.se/Downloads/Transcripts/0%20-%20Government/USA%20-%20NASA%20Johnson/"/>
    <hyperlink ref="C3471" r:id="rId3472" display="https://youtu.be/PNaW0kSRots"/>
    <hyperlink ref="F3471" r:id="rId2" display="https://files.afu.se/Downloads/Transcripts/0%20-%20Government/USA%20-%20NASA%20Johnson/"/>
    <hyperlink ref="C3472" r:id="rId3473" display="https://youtu.be/4HVWIlHzqgI"/>
    <hyperlink ref="F3472" r:id="rId2" display="https://files.afu.se/Downloads/Transcripts/0%20-%20Government/USA%20-%20NASA%20Johnson/"/>
    <hyperlink ref="C3473" r:id="rId3474" display="https://youtu.be/xElnWh4drB4"/>
    <hyperlink ref="F3473" r:id="rId2" display="https://files.afu.se/Downloads/Transcripts/0%20-%20Government/USA%20-%20NASA%20Johnson/"/>
    <hyperlink ref="C3474" r:id="rId3475" display="https://youtu.be/gsn0rAMpFlI"/>
    <hyperlink ref="F3474" r:id="rId2" display="https://files.afu.se/Downloads/Transcripts/0%20-%20Government/USA%20-%20NASA%20Johnson/"/>
    <hyperlink ref="C3475" r:id="rId3476" display="https://youtu.be/SKDsLItyoWI"/>
    <hyperlink ref="F3475" r:id="rId2" display="https://files.afu.se/Downloads/Transcripts/0%20-%20Government/USA%20-%20NASA%20Johnson/"/>
    <hyperlink ref="C3476" r:id="rId3477" display="https://youtu.be/ApHRaGTGgwI"/>
    <hyperlink ref="F3476" r:id="rId2" display="https://files.afu.se/Downloads/Transcripts/0%20-%20Government/USA%20-%20NASA%20Johnson/"/>
    <hyperlink ref="C3477" r:id="rId3478" display="https://youtu.be/Ji-jSN402Qs"/>
    <hyperlink ref="F3477" r:id="rId2" display="https://files.afu.se/Downloads/Transcripts/0%20-%20Government/USA%20-%20NASA%20Johnson/"/>
    <hyperlink ref="C3478" r:id="rId3479" display="https://youtu.be/mitoR2I7P_o"/>
    <hyperlink ref="F3478" r:id="rId2" display="https://files.afu.se/Downloads/Transcripts/0%20-%20Government/USA%20-%20NASA%20Johnson/"/>
    <hyperlink ref="C3479" r:id="rId3480" display="https://youtu.be/FN9yr-pBP4M"/>
    <hyperlink ref="F3479" r:id="rId2" display="https://files.afu.se/Downloads/Transcripts/0%20-%20Government/USA%20-%20NASA%20Johnson/"/>
    <hyperlink ref="C3480" r:id="rId3481" display="https://youtu.be/5AAGiMPMwqI"/>
    <hyperlink ref="F3480" r:id="rId2" display="https://files.afu.se/Downloads/Transcripts/0%20-%20Government/USA%20-%20NASA%20Johnson/"/>
    <hyperlink ref="C3481" r:id="rId3482" display="https://youtu.be/g5Cz7wpidPg"/>
    <hyperlink ref="F3481" r:id="rId2" display="https://files.afu.se/Downloads/Transcripts/0%20-%20Government/USA%20-%20NASA%20Johnson/"/>
    <hyperlink ref="C3482" r:id="rId3483" display="https://youtu.be/XNFDY-DcXDs"/>
    <hyperlink ref="F3482" r:id="rId2" display="https://files.afu.se/Downloads/Transcripts/0%20-%20Government/USA%20-%20NASA%20Johnson/"/>
    <hyperlink ref="C3483" r:id="rId3484" display="https://youtu.be/ofii_P7XS_E"/>
    <hyperlink ref="F3483" r:id="rId2" display="https://files.afu.se/Downloads/Transcripts/0%20-%20Government/USA%20-%20NASA%20Johnson/"/>
    <hyperlink ref="C3484" r:id="rId3485" display="https://youtu.be/f9TLiR0LbGY"/>
    <hyperlink ref="F3484" r:id="rId2" display="https://files.afu.se/Downloads/Transcripts/0%20-%20Government/USA%20-%20NASA%20Johnson/"/>
    <hyperlink ref="C3485" r:id="rId3486" display="https://youtu.be/qFWZERMNC1k"/>
    <hyperlink ref="F3485" r:id="rId2" display="https://files.afu.se/Downloads/Transcripts/0%20-%20Government/USA%20-%20NASA%20Johnson/"/>
    <hyperlink ref="C3486" r:id="rId3487" display="https://youtu.be/Kl1X4lcl9c0"/>
    <hyperlink ref="F3486" r:id="rId2" display="https://files.afu.se/Downloads/Transcripts/0%20-%20Government/USA%20-%20NASA%20Johnson/"/>
    <hyperlink ref="C3487" r:id="rId3488" display="https://youtu.be/5AlBhxYKRLw"/>
    <hyperlink ref="F3487" r:id="rId2" display="https://files.afu.se/Downloads/Transcripts/0%20-%20Government/USA%20-%20NASA%20Johnson/"/>
    <hyperlink ref="C3488" r:id="rId3489" display="https://youtu.be/9MYHb2u6yGc"/>
    <hyperlink ref="F3488" r:id="rId2" display="https://files.afu.se/Downloads/Transcripts/0%20-%20Government/USA%20-%20NASA%20Johnson/"/>
    <hyperlink ref="C3489" r:id="rId3490" display="https://youtu.be/xa-VwQczPrE"/>
    <hyperlink ref="F3489" r:id="rId2" display="https://files.afu.se/Downloads/Transcripts/0%20-%20Government/USA%20-%20NASA%20Johnson/"/>
    <hyperlink ref="C3490" r:id="rId3491" display="https://youtu.be/Kpvrr11rF3U"/>
    <hyperlink ref="F3490" r:id="rId2" display="https://files.afu.se/Downloads/Transcripts/0%20-%20Government/USA%20-%20NASA%20Johnson/"/>
    <hyperlink ref="C3491" r:id="rId3492" display="https://youtu.be/2kVjsS0O22U"/>
    <hyperlink ref="F3491" r:id="rId2" display="https://files.afu.se/Downloads/Transcripts/0%20-%20Government/USA%20-%20NASA%20Johnson/"/>
    <hyperlink ref="C3492" r:id="rId3493" display="https://youtu.be/BmWlftaQFP8"/>
    <hyperlink ref="F3492" r:id="rId2" display="https://files.afu.se/Downloads/Transcripts/0%20-%20Government/USA%20-%20NASA%20Johnson/"/>
    <hyperlink ref="C3493" r:id="rId3494" display="https://youtu.be/NK-szgxCqx0"/>
    <hyperlink ref="F3493" r:id="rId2" display="https://files.afu.se/Downloads/Transcripts/0%20-%20Government/USA%20-%20NASA%20Johnson/"/>
    <hyperlink ref="C3494" r:id="rId3495" display="https://youtu.be/EPzL4latdmk"/>
    <hyperlink ref="F3494" r:id="rId2" display="https://files.afu.se/Downloads/Transcripts/0%20-%20Government/USA%20-%20NASA%20Johnson/"/>
    <hyperlink ref="C3495" r:id="rId3496" display="https://youtu.be/VEDLASr3QN0"/>
    <hyperlink ref="F3495" r:id="rId2" display="https://files.afu.se/Downloads/Transcripts/0%20-%20Government/USA%20-%20NASA%20Johnson/"/>
    <hyperlink ref="C3496" r:id="rId3497" display="https://youtu.be/ZPA4OEsUCPk"/>
    <hyperlink ref="F3496" r:id="rId2" display="https://files.afu.se/Downloads/Transcripts/0%20-%20Government/USA%20-%20NASA%20Johnson/"/>
    <hyperlink ref="C3497" r:id="rId3498" display="https://youtu.be/LIyANs-h__Q"/>
    <hyperlink ref="F3497" r:id="rId2" display="https://files.afu.se/Downloads/Transcripts/0%20-%20Government/USA%20-%20NASA%20Johnson/"/>
    <hyperlink ref="C3498" r:id="rId3499" display="https://youtu.be/1nk3QB3g7dk"/>
    <hyperlink ref="F3498" r:id="rId2" display="https://files.afu.se/Downloads/Transcripts/0%20-%20Government/USA%20-%20NASA%20Johnson/"/>
    <hyperlink ref="C3499" r:id="rId3500" display="https://youtu.be/sI8ldDyr3G0"/>
    <hyperlink ref="F3499" r:id="rId2" display="https://files.afu.se/Downloads/Transcripts/0%20-%20Government/USA%20-%20NASA%20Johnson/"/>
    <hyperlink ref="C3500" r:id="rId3501" display="https://youtu.be/17Lt0qCxtvs"/>
    <hyperlink ref="F3500" r:id="rId2" display="https://files.afu.se/Downloads/Transcripts/0%20-%20Government/USA%20-%20NASA%20Johnson/"/>
    <hyperlink ref="C3501" r:id="rId3502" display="https://youtu.be/rU2IrjRidvc"/>
    <hyperlink ref="F3501" r:id="rId2" display="https://files.afu.se/Downloads/Transcripts/0%20-%20Government/USA%20-%20NASA%20Johnson/"/>
    <hyperlink ref="C3502" r:id="rId3503" display="https://youtu.be/313FjEI1kvQ"/>
    <hyperlink ref="F3502" r:id="rId2" display="https://files.afu.se/Downloads/Transcripts/0%20-%20Government/USA%20-%20NASA%20Johnson/"/>
    <hyperlink ref="C3503" r:id="rId3504" display="https://youtu.be/rELAhnWG98U"/>
    <hyperlink ref="F3503" r:id="rId2" display="https://files.afu.se/Downloads/Transcripts/0%20-%20Government/USA%20-%20NASA%20Johnson/"/>
    <hyperlink ref="C3504" r:id="rId3505" display="https://youtu.be/_hR7dcPWW2c"/>
    <hyperlink ref="F3504" r:id="rId2" display="https://files.afu.se/Downloads/Transcripts/0%20-%20Government/USA%20-%20NASA%20Johnson/"/>
    <hyperlink ref="C3505" r:id="rId3506" display="https://youtu.be/ewLLBalvehg"/>
    <hyperlink ref="F3505" r:id="rId2" display="https://files.afu.se/Downloads/Transcripts/0%20-%20Government/USA%20-%20NASA%20Johnson/"/>
    <hyperlink ref="C3506" r:id="rId3507" display="https://youtu.be/WN0dIloI2yA"/>
    <hyperlink ref="F3506" r:id="rId2" display="https://files.afu.se/Downloads/Transcripts/0%20-%20Government/USA%20-%20NASA%20Johnson/"/>
    <hyperlink ref="C3507" r:id="rId3508" display="https://youtu.be/C4vncl39wuw"/>
    <hyperlink ref="F3507" r:id="rId2" display="https://files.afu.se/Downloads/Transcripts/0%20-%20Government/USA%20-%20NASA%20Johnson/"/>
    <hyperlink ref="C3508" r:id="rId3509" display="https://youtu.be/o1__kyee0qM"/>
    <hyperlink ref="F3508" r:id="rId2" display="https://files.afu.se/Downloads/Transcripts/0%20-%20Government/USA%20-%20NASA%20Johnson/"/>
    <hyperlink ref="C3509" r:id="rId3510" display="https://youtu.be/1IUK_LhyUu4"/>
    <hyperlink ref="F3509" r:id="rId2" display="https://files.afu.se/Downloads/Transcripts/0%20-%20Government/USA%20-%20NASA%20Johnson/"/>
    <hyperlink ref="C3510" r:id="rId3511" display="https://youtu.be/8X0axpmSMvg"/>
    <hyperlink ref="F3510" r:id="rId2" display="https://files.afu.se/Downloads/Transcripts/0%20-%20Government/USA%20-%20NASA%20Johnson/"/>
    <hyperlink ref="C3511" r:id="rId3512" display="https://youtu.be/Wa3qupfqu6M"/>
    <hyperlink ref="F3511" r:id="rId2" display="https://files.afu.se/Downloads/Transcripts/0%20-%20Government/USA%20-%20NASA%20Johnson/"/>
    <hyperlink ref="C3512" r:id="rId3513" display="https://youtu.be/TuBWInVYoFs"/>
    <hyperlink ref="F3512" r:id="rId2" display="https://files.afu.se/Downloads/Transcripts/0%20-%20Government/USA%20-%20NASA%20Johnson/"/>
    <hyperlink ref="C3513" r:id="rId3514" display="https://youtu.be/IxeaUK5yAgU"/>
    <hyperlink ref="F3513" r:id="rId2" display="https://files.afu.se/Downloads/Transcripts/0%20-%20Government/USA%20-%20NASA%20Johnson/"/>
    <hyperlink ref="C3514" r:id="rId3515" display="https://youtu.be/GdSbweadVi0"/>
    <hyperlink ref="F3514" r:id="rId2" display="https://files.afu.se/Downloads/Transcripts/0%20-%20Government/USA%20-%20NASA%20Johnson/"/>
    <hyperlink ref="C3515" r:id="rId3516" display="https://youtu.be/Tw029AAzjR4"/>
    <hyperlink ref="F3515" r:id="rId2" display="https://files.afu.se/Downloads/Transcripts/0%20-%20Government/USA%20-%20NASA%20Johnson/"/>
    <hyperlink ref="C3516" r:id="rId3517" display="https://youtu.be/9C_ZO26hnW0"/>
    <hyperlink ref="F3516" r:id="rId2" display="https://files.afu.se/Downloads/Transcripts/0%20-%20Government/USA%20-%20NASA%20Johnson/"/>
    <hyperlink ref="C3517" r:id="rId3518" display="https://youtu.be/cd--3KgoUzo"/>
    <hyperlink ref="F3517" r:id="rId2" display="https://files.afu.se/Downloads/Transcripts/0%20-%20Government/USA%20-%20NASA%20Johnson/"/>
    <hyperlink ref="C3518" r:id="rId3519" display="https://youtu.be/zff7_8h-22w"/>
    <hyperlink ref="F3518" r:id="rId2" display="https://files.afu.se/Downloads/Transcripts/0%20-%20Government/USA%20-%20NASA%20Johnson/"/>
    <hyperlink ref="C3519" r:id="rId3520" display="https://youtu.be/JgTdot1Fes4"/>
    <hyperlink ref="F3519" r:id="rId2" display="https://files.afu.se/Downloads/Transcripts/0%20-%20Government/USA%20-%20NASA%20Johnson/"/>
    <hyperlink ref="C3520" r:id="rId3521" display="https://youtu.be/W_OOiXZxdWs"/>
    <hyperlink ref="F3520" r:id="rId2" display="https://files.afu.se/Downloads/Transcripts/0%20-%20Government/USA%20-%20NASA%20Johnson/"/>
    <hyperlink ref="C3521" r:id="rId3522" display="https://youtu.be/oO9k9JbHFPs"/>
    <hyperlink ref="F3521" r:id="rId2" display="https://files.afu.se/Downloads/Transcripts/0%20-%20Government/USA%20-%20NASA%20Johnson/"/>
    <hyperlink ref="C3522" r:id="rId3523" display="https://youtu.be/KZVeH08uGGU"/>
    <hyperlink ref="F3522" r:id="rId2" display="https://files.afu.se/Downloads/Transcripts/0%20-%20Government/USA%20-%20NASA%20Johnson/"/>
    <hyperlink ref="C3523" r:id="rId3524" display="https://youtu.be/56Wrog2sJS4"/>
    <hyperlink ref="F3523" r:id="rId2" display="https://files.afu.se/Downloads/Transcripts/0%20-%20Government/USA%20-%20NASA%20Johnson/"/>
    <hyperlink ref="C3524" r:id="rId3525" display="https://youtu.be/hxiB7PByPHQ"/>
    <hyperlink ref="F3524" r:id="rId2" display="https://files.afu.se/Downloads/Transcripts/0%20-%20Government/USA%20-%20NASA%20Johnson/"/>
    <hyperlink ref="C3525" r:id="rId3526" display="https://youtu.be/iniGwVNRrnU"/>
    <hyperlink ref="F3525" r:id="rId2" display="https://files.afu.se/Downloads/Transcripts/0%20-%20Government/USA%20-%20NASA%20Johnson/"/>
    <hyperlink ref="C3526" r:id="rId3527" display="https://youtu.be/tcQ2xjLB2jA"/>
    <hyperlink ref="F3526" r:id="rId2" display="https://files.afu.se/Downloads/Transcripts/0%20-%20Government/USA%20-%20NASA%20Johnson/"/>
    <hyperlink ref="C3527" r:id="rId3528" display="https://youtu.be/wiQo4siQXyo"/>
    <hyperlink ref="F3527" r:id="rId2" display="https://files.afu.se/Downloads/Transcripts/0%20-%20Government/USA%20-%20NASA%20Johnson/"/>
    <hyperlink ref="C3528" r:id="rId3529" display="https://youtu.be/v9rjBbZfLuY"/>
    <hyperlink ref="F3528" r:id="rId2" display="https://files.afu.se/Downloads/Transcripts/0%20-%20Government/USA%20-%20NASA%20Johnson/"/>
    <hyperlink ref="C3529" r:id="rId3530" display="https://youtu.be/t1zacVNO8Ng"/>
    <hyperlink ref="F3529" r:id="rId2" display="https://files.afu.se/Downloads/Transcripts/0%20-%20Government/USA%20-%20NASA%20Johnson/"/>
    <hyperlink ref="C3530" r:id="rId3531" display="https://youtu.be/XdUPMk7H4R0"/>
    <hyperlink ref="F3530" r:id="rId2" display="https://files.afu.se/Downloads/Transcripts/0%20-%20Government/USA%20-%20NASA%20Johnson/"/>
    <hyperlink ref="C3531" r:id="rId3532" display="https://youtu.be/gHkxdjVAmUU"/>
    <hyperlink ref="F3531" r:id="rId2" display="https://files.afu.se/Downloads/Transcripts/0%20-%20Government/USA%20-%20NASA%20Johnson/"/>
    <hyperlink ref="C3532" r:id="rId3533" display="https://youtu.be/nphbNjIPpH8"/>
    <hyperlink ref="F3532" r:id="rId2" display="https://files.afu.se/Downloads/Transcripts/0%20-%20Government/USA%20-%20NASA%20Johnson/"/>
    <hyperlink ref="C3533" r:id="rId3534" display="https://youtu.be/J2fMesERgDc"/>
    <hyperlink ref="F3533" r:id="rId2" display="https://files.afu.se/Downloads/Transcripts/0%20-%20Government/USA%20-%20NASA%20Johnson/"/>
    <hyperlink ref="C3534" r:id="rId3535" display="https://youtu.be/EyBBPy9To6c"/>
    <hyperlink ref="F3534" r:id="rId2" display="https://files.afu.se/Downloads/Transcripts/0%20-%20Government/USA%20-%20NASA%20Johnson/"/>
    <hyperlink ref="C3535" r:id="rId3536" display="https://youtu.be/fHZDjW6_ark"/>
    <hyperlink ref="F3535" r:id="rId2" display="https://files.afu.se/Downloads/Transcripts/0%20-%20Government/USA%20-%20NASA%20Johnson/"/>
    <hyperlink ref="C3536" r:id="rId3537" display="https://youtu.be/LHQ7pm1xr3A"/>
    <hyperlink ref="F3536" r:id="rId2" display="https://files.afu.se/Downloads/Transcripts/0%20-%20Government/USA%20-%20NASA%20Johnson/"/>
    <hyperlink ref="C3537" r:id="rId3538" display="https://youtu.be/AkuWk57RRfI"/>
    <hyperlink ref="F3537" r:id="rId2" display="https://files.afu.se/Downloads/Transcripts/0%20-%20Government/USA%20-%20NASA%20Johnson/"/>
    <hyperlink ref="C3538" r:id="rId3539" display="https://youtu.be/Hj_8L_qcEPI"/>
    <hyperlink ref="F3538" r:id="rId2" display="https://files.afu.se/Downloads/Transcripts/0%20-%20Government/USA%20-%20NASA%20Johnson/"/>
    <hyperlink ref="C3539" r:id="rId3540" display="https://youtu.be/JhY_I4kwYv0"/>
    <hyperlink ref="F3539" r:id="rId2" display="https://files.afu.se/Downloads/Transcripts/0%20-%20Government/USA%20-%20NASA%20Johnson/"/>
    <hyperlink ref="C3540" r:id="rId3541" display="https://youtu.be/zWZEHQ8WFdA"/>
    <hyperlink ref="F3540" r:id="rId2" display="https://files.afu.se/Downloads/Transcripts/0%20-%20Government/USA%20-%20NASA%20Johnson/"/>
    <hyperlink ref="C3541" r:id="rId3542" display="https://youtu.be/t1yEogtoKUU"/>
    <hyperlink ref="F3541" r:id="rId2" display="https://files.afu.se/Downloads/Transcripts/0%20-%20Government/USA%20-%20NASA%20Johnson/"/>
    <hyperlink ref="C3542" r:id="rId3543" display="https://youtu.be/8scBWZ_0H50"/>
    <hyperlink ref="F3542" r:id="rId2" display="https://files.afu.se/Downloads/Transcripts/0%20-%20Government/USA%20-%20NASA%20Johnson/"/>
    <hyperlink ref="C3543" r:id="rId3544" display="https://youtu.be/jlgIHKenUBw"/>
    <hyperlink ref="F3543" r:id="rId2" display="https://files.afu.se/Downloads/Transcripts/0%20-%20Government/USA%20-%20NASA%20Johnson/"/>
    <hyperlink ref="C3544" r:id="rId3545" display="https://youtu.be/zpzAVDBNjko"/>
    <hyperlink ref="F3544" r:id="rId2" display="https://files.afu.se/Downloads/Transcripts/0%20-%20Government/USA%20-%20NASA%20Johnson/"/>
    <hyperlink ref="C3545" r:id="rId3546" display="https://youtu.be/6mzcD_zupbc"/>
    <hyperlink ref="F3545" r:id="rId2" display="https://files.afu.se/Downloads/Transcripts/0%20-%20Government/USA%20-%20NASA%20Johnson/"/>
    <hyperlink ref="C3546" r:id="rId3547" display="https://youtu.be/T7wC2mHStro"/>
    <hyperlink ref="F3546" r:id="rId2" display="https://files.afu.se/Downloads/Transcripts/0%20-%20Government/USA%20-%20NASA%20Johnson/"/>
    <hyperlink ref="C3547" r:id="rId3548" display="https://youtu.be/uGyNcwkZ6HU"/>
    <hyperlink ref="F3547" r:id="rId2" display="https://files.afu.se/Downloads/Transcripts/0%20-%20Government/USA%20-%20NASA%20Johnson/"/>
    <hyperlink ref="C3548" r:id="rId3549" display="https://youtu.be/Rnh7CehuaGM"/>
    <hyperlink ref="F3548" r:id="rId2" display="https://files.afu.se/Downloads/Transcripts/0%20-%20Government/USA%20-%20NASA%20Johnson/"/>
    <hyperlink ref="C3549" r:id="rId3550" display="https://youtu.be/1HDVqxKqt_Q"/>
    <hyperlink ref="F3549" r:id="rId2" display="https://files.afu.se/Downloads/Transcripts/0%20-%20Government/USA%20-%20NASA%20Johnson/"/>
    <hyperlink ref="C3550" r:id="rId3551" display="https://youtu.be/-jWsAZwA9ME"/>
    <hyperlink ref="F3550" r:id="rId2" display="https://files.afu.se/Downloads/Transcripts/0%20-%20Government/USA%20-%20NASA%20Johnson/"/>
    <hyperlink ref="C3551" r:id="rId3552" display="https://youtu.be/c6kHaly_nsE"/>
    <hyperlink ref="F3551" r:id="rId2" display="https://files.afu.se/Downloads/Transcripts/0%20-%20Government/USA%20-%20NASA%20Johnson/"/>
    <hyperlink ref="C3552" r:id="rId3553" display="https://youtu.be/95swrZs1HCM"/>
    <hyperlink ref="F3552" r:id="rId2" display="https://files.afu.se/Downloads/Transcripts/0%20-%20Government/USA%20-%20NASA%20Johnson/"/>
    <hyperlink ref="C3553" r:id="rId3554" display="https://youtu.be/0hiu7IaIWds"/>
    <hyperlink ref="F3553" r:id="rId2" display="https://files.afu.se/Downloads/Transcripts/0%20-%20Government/USA%20-%20NASA%20Johnson/"/>
    <hyperlink ref="C3554" r:id="rId3555" display="https://youtu.be/a3obOb8Vn8M"/>
    <hyperlink ref="F3554" r:id="rId2" display="https://files.afu.se/Downloads/Transcripts/0%20-%20Government/USA%20-%20NASA%20Johnson/"/>
    <hyperlink ref="C3555" r:id="rId3556" display="https://youtu.be/bM9zGz0EOlw"/>
    <hyperlink ref="F3555" r:id="rId2" display="https://files.afu.se/Downloads/Transcripts/0%20-%20Government/USA%20-%20NASA%20Johnson/"/>
    <hyperlink ref="C3556" r:id="rId3557" display="https://youtu.be/1g_PjqpL9Z4"/>
    <hyperlink ref="F3556" r:id="rId2" display="https://files.afu.se/Downloads/Transcripts/0%20-%20Government/USA%20-%20NASA%20Johnson/"/>
    <hyperlink ref="C3557" r:id="rId3558" display="https://youtu.be/5Y2Axi9ETxM"/>
    <hyperlink ref="F3557" r:id="rId2" display="https://files.afu.se/Downloads/Transcripts/0%20-%20Government/USA%20-%20NASA%20Johnson/"/>
    <hyperlink ref="C3558" r:id="rId3559" display="https://youtu.be/8il6rx-9a3c"/>
    <hyperlink ref="F3558" r:id="rId2" display="https://files.afu.se/Downloads/Transcripts/0%20-%20Government/USA%20-%20NASA%20Johnson/"/>
    <hyperlink ref="C3559" r:id="rId3560" display="https://youtu.be/1J9H3niSXj8"/>
    <hyperlink ref="F3559" r:id="rId2" display="https://files.afu.se/Downloads/Transcripts/0%20-%20Government/USA%20-%20NASA%20Johnson/"/>
    <hyperlink ref="C3560" r:id="rId3561" display="https://youtu.be/q84fSH9g5dk"/>
    <hyperlink ref="F3560" r:id="rId2" display="https://files.afu.se/Downloads/Transcripts/0%20-%20Government/USA%20-%20NASA%20Johnson/"/>
    <hyperlink ref="C3561" r:id="rId3562" display="https://youtu.be/na0scpoRBO0"/>
    <hyperlink ref="F3561" r:id="rId2" display="https://files.afu.se/Downloads/Transcripts/0%20-%20Government/USA%20-%20NASA%20Johnson/"/>
    <hyperlink ref="C3562" r:id="rId3563" display="https://youtu.be/FepUv3vmIM8"/>
    <hyperlink ref="F3562" r:id="rId2" display="https://files.afu.se/Downloads/Transcripts/0%20-%20Government/USA%20-%20NASA%20Johnson/"/>
    <hyperlink ref="C3563" r:id="rId3564" display="https://youtu.be/hxPbnFc7iU8"/>
    <hyperlink ref="F3563" r:id="rId2" display="https://files.afu.se/Downloads/Transcripts/0%20-%20Government/USA%20-%20NASA%20Johnson/"/>
    <hyperlink ref="C3564" r:id="rId3565" display="https://youtu.be/Y6cCePwe7y0"/>
    <hyperlink ref="F3564" r:id="rId2" display="https://files.afu.se/Downloads/Transcripts/0%20-%20Government/USA%20-%20NASA%20Johnson/"/>
    <hyperlink ref="C3565" r:id="rId3566" display="https://youtu.be/VxcRkmi0kso"/>
    <hyperlink ref="F3565" r:id="rId2" display="https://files.afu.se/Downloads/Transcripts/0%20-%20Government/USA%20-%20NASA%20Johnson/"/>
    <hyperlink ref="C3566" r:id="rId3567" display="https://youtu.be/DwpObdVfSa8"/>
    <hyperlink ref="F3566" r:id="rId2" display="https://files.afu.se/Downloads/Transcripts/0%20-%20Government/USA%20-%20NASA%20Johnson/"/>
    <hyperlink ref="C3567" r:id="rId3568" display="https://youtu.be/QUJw22gHmYM"/>
    <hyperlink ref="F3567" r:id="rId2" display="https://files.afu.se/Downloads/Transcripts/0%20-%20Government/USA%20-%20NASA%20Johnson/"/>
    <hyperlink ref="C3568" r:id="rId3569" display="https://youtu.be/Cziu4wMu880"/>
    <hyperlink ref="F3568" r:id="rId2" display="https://files.afu.se/Downloads/Transcripts/0%20-%20Government/USA%20-%20NASA%20Johnson/"/>
    <hyperlink ref="C3569" r:id="rId3570" display="https://youtu.be/e16eXXAoisg"/>
    <hyperlink ref="F3569" r:id="rId2" display="https://files.afu.se/Downloads/Transcripts/0%20-%20Government/USA%20-%20NASA%20Johnson/"/>
    <hyperlink ref="C3570" r:id="rId3571" display="https://youtu.be/wlyuwC8CMxI"/>
    <hyperlink ref="F3570" r:id="rId2" display="https://files.afu.se/Downloads/Transcripts/0%20-%20Government/USA%20-%20NASA%20Johnson/"/>
    <hyperlink ref="C3571" r:id="rId3572" display="https://youtu.be/kmZFbxt5WBQ"/>
    <hyperlink ref="F3571" r:id="rId2" display="https://files.afu.se/Downloads/Transcripts/0%20-%20Government/USA%20-%20NASA%20Johnson/"/>
    <hyperlink ref="C3572" r:id="rId3573" display="https://youtu.be/xNYFlxLgH04"/>
    <hyperlink ref="F3572" r:id="rId2" display="https://files.afu.se/Downloads/Transcripts/0%20-%20Government/USA%20-%20NASA%20Johnson/"/>
    <hyperlink ref="C3573" r:id="rId3574" display="https://youtu.be/5risLyeWcic"/>
    <hyperlink ref="F3573" r:id="rId2" display="https://files.afu.se/Downloads/Transcripts/0%20-%20Government/USA%20-%20NASA%20Johnson/"/>
    <hyperlink ref="C3574" r:id="rId3575" display="https://youtu.be/GcJGof6sIgE"/>
    <hyperlink ref="F3574" r:id="rId2" display="https://files.afu.se/Downloads/Transcripts/0%20-%20Government/USA%20-%20NASA%20Johnson/"/>
    <hyperlink ref="C3575" r:id="rId3576" display="https://youtu.be/3AXwJ_umiFo"/>
    <hyperlink ref="F3575" r:id="rId2" display="https://files.afu.se/Downloads/Transcripts/0%20-%20Government/USA%20-%20NASA%20Johnson/"/>
    <hyperlink ref="C3576" r:id="rId3577" display="https://youtu.be/_tZX2HUG_qs"/>
    <hyperlink ref="F3576" r:id="rId2" display="https://files.afu.se/Downloads/Transcripts/0%20-%20Government/USA%20-%20NASA%20Johnson/"/>
    <hyperlink ref="C3577" r:id="rId3578" display="https://youtu.be/rLZoTAY3MDc"/>
    <hyperlink ref="F3577" r:id="rId2" display="https://files.afu.se/Downloads/Transcripts/0%20-%20Government/USA%20-%20NASA%20Johnson/"/>
    <hyperlink ref="C3578" r:id="rId3579" display="https://youtu.be/9X92RvFxt8c"/>
    <hyperlink ref="F3578" r:id="rId2" display="https://files.afu.se/Downloads/Transcripts/0%20-%20Government/USA%20-%20NASA%20Johnson/"/>
    <hyperlink ref="C3579" r:id="rId3580" display="https://youtu.be/rEPK4Yw5Ics"/>
    <hyperlink ref="F3579" r:id="rId2" display="https://files.afu.se/Downloads/Transcripts/0%20-%20Government/USA%20-%20NASA%20Johnson/"/>
    <hyperlink ref="C3580" r:id="rId3581" display="https://youtu.be/Wd1xr7XvYE8"/>
    <hyperlink ref="F3580" r:id="rId2" display="https://files.afu.se/Downloads/Transcripts/0%20-%20Government/USA%20-%20NASA%20Johnson/"/>
    <hyperlink ref="C3581" r:id="rId3582" display="https://youtu.be/DYkDzPAhC3Y"/>
    <hyperlink ref="F3581" r:id="rId2" display="https://files.afu.se/Downloads/Transcripts/0%20-%20Government/USA%20-%20NASA%20Johnson/"/>
    <hyperlink ref="C3582" r:id="rId3583" display="https://youtu.be/0ue85np82C8"/>
    <hyperlink ref="F3582" r:id="rId2" display="https://files.afu.se/Downloads/Transcripts/0%20-%20Government/USA%20-%20NASA%20Johnson/"/>
    <hyperlink ref="C3583" r:id="rId3584" display="https://youtu.be/861EPmdpmRU"/>
    <hyperlink ref="F3583" r:id="rId2" display="https://files.afu.se/Downloads/Transcripts/0%20-%20Government/USA%20-%20NASA%20Johnson/"/>
    <hyperlink ref="C3584" r:id="rId3585" display="https://youtu.be/lg3sMZPO7FA"/>
    <hyperlink ref="F3584" r:id="rId2" display="https://files.afu.se/Downloads/Transcripts/0%20-%20Government/USA%20-%20NASA%20Johnson/"/>
    <hyperlink ref="C3585" r:id="rId3586" display="https://youtu.be/7UnweHNYMR4"/>
    <hyperlink ref="F3585" r:id="rId2" display="https://files.afu.se/Downloads/Transcripts/0%20-%20Government/USA%20-%20NASA%20Johnson/"/>
    <hyperlink ref="C3586" r:id="rId3587" display="https://youtu.be/_7cDEwIdOBA"/>
    <hyperlink ref="F3586" r:id="rId2" display="https://files.afu.se/Downloads/Transcripts/0%20-%20Government/USA%20-%20NASA%20Johnson/"/>
    <hyperlink ref="C3587" r:id="rId3588" display="https://youtu.be/yJx_8dGLhJA"/>
    <hyperlink ref="F3587" r:id="rId2" display="https://files.afu.se/Downloads/Transcripts/0%20-%20Government/USA%20-%20NASA%20Johnson/"/>
    <hyperlink ref="C3588" r:id="rId3589" display="https://youtu.be/mHqmdWFWMQs"/>
    <hyperlink ref="F3588" r:id="rId2" display="https://files.afu.se/Downloads/Transcripts/0%20-%20Government/USA%20-%20NASA%20Johnson/"/>
    <hyperlink ref="C3589" r:id="rId3590" display="https://youtu.be/rpyfE_FB2hY"/>
    <hyperlink ref="F3589" r:id="rId2" display="https://files.afu.se/Downloads/Transcripts/0%20-%20Government/USA%20-%20NASA%20Johnson/"/>
    <hyperlink ref="C3590" r:id="rId3591" display="https://youtu.be/lqt9_9np4-8"/>
    <hyperlink ref="F3590" r:id="rId2" display="https://files.afu.se/Downloads/Transcripts/0%20-%20Government/USA%20-%20NASA%20Johnson/"/>
    <hyperlink ref="C3591" r:id="rId3592" display="https://youtu.be/lwWNtd2moXs"/>
    <hyperlink ref="F3591" r:id="rId2" display="https://files.afu.se/Downloads/Transcripts/0%20-%20Government/USA%20-%20NASA%20Johnson/"/>
    <hyperlink ref="C3592" r:id="rId3593" display="https://youtu.be/8sDc00IK7mA"/>
    <hyperlink ref="F3592" r:id="rId2" display="https://files.afu.se/Downloads/Transcripts/0%20-%20Government/USA%20-%20NASA%20Johnson/"/>
    <hyperlink ref="C3593" r:id="rId3594" display="https://youtu.be/vfq5yy7BhsM"/>
    <hyperlink ref="F3593" r:id="rId2" display="https://files.afu.se/Downloads/Transcripts/0%20-%20Government/USA%20-%20NASA%20Johnson/"/>
    <hyperlink ref="C3594" r:id="rId3595" display="https://youtu.be/e0_wwWFTOE0"/>
    <hyperlink ref="F3594" r:id="rId2" display="https://files.afu.se/Downloads/Transcripts/0%20-%20Government/USA%20-%20NASA%20Johnson/"/>
    <hyperlink ref="C3595" r:id="rId3596" display="https://youtu.be/eWf0Kh9kYLE"/>
    <hyperlink ref="F3595" r:id="rId2" display="https://files.afu.se/Downloads/Transcripts/0%20-%20Government/USA%20-%20NASA%20Johnson/"/>
    <hyperlink ref="C3596" r:id="rId3597" display="https://youtu.be/Q0yYSnK1yIk"/>
    <hyperlink ref="F3596" r:id="rId2" display="https://files.afu.se/Downloads/Transcripts/0%20-%20Government/USA%20-%20NASA%20Johnson/"/>
    <hyperlink ref="C3597" r:id="rId3598" display="https://youtu.be/vXOaUiDvEZw"/>
    <hyperlink ref="F3597" r:id="rId2" display="https://files.afu.se/Downloads/Transcripts/0%20-%20Government/USA%20-%20NASA%20Johnson/"/>
    <hyperlink ref="C3598" r:id="rId3599" display="https://youtu.be/_w4dVPzvlMA"/>
    <hyperlink ref="F3598" r:id="rId2" display="https://files.afu.se/Downloads/Transcripts/0%20-%20Government/USA%20-%20NASA%20Johnson/"/>
    <hyperlink ref="C3599" r:id="rId3600" display="https://youtu.be/63vhQOnZ834"/>
    <hyperlink ref="F3599" r:id="rId2" display="https://files.afu.se/Downloads/Transcripts/0%20-%20Government/USA%20-%20NASA%20Johnson/"/>
    <hyperlink ref="C3600" r:id="rId3601" display="https://youtu.be/KRnPy6aU29o"/>
    <hyperlink ref="F3600" r:id="rId2" display="https://files.afu.se/Downloads/Transcripts/0%20-%20Government/USA%20-%20NASA%20Johnson/"/>
    <hyperlink ref="C3601" r:id="rId3602" display="https://youtu.be/2p2Kt4L3M0Q"/>
    <hyperlink ref="F3601" r:id="rId2" display="https://files.afu.se/Downloads/Transcripts/0%20-%20Government/USA%20-%20NASA%20Johnson/"/>
    <hyperlink ref="C3602" r:id="rId3603" display="https://youtu.be/Ij8b-RSlUyc"/>
    <hyperlink ref="F3602" r:id="rId2" display="https://files.afu.se/Downloads/Transcripts/0%20-%20Government/USA%20-%20NASA%20Johnson/"/>
    <hyperlink ref="C3603" r:id="rId3604" display="https://youtu.be/5bNscJamkWk"/>
    <hyperlink ref="F3603" r:id="rId2" display="https://files.afu.se/Downloads/Transcripts/0%20-%20Government/USA%20-%20NASA%20Johnson/"/>
    <hyperlink ref="C3604" r:id="rId3605" display="https://youtu.be/Mj52CgKHzHQ"/>
    <hyperlink ref="F3604" r:id="rId2" display="https://files.afu.se/Downloads/Transcripts/0%20-%20Government/USA%20-%20NASA%20Johnson/"/>
    <hyperlink ref="C3605" r:id="rId3606" display="https://youtu.be/sItKDSf0xl8"/>
    <hyperlink ref="F3605" r:id="rId2" display="https://files.afu.se/Downloads/Transcripts/0%20-%20Government/USA%20-%20NASA%20Johnson/"/>
    <hyperlink ref="C3606" r:id="rId3607" display="https://youtu.be/AiQ9_dLPhfY"/>
    <hyperlink ref="F3606" r:id="rId2" display="https://files.afu.se/Downloads/Transcripts/0%20-%20Government/USA%20-%20NASA%20Johnson/"/>
    <hyperlink ref="C3607" r:id="rId3608" display="https://youtu.be/mgSCH6q9gY8"/>
    <hyperlink ref="F3607" r:id="rId2" display="https://files.afu.se/Downloads/Transcripts/0%20-%20Government/USA%20-%20NASA%20Johnson/"/>
    <hyperlink ref="C3608" r:id="rId3609" display="https://youtu.be/fNcFyRkwQYA"/>
    <hyperlink ref="F3608" r:id="rId2" display="https://files.afu.se/Downloads/Transcripts/0%20-%20Government/USA%20-%20NASA%20Johnson/"/>
    <hyperlink ref="C3609" r:id="rId3610" display="https://youtu.be/KtUNUdO2_1k"/>
    <hyperlink ref="F3609" r:id="rId2" display="https://files.afu.se/Downloads/Transcripts/0%20-%20Government/USA%20-%20NASA%20Johnson/"/>
    <hyperlink ref="C3610" r:id="rId3611" display="https://youtu.be/AutZQ-4KpEQ"/>
    <hyperlink ref="F3610" r:id="rId2" display="https://files.afu.se/Downloads/Transcripts/0%20-%20Government/USA%20-%20NASA%20Johnson/"/>
    <hyperlink ref="C3611" r:id="rId3612" display="https://youtu.be/veDmf1cKbmU"/>
    <hyperlink ref="F3611" r:id="rId2" display="https://files.afu.se/Downloads/Transcripts/0%20-%20Government/USA%20-%20NASA%20Johnson/"/>
    <hyperlink ref="C3612" r:id="rId3613" display="https://youtu.be/12vZSwQtmgo"/>
    <hyperlink ref="F3612" r:id="rId2" display="https://files.afu.se/Downloads/Transcripts/0%20-%20Government/USA%20-%20NASA%20Johnson/"/>
    <hyperlink ref="C3613" r:id="rId3614" display="https://youtu.be/d_ATYPb89eA"/>
    <hyperlink ref="F3613" r:id="rId2" display="https://files.afu.se/Downloads/Transcripts/0%20-%20Government/USA%20-%20NASA%20Johnson/"/>
    <hyperlink ref="C3614" r:id="rId3615" display="https://youtu.be/x5P9mTiRQuY"/>
    <hyperlink ref="F3614" r:id="rId2" display="https://files.afu.se/Downloads/Transcripts/0%20-%20Government/USA%20-%20NASA%20Johnson/"/>
    <hyperlink ref="C3615" r:id="rId3616" display="https://youtu.be/fuFftT6ZR4k"/>
    <hyperlink ref="F3615" r:id="rId2" display="https://files.afu.se/Downloads/Transcripts/0%20-%20Government/USA%20-%20NASA%20Johnson/"/>
    <hyperlink ref="C3616" r:id="rId3617" display="https://youtu.be/uAPi0lDPI4o"/>
    <hyperlink ref="F3616" r:id="rId2" display="https://files.afu.se/Downloads/Transcripts/0%20-%20Government/USA%20-%20NASA%20Johnson/"/>
    <hyperlink ref="C3617" r:id="rId3618" display="https://youtu.be/7NJXH5EWp3M"/>
    <hyperlink ref="F3617" r:id="rId2" display="https://files.afu.se/Downloads/Transcripts/0%20-%20Government/USA%20-%20NASA%20Johnson/"/>
    <hyperlink ref="C3618" r:id="rId3619" display="https://youtu.be/_0VdV4-Pbh4"/>
    <hyperlink ref="F3618" r:id="rId2" display="https://files.afu.se/Downloads/Transcripts/0%20-%20Government/USA%20-%20NASA%20Johnson/"/>
    <hyperlink ref="C3619" r:id="rId3620" display="https://youtu.be/-N5A0L83C_M"/>
    <hyperlink ref="F3619" r:id="rId2" display="https://files.afu.se/Downloads/Transcripts/0%20-%20Government/USA%20-%20NASA%20Johnson/"/>
    <hyperlink ref="C3620" r:id="rId3621" display="https://youtu.be/VaSKLKs4hk4"/>
    <hyperlink ref="F3620" r:id="rId2" display="https://files.afu.se/Downloads/Transcripts/0%20-%20Government/USA%20-%20NASA%20Johnson/"/>
    <hyperlink ref="C3621" r:id="rId3622" display="https://youtu.be/pOrzI21ZF8U"/>
    <hyperlink ref="F3621" r:id="rId2" display="https://files.afu.se/Downloads/Transcripts/0%20-%20Government/USA%20-%20NASA%20Johnson/"/>
    <hyperlink ref="C3622" r:id="rId3623" display="https://youtu.be/UDC0EEh4YeA"/>
    <hyperlink ref="F3622" r:id="rId2" display="https://files.afu.se/Downloads/Transcripts/0%20-%20Government/USA%20-%20NASA%20Johnson/"/>
    <hyperlink ref="C3623" r:id="rId3624" display="https://youtu.be/wlzytubpMiE"/>
    <hyperlink ref="F3623" r:id="rId2" display="https://files.afu.se/Downloads/Transcripts/0%20-%20Government/USA%20-%20NASA%20Johnson/"/>
    <hyperlink ref="C3624" r:id="rId3625" display="https://youtu.be/k7jd30y6qr8"/>
    <hyperlink ref="F3624" r:id="rId2" display="https://files.afu.se/Downloads/Transcripts/0%20-%20Government/USA%20-%20NASA%20Johnson/"/>
    <hyperlink ref="C3625" r:id="rId3626" display="https://youtu.be/tiGsH4xmelI"/>
    <hyperlink ref="F3625" r:id="rId2" display="https://files.afu.se/Downloads/Transcripts/0%20-%20Government/USA%20-%20NASA%20Johnson/"/>
    <hyperlink ref="C3626" r:id="rId3627" display="https://youtu.be/fArt6k6j70k"/>
    <hyperlink ref="F3626" r:id="rId2" display="https://files.afu.se/Downloads/Transcripts/0%20-%20Government/USA%20-%20NASA%20Johnson/"/>
    <hyperlink ref="C3627" r:id="rId3628" display="https://youtu.be/L5-vPCmdlSQ"/>
    <hyperlink ref="F3627" r:id="rId2" display="https://files.afu.se/Downloads/Transcripts/0%20-%20Government/USA%20-%20NASA%20Johnson/"/>
    <hyperlink ref="C3628" r:id="rId3629" display="https://youtu.be/aYkqQANPQxY"/>
    <hyperlink ref="F3628" r:id="rId2" display="https://files.afu.se/Downloads/Transcripts/0%20-%20Government/USA%20-%20NASA%20Johnson/"/>
    <hyperlink ref="C3629" r:id="rId3630" display="https://youtu.be/S_bn0aDorjQ"/>
    <hyperlink ref="F3629" r:id="rId2" display="https://files.afu.se/Downloads/Transcripts/0%20-%20Government/USA%20-%20NASA%20Johnson/"/>
    <hyperlink ref="C3630" r:id="rId3631" display="https://youtu.be/yrm0VRoUHRo"/>
    <hyperlink ref="F3630" r:id="rId2" display="https://files.afu.se/Downloads/Transcripts/0%20-%20Government/USA%20-%20NASA%20Johnson/"/>
    <hyperlink ref="C3631" r:id="rId3632" display="https://youtu.be/68y3xl5HVmo"/>
    <hyperlink ref="F3631" r:id="rId2" display="https://files.afu.se/Downloads/Transcripts/0%20-%20Government/USA%20-%20NASA%20Johnson/"/>
    <hyperlink ref="C3632" r:id="rId3633" display="https://youtu.be/su4QYQdWicQ"/>
    <hyperlink ref="F3632" r:id="rId2" display="https://files.afu.se/Downloads/Transcripts/0%20-%20Government/USA%20-%20NASA%20Johnson/"/>
    <hyperlink ref="C3633" r:id="rId3634" display="https://youtu.be/6_jR-oG1eQk"/>
    <hyperlink ref="F3633" r:id="rId2" display="https://files.afu.se/Downloads/Transcripts/0%20-%20Government/USA%20-%20NASA%20Johnson/"/>
    <hyperlink ref="C3634" r:id="rId3635" display="https://youtu.be/IXTVju0bSdE"/>
    <hyperlink ref="F3634" r:id="rId2" display="https://files.afu.se/Downloads/Transcripts/0%20-%20Government/USA%20-%20NASA%20Johnson/"/>
    <hyperlink ref="C3635" r:id="rId3636" display="https://youtu.be/5YsZ9__9KlA"/>
    <hyperlink ref="F3635" r:id="rId2" display="https://files.afu.se/Downloads/Transcripts/0%20-%20Government/USA%20-%20NASA%20Johnson/"/>
    <hyperlink ref="C3636" r:id="rId3637" display="https://youtu.be/W0fArNhU5l8"/>
    <hyperlink ref="F3636" r:id="rId2" display="https://files.afu.se/Downloads/Transcripts/0%20-%20Government/USA%20-%20NASA%20Johnson/"/>
    <hyperlink ref="C3637" r:id="rId3638" display="https://youtu.be/7qiAF7gMZ2o"/>
    <hyperlink ref="F3637" r:id="rId2" display="https://files.afu.se/Downloads/Transcripts/0%20-%20Government/USA%20-%20NASA%20Johnson/"/>
    <hyperlink ref="C3638" r:id="rId3639" display="https://youtu.be/f2rbrNMSXBs"/>
    <hyperlink ref="F3638" r:id="rId2" display="https://files.afu.se/Downloads/Transcripts/0%20-%20Government/USA%20-%20NASA%20Johnson/"/>
    <hyperlink ref="C3639" r:id="rId3640" display="https://youtu.be/enssQtVVqm4"/>
    <hyperlink ref="F3639" r:id="rId2" display="https://files.afu.se/Downloads/Transcripts/0%20-%20Government/USA%20-%20NASA%20Johnson/"/>
    <hyperlink ref="C3640" r:id="rId3641" display="https://youtu.be/-JGP1v9bxpQ"/>
    <hyperlink ref="F3640" r:id="rId2" display="https://files.afu.se/Downloads/Transcripts/0%20-%20Government/USA%20-%20NASA%20Johnson/"/>
    <hyperlink ref="C3641" r:id="rId3642" display="https://youtu.be/raUqLDqjJKg"/>
    <hyperlink ref="F3641" r:id="rId2" display="https://files.afu.se/Downloads/Transcripts/0%20-%20Government/USA%20-%20NASA%20Johnson/"/>
    <hyperlink ref="C3642" r:id="rId3643" display="https://youtu.be/gOARToiteow"/>
    <hyperlink ref="F3642" r:id="rId2" display="https://files.afu.se/Downloads/Transcripts/0%20-%20Government/USA%20-%20NASA%20Johnson/"/>
    <hyperlink ref="C3643" r:id="rId3644" display="https://youtu.be/b3rwLgUTjcw"/>
    <hyperlink ref="F3643" r:id="rId2" display="https://files.afu.se/Downloads/Transcripts/0%20-%20Government/USA%20-%20NASA%20Johnson/"/>
    <hyperlink ref="C3644" r:id="rId3645" display="https://youtu.be/ONbK_AA7TsM"/>
    <hyperlink ref="F3644" r:id="rId2" display="https://files.afu.se/Downloads/Transcripts/0%20-%20Government/USA%20-%20NASA%20Johnson/"/>
    <hyperlink ref="C3645" r:id="rId3646" display="https://youtu.be/X1K9QW51gYI"/>
    <hyperlink ref="F3645" r:id="rId2" display="https://files.afu.se/Downloads/Transcripts/0%20-%20Government/USA%20-%20NASA%20Johnson/"/>
    <hyperlink ref="C3646" r:id="rId3647" display="https://youtu.be/QBCNNel9EVU"/>
    <hyperlink ref="F3646" r:id="rId2" display="https://files.afu.se/Downloads/Transcripts/0%20-%20Government/USA%20-%20NASA%20Johnson/"/>
    <hyperlink ref="C3647" r:id="rId3648" display="https://youtu.be/naVLj5RZndY"/>
    <hyperlink ref="F3647" r:id="rId2" display="https://files.afu.se/Downloads/Transcripts/0%20-%20Government/USA%20-%20NASA%20Johnson/"/>
    <hyperlink ref="C3648" r:id="rId3649" display="https://youtu.be/1sN7RXC9vIw"/>
    <hyperlink ref="F3648" r:id="rId2" display="https://files.afu.se/Downloads/Transcripts/0%20-%20Government/USA%20-%20NASA%20Johnson/"/>
    <hyperlink ref="C3649" r:id="rId3650" display="https://youtu.be/dQNNjDQrslQ"/>
    <hyperlink ref="F3649" r:id="rId2" display="https://files.afu.se/Downloads/Transcripts/0%20-%20Government/USA%20-%20NASA%20Johnson/"/>
    <hyperlink ref="C3650" r:id="rId3651" display="https://youtu.be/ge_uzCSbPg0"/>
    <hyperlink ref="F3650" r:id="rId2" display="https://files.afu.se/Downloads/Transcripts/0%20-%20Government/USA%20-%20NASA%20Johnson/"/>
    <hyperlink ref="C3651" r:id="rId3652" display="https://youtu.be/54rYZAjI9eQ"/>
    <hyperlink ref="F3651" r:id="rId2" display="https://files.afu.se/Downloads/Transcripts/0%20-%20Government/USA%20-%20NASA%20Johnson/"/>
    <hyperlink ref="C3652" r:id="rId3653" display="https://youtu.be/sWhx_uAII38"/>
    <hyperlink ref="F3652" r:id="rId2" display="https://files.afu.se/Downloads/Transcripts/0%20-%20Government/USA%20-%20NASA%20Johnson/"/>
    <hyperlink ref="C3653" r:id="rId3654" display="https://youtu.be/ARdX6Uf2K4s"/>
    <hyperlink ref="F3653" r:id="rId2" display="https://files.afu.se/Downloads/Transcripts/0%20-%20Government/USA%20-%20NASA%20Johnson/"/>
    <hyperlink ref="C3654" r:id="rId3655" display="https://youtu.be/iM7btO-1MLQ"/>
    <hyperlink ref="F3654" r:id="rId2" display="https://files.afu.se/Downloads/Transcripts/0%20-%20Government/USA%20-%20NASA%20Johnson/"/>
    <hyperlink ref="C3655" r:id="rId3656" display="https://youtu.be/t03P5WfWj34"/>
    <hyperlink ref="F3655" r:id="rId2" display="https://files.afu.se/Downloads/Transcripts/0%20-%20Government/USA%20-%20NASA%20Johnson/"/>
    <hyperlink ref="C3656" r:id="rId3657" display="https://youtu.be/4RSnOiMVfHk"/>
    <hyperlink ref="F3656" r:id="rId2" display="https://files.afu.se/Downloads/Transcripts/0%20-%20Government/USA%20-%20NASA%20Johnson/"/>
    <hyperlink ref="C3657" r:id="rId3658" display="https://youtu.be/8o72MzrgFiU"/>
    <hyperlink ref="F3657" r:id="rId2" display="https://files.afu.se/Downloads/Transcripts/0%20-%20Government/USA%20-%20NASA%20Johnson/"/>
    <hyperlink ref="C3658" r:id="rId3659" display="https://youtu.be/7a2PaTECVSk"/>
    <hyperlink ref="F3658" r:id="rId2" display="https://files.afu.se/Downloads/Transcripts/0%20-%20Government/USA%20-%20NASA%20Johnson/"/>
    <hyperlink ref="C3659" r:id="rId3660" display="https://youtu.be/VP4YsVtJdfQ"/>
    <hyperlink ref="F3659" r:id="rId2" display="https://files.afu.se/Downloads/Transcripts/0%20-%20Government/USA%20-%20NASA%20Johnson/"/>
    <hyperlink ref="C3660" r:id="rId3661" display="https://youtu.be/Zn_IcuVZPps"/>
    <hyperlink ref="F3660" r:id="rId2" display="https://files.afu.se/Downloads/Transcripts/0%20-%20Government/USA%20-%20NASA%20Johnson/"/>
    <hyperlink ref="C3661" r:id="rId3662" display="https://youtu.be/2NbApv43bHM"/>
    <hyperlink ref="F3661" r:id="rId2" display="https://files.afu.se/Downloads/Transcripts/0%20-%20Government/USA%20-%20NASA%20Johnson/"/>
    <hyperlink ref="C3662" r:id="rId3663" display="https://youtu.be/Tmd2poItPmA"/>
    <hyperlink ref="F3662" r:id="rId2" display="https://files.afu.se/Downloads/Transcripts/0%20-%20Government/USA%20-%20NASA%20Johnson/"/>
    <hyperlink ref="C3663" r:id="rId3664" display="https://youtu.be/2ewHl3FefBE"/>
    <hyperlink ref="F3663" r:id="rId2" display="https://files.afu.se/Downloads/Transcripts/0%20-%20Government/USA%20-%20NASA%20Johnson/"/>
    <hyperlink ref="C3664" r:id="rId3665" display="https://youtu.be/MJnj6I0OBIc"/>
    <hyperlink ref="F3664" r:id="rId2" display="https://files.afu.se/Downloads/Transcripts/0%20-%20Government/USA%20-%20NASA%20Johnson/"/>
    <hyperlink ref="C3665" r:id="rId3666" display="https://youtu.be/JRbYCVia7WM"/>
    <hyperlink ref="F3665" r:id="rId2" display="https://files.afu.se/Downloads/Transcripts/0%20-%20Government/USA%20-%20NASA%20Johnson/"/>
    <hyperlink ref="C3666" r:id="rId3667" display="https://youtu.be/_6KArYnSz4o"/>
    <hyperlink ref="F3666" r:id="rId2" display="https://files.afu.se/Downloads/Transcripts/0%20-%20Government/USA%20-%20NASA%20Johnson/"/>
    <hyperlink ref="C3667" r:id="rId3668" display="https://youtu.be/fcPRGB_dXdw"/>
    <hyperlink ref="F3667" r:id="rId2" display="https://files.afu.se/Downloads/Transcripts/0%20-%20Government/USA%20-%20NASA%20Johnson/"/>
    <hyperlink ref="C3668" r:id="rId3669" display="https://youtu.be/DMEMJPwLNbQ"/>
    <hyperlink ref="F3668" r:id="rId2" display="https://files.afu.se/Downloads/Transcripts/0%20-%20Government/USA%20-%20NASA%20Johnson/"/>
    <hyperlink ref="C3669" r:id="rId3670" display="https://youtu.be/Mp-awukkc7I"/>
    <hyperlink ref="F3669" r:id="rId2" display="https://files.afu.se/Downloads/Transcripts/0%20-%20Government/USA%20-%20NASA%20Johnson/"/>
    <hyperlink ref="C3670" r:id="rId3671" display="https://youtu.be/brTk1_NCHKs"/>
    <hyperlink ref="F3670" r:id="rId2" display="https://files.afu.se/Downloads/Transcripts/0%20-%20Government/USA%20-%20NASA%20Johnson/"/>
    <hyperlink ref="C3671" r:id="rId3672" display="https://youtu.be/FxFOm8BC4GE"/>
    <hyperlink ref="F3671" r:id="rId2" display="https://files.afu.se/Downloads/Transcripts/0%20-%20Government/USA%20-%20NASA%20Johnson/"/>
    <hyperlink ref="C3672" r:id="rId3673" display="https://youtu.be/eAjk7XaaUvM"/>
    <hyperlink ref="F3672" r:id="rId2" display="https://files.afu.se/Downloads/Transcripts/0%20-%20Government/USA%20-%20NASA%20Johnson/"/>
    <hyperlink ref="C3673" r:id="rId3674" display="https://youtu.be/Fnb5VX3qyaA"/>
    <hyperlink ref="F3673" r:id="rId2" display="https://files.afu.se/Downloads/Transcripts/0%20-%20Government/USA%20-%20NASA%20Johnson/"/>
    <hyperlink ref="C3674" r:id="rId3675" display="https://youtu.be/uJ503EdUWtk"/>
    <hyperlink ref="F3674" r:id="rId2" display="https://files.afu.se/Downloads/Transcripts/0%20-%20Government/USA%20-%20NASA%20Johnson/"/>
    <hyperlink ref="C3675" r:id="rId3676" display="https://youtu.be/eC-HLrlcimA"/>
    <hyperlink ref="F3675" r:id="rId2" display="https://files.afu.se/Downloads/Transcripts/0%20-%20Government/USA%20-%20NASA%20Johnson/"/>
    <hyperlink ref="C3676" r:id="rId3677" display="https://youtu.be/n-U-j-YqFyY"/>
    <hyperlink ref="F3676" r:id="rId2" display="https://files.afu.se/Downloads/Transcripts/0%20-%20Government/USA%20-%20NASA%20Johnson/"/>
    <hyperlink ref="C3677" r:id="rId3678" display="https://youtu.be/xb2amlfDZ0o"/>
    <hyperlink ref="F3677" r:id="rId2" display="https://files.afu.se/Downloads/Transcripts/0%20-%20Government/USA%20-%20NASA%20Johnson/"/>
    <hyperlink ref="C3678" r:id="rId3679" display="https://youtu.be/UBCBn_Aympw"/>
    <hyperlink ref="F3678" r:id="rId2" display="https://files.afu.se/Downloads/Transcripts/0%20-%20Government/USA%20-%20NASA%20Johnson/"/>
    <hyperlink ref="C3679" r:id="rId3680" display="https://youtu.be/kDPvBJtTOHQ"/>
    <hyperlink ref="F3679" r:id="rId2" display="https://files.afu.se/Downloads/Transcripts/0%20-%20Government/USA%20-%20NASA%20Johnson/"/>
    <hyperlink ref="C3680" r:id="rId3681" display="https://youtu.be/KTKiEODtYxg"/>
    <hyperlink ref="F3680" r:id="rId2" display="https://files.afu.se/Downloads/Transcripts/0%20-%20Government/USA%20-%20NASA%20Johnson/"/>
    <hyperlink ref="C3681" r:id="rId3682" display="https://youtu.be/a_oCCnlV9p4"/>
    <hyperlink ref="F3681" r:id="rId2" display="https://files.afu.se/Downloads/Transcripts/0%20-%20Government/USA%20-%20NASA%20Johnson/"/>
    <hyperlink ref="C3682" r:id="rId3683" display="https://youtu.be/zategEDSi_E"/>
    <hyperlink ref="F3682" r:id="rId2" display="https://files.afu.se/Downloads/Transcripts/0%20-%20Government/USA%20-%20NASA%20Johnson/"/>
    <hyperlink ref="C3683" r:id="rId3684" display="https://youtu.be/rb5Uhh5t2ok"/>
    <hyperlink ref="F3683" r:id="rId2" display="https://files.afu.se/Downloads/Transcripts/0%20-%20Government/USA%20-%20NASA%20Johnson/"/>
    <hyperlink ref="C3684" r:id="rId3685" display="https://youtu.be/YA5-vTyWSws"/>
    <hyperlink ref="F3684" r:id="rId2" display="https://files.afu.se/Downloads/Transcripts/0%20-%20Government/USA%20-%20NASA%20Johnson/"/>
    <hyperlink ref="C3685" r:id="rId3686" display="https://youtu.be/PjfDnm3TAFc"/>
    <hyperlink ref="F3685" r:id="rId2" display="https://files.afu.se/Downloads/Transcripts/0%20-%20Government/USA%20-%20NASA%20Johnson/"/>
    <hyperlink ref="C3686" r:id="rId3687" display="https://youtu.be/V2dbdtfe_qA"/>
    <hyperlink ref="F3686" r:id="rId2" display="https://files.afu.se/Downloads/Transcripts/0%20-%20Government/USA%20-%20NASA%20Johnson/"/>
    <hyperlink ref="C3687" r:id="rId3688" display="https://youtu.be/eakhdNgdorw"/>
    <hyperlink ref="F3687" r:id="rId2" display="https://files.afu.se/Downloads/Transcripts/0%20-%20Government/USA%20-%20NASA%20Johnson/"/>
    <hyperlink ref="C3688" r:id="rId3689" display="https://youtu.be/RNV_3SWwy_4"/>
    <hyperlink ref="F3688" r:id="rId2" display="https://files.afu.se/Downloads/Transcripts/0%20-%20Government/USA%20-%20NASA%20Johnson/"/>
    <hyperlink ref="C3689" r:id="rId3690" display="https://youtu.be/JCKBBQE-94M"/>
    <hyperlink ref="F3689" r:id="rId2" display="https://files.afu.se/Downloads/Transcripts/0%20-%20Government/USA%20-%20NASA%20Johnson/"/>
    <hyperlink ref="C3690" r:id="rId3691" display="https://youtu.be/8reKmhWhyH4"/>
    <hyperlink ref="F3690" r:id="rId2" display="https://files.afu.se/Downloads/Transcripts/0%20-%20Government/USA%20-%20NASA%20Johnson/"/>
    <hyperlink ref="C3691" r:id="rId3692" display="https://youtu.be/ookWLBoWkhI"/>
    <hyperlink ref="F3691" r:id="rId2" display="https://files.afu.se/Downloads/Transcripts/0%20-%20Government/USA%20-%20NASA%20Johnson/"/>
    <hyperlink ref="C3692" r:id="rId3693" display="https://youtu.be/xVnrO51-rjE"/>
    <hyperlink ref="F3692" r:id="rId2" display="https://files.afu.se/Downloads/Transcripts/0%20-%20Government/USA%20-%20NASA%20Johnson/"/>
    <hyperlink ref="C3693" r:id="rId3694" display="https://youtu.be/7gkFqVxHq2o"/>
    <hyperlink ref="F3693" r:id="rId2" display="https://files.afu.se/Downloads/Transcripts/0%20-%20Government/USA%20-%20NASA%20Johnson/"/>
    <hyperlink ref="C3694" r:id="rId3695" display="https://youtu.be/h61xEWJ-bWo"/>
    <hyperlink ref="F3694" r:id="rId2" display="https://files.afu.se/Downloads/Transcripts/0%20-%20Government/USA%20-%20NASA%20Johnson/"/>
    <hyperlink ref="C3695" r:id="rId3696" display="https://youtu.be/gICMr9MNa5Q"/>
    <hyperlink ref="F3695" r:id="rId2" display="https://files.afu.se/Downloads/Transcripts/0%20-%20Government/USA%20-%20NASA%20Johnson/"/>
    <hyperlink ref="C3696" r:id="rId3697" display="https://youtu.be/7aDy8sBN3FA"/>
    <hyperlink ref="F3696" r:id="rId2" display="https://files.afu.se/Downloads/Transcripts/0%20-%20Government/USA%20-%20NASA%20Johnson/"/>
    <hyperlink ref="C3697" r:id="rId3698" display="https://youtu.be/95d7R58T9UM"/>
    <hyperlink ref="F3697" r:id="rId2" display="https://files.afu.se/Downloads/Transcripts/0%20-%20Government/USA%20-%20NASA%20Johnson/"/>
    <hyperlink ref="C3698" r:id="rId3699" display="https://youtu.be/R5wEtMV5sSY"/>
    <hyperlink ref="F3698" r:id="rId2" display="https://files.afu.se/Downloads/Transcripts/0%20-%20Government/USA%20-%20NASA%20Johnson/"/>
    <hyperlink ref="C3699" r:id="rId3700" display="https://youtu.be/c9rc96feWlg"/>
    <hyperlink ref="F3699" r:id="rId2" display="https://files.afu.se/Downloads/Transcripts/0%20-%20Government/USA%20-%20NASA%20Johnson/"/>
    <hyperlink ref="C3700" r:id="rId3701" display="https://youtu.be/LefzkR0CI7o"/>
    <hyperlink ref="F3700" r:id="rId2" display="https://files.afu.se/Downloads/Transcripts/0%20-%20Government/USA%20-%20NASA%20Johnson/"/>
    <hyperlink ref="C3701" r:id="rId3702" display="https://youtu.be/kOyIV_YWU18"/>
    <hyperlink ref="F3701" r:id="rId2" display="https://files.afu.se/Downloads/Transcripts/0%20-%20Government/USA%20-%20NASA%20Johnson/"/>
    <hyperlink ref="C3702" r:id="rId3703" display="https://youtu.be/1Q1FXGH9wFU"/>
    <hyperlink ref="F3702" r:id="rId2" display="https://files.afu.se/Downloads/Transcripts/0%20-%20Government/USA%20-%20NASA%20Johnson/"/>
    <hyperlink ref="C3703" r:id="rId3704" display="https://youtu.be/Ye-4M-FrPnE"/>
    <hyperlink ref="F3703" r:id="rId2" display="https://files.afu.se/Downloads/Transcripts/0%20-%20Government/USA%20-%20NASA%20Johnson/"/>
    <hyperlink ref="C3704" r:id="rId3705" display="https://youtu.be/AZjMbEXdwnA"/>
    <hyperlink ref="F3704" r:id="rId2" display="https://files.afu.se/Downloads/Transcripts/0%20-%20Government/USA%20-%20NASA%20Johnson/"/>
    <hyperlink ref="C3705" r:id="rId3706" display="https://youtu.be/TYUW9maagQ0"/>
    <hyperlink ref="F3705" r:id="rId2" display="https://files.afu.se/Downloads/Transcripts/0%20-%20Government/USA%20-%20NASA%20Johnson/"/>
    <hyperlink ref="C3706" r:id="rId3707" display="https://youtu.be/UT3I4PGD1Mc"/>
    <hyperlink ref="F3706" r:id="rId2" display="https://files.afu.se/Downloads/Transcripts/0%20-%20Government/USA%20-%20NASA%20Johnson/"/>
    <hyperlink ref="C3707" r:id="rId3708" display="https://youtu.be/DjtdOZECr1U"/>
    <hyperlink ref="F3707" r:id="rId2" display="https://files.afu.se/Downloads/Transcripts/0%20-%20Government/USA%20-%20NASA%20Johnson/"/>
    <hyperlink ref="C3708" r:id="rId3709" display="https://youtu.be/QPsAoCu_yyM"/>
    <hyperlink ref="F3708" r:id="rId2" display="https://files.afu.se/Downloads/Transcripts/0%20-%20Government/USA%20-%20NASA%20Johnson/"/>
    <hyperlink ref="C3709" r:id="rId3710" display="https://youtu.be/Qr_EZNdF_v4"/>
    <hyperlink ref="F3709" r:id="rId2" display="https://files.afu.se/Downloads/Transcripts/0%20-%20Government/USA%20-%20NASA%20Johnson/"/>
    <hyperlink ref="C3710" r:id="rId3711" display="https://youtu.be/TNiE_MkQqS0"/>
    <hyperlink ref="F3710" r:id="rId2" display="https://files.afu.se/Downloads/Transcripts/0%20-%20Government/USA%20-%20NASA%20Johnson/"/>
    <hyperlink ref="C3711" r:id="rId3712" display="https://youtu.be/qnKEi5Lt_x8"/>
    <hyperlink ref="F3711" r:id="rId2" display="https://files.afu.se/Downloads/Transcripts/0%20-%20Government/USA%20-%20NASA%20Johnson/"/>
    <hyperlink ref="C3712" r:id="rId3713" display="https://youtu.be/s1aBChbPR30"/>
    <hyperlink ref="F3712" r:id="rId2" display="https://files.afu.se/Downloads/Transcripts/0%20-%20Government/USA%20-%20NASA%20Johnson/"/>
    <hyperlink ref="C3713" r:id="rId3714" display="https://youtu.be/xqh2FMaKkaY"/>
    <hyperlink ref="F3713" r:id="rId2" display="https://files.afu.se/Downloads/Transcripts/0%20-%20Government/USA%20-%20NASA%20Johnson/"/>
    <hyperlink ref="C3714" r:id="rId3715" display="https://youtu.be/_KdLkKNNq-k"/>
    <hyperlink ref="F3714" r:id="rId2" display="https://files.afu.se/Downloads/Transcripts/0%20-%20Government/USA%20-%20NASA%20Johnson/"/>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2023-06-29T07:08:00Z</dcterms:created>
  <dcterms:modified xsi:type="dcterms:W3CDTF">2023-06-29T08:23:46Z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C6C064465C284DD0A1BA0B65D29F5D2B</vt:lpwstr>
  </property>
  <property fmtid="{D5CDD505-2E9C-101B-9397-08002B2CF9AE}" pid="3" name="KSOProductBuildVer">
    <vt:lpwstr>2057-11.2.0.11417</vt:lpwstr>
  </property>
</Properties>
</file>